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Schedule'!$A$1:$AA$6012</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6011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6011</v>
      </c>
      <c r="D8" s="10" t="inlineStr">
        <is>
          <t>0 estimated (build-out bays D4-D6 and utilities without drawn trench / bank)</t>
        </is>
      </c>
    </row>
    <row r="9">
      <c r="A9" s="10" t="inlineStr">
        <is>
          <t>Copper runs &gt; 3,000 ft</t>
        </is>
      </c>
      <c r="B9" s="14"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1188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71280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2010</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2010</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2089</v>
      </c>
      <c r="U2779" s="16" t="n">
        <v>165</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2089</v>
      </c>
      <c r="U2780" s="16" t="n">
        <v>165</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2089</v>
      </c>
      <c r="U2781" s="16" t="n">
        <v>165</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2089</v>
      </c>
      <c r="U2782" s="16" t="n">
        <v>165</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2089</v>
      </c>
      <c r="U2783" s="16" t="n">
        <v>165</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370</v>
      </c>
      <c r="U2785" s="16" t="n">
        <v>52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Motor 1 of 2: control / local station</t>
        </is>
      </c>
      <c r="E2786" s="12" t="inlineStr">
        <is>
          <t>MCC-C2</t>
        </is>
      </c>
      <c r="F2786" s="12" t="inlineStr">
        <is>
          <t>R1 MCC-C2</t>
        </is>
      </c>
      <c r="G2786" s="12" t="inlineStr"/>
      <c r="H2786" s="12" t="inlineStr">
        <is>
          <t>CEMS shelter, AB-1</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2089</v>
      </c>
      <c r="U2786" s="16" t="n">
        <v>264</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2 of 2: control / local station</t>
        </is>
      </c>
      <c r="E2787" s="12" t="inlineStr">
        <is>
          <t>MCC-C2</t>
        </is>
      </c>
      <c r="F2787" s="12" t="inlineStr">
        <is>
          <t>R1 MCC-C2</t>
        </is>
      </c>
      <c r="G2787" s="12" t="inlineStr"/>
      <c r="H2787" s="12" t="inlineStr">
        <is>
          <t>CEMS shelter, AB-1</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2089</v>
      </c>
      <c r="U2787" s="16" t="n">
        <v>264</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Control</t>
        </is>
      </c>
      <c r="E2788" s="12" t="inlineStr">
        <is>
          <t>R-WT</t>
        </is>
      </c>
      <c r="F2788" s="12" t="inlineStr">
        <is>
          <t>Water treatment building (incl. R-WT electrical room)</t>
        </is>
      </c>
      <c r="G2788" s="12" t="inlineStr">
        <is>
          <t>CPR-2</t>
        </is>
      </c>
      <c r="H2788" s="12" t="inlineStr">
        <is>
          <t>CPR-2: cathodic-protection rectifier</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115</v>
      </c>
      <c r="U2788" s="16" t="n">
        <v>96</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Motor 1 of 1: control / local station</t>
        </is>
      </c>
      <c r="E2789" s="12" t="inlineStr">
        <is>
          <t>MCC-C2</t>
        </is>
      </c>
      <c r="F2789" s="12" t="inlineStr">
        <is>
          <t>R1 MCC-C2</t>
        </is>
      </c>
      <c r="G2789" s="12" t="inlineStr"/>
      <c r="H2789" s="12" t="inlineStr">
        <is>
          <t>Fire pump house</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2004</v>
      </c>
      <c r="U2789" s="16" t="n">
        <v>209</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1: control / local station</t>
        </is>
      </c>
      <c r="E2790" s="12" t="inlineStr">
        <is>
          <t>MCC-C2</t>
        </is>
      </c>
      <c r="F2790" s="12" t="inlineStr">
        <is>
          <t>R1 MCC-C2</t>
        </is>
      </c>
      <c r="G2790" s="12" t="inlineStr"/>
      <c r="H2790" s="12" t="inlineStr">
        <is>
          <t>Fire pump house</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2004</v>
      </c>
      <c r="U2790" s="16" t="n">
        <v>209</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Control</t>
        </is>
      </c>
      <c r="E2791" s="12" t="inlineStr">
        <is>
          <t>R-WT</t>
        </is>
      </c>
      <c r="F2791" s="12" t="inlineStr">
        <is>
          <t>Water treatment building (incl. R-WT electrical room)</t>
        </is>
      </c>
      <c r="G2791" s="12" t="inlineStr">
        <is>
          <t>HTP-2</t>
        </is>
      </c>
      <c r="H2791" s="12" t="inlineStr">
        <is>
          <t>HTP-2: heat-trace panel (NH3)</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292</v>
      </c>
      <c r="U2791" s="16" t="n">
        <v>108</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2: control / local station</t>
        </is>
      </c>
      <c r="E2792" s="12" t="inlineStr">
        <is>
          <t>MCC-C2</t>
        </is>
      </c>
      <c r="F2792" s="12" t="inlineStr">
        <is>
          <t>R1 MCC-C2</t>
        </is>
      </c>
      <c r="G2792" s="12" t="inlineStr"/>
      <c r="H2792" s="12" t="inlineStr">
        <is>
          <t>Oil-water separator</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2002</v>
      </c>
      <c r="U2792" s="16" t="n">
        <v>347</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2: control / local station</t>
        </is>
      </c>
      <c r="E2793" s="12" t="inlineStr">
        <is>
          <t>MCC-C2</t>
        </is>
      </c>
      <c r="F2793" s="12" t="inlineStr">
        <is>
          <t>R1 MCC-C2</t>
        </is>
      </c>
      <c r="G2793" s="12" t="inlineStr"/>
      <c r="H2793" s="12" t="inlineStr">
        <is>
          <t>Oil-water separator</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2002</v>
      </c>
      <c r="U2793" s="16" t="n">
        <v>347</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1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2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3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4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5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6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7 of 8: control / local station</t>
        </is>
      </c>
      <c r="E2800" s="12" t="inlineStr">
        <is>
          <t>MCC-C2</t>
        </is>
      </c>
      <c r="F2800" s="12" t="inlineStr">
        <is>
          <t>R1 MCC-C2</t>
        </is>
      </c>
      <c r="G2800" s="12" t="inlineStr"/>
      <c r="H2800" s="12" t="inlineStr">
        <is>
          <t>Wastewater treatment</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1859</v>
      </c>
      <c r="U2800" s="16" t="n">
        <v>212</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8 of 8: control / local station</t>
        </is>
      </c>
      <c r="E2801" s="12" t="inlineStr">
        <is>
          <t>MCC-C2</t>
        </is>
      </c>
      <c r="F2801" s="12" t="inlineStr">
        <is>
          <t>R1 MCC-C2</t>
        </is>
      </c>
      <c r="G2801" s="12" t="inlineStr"/>
      <c r="H2801" s="12" t="inlineStr">
        <is>
          <t>Wastewater treatment</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1859</v>
      </c>
      <c r="U2801" s="16" t="n">
        <v>212</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1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2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3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4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5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6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7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8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9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10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11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12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13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14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15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16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17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18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E-C-0044</t>
        </is>
      </c>
      <c r="B2820" s="12" t="inlineStr">
        <is>
          <t>E</t>
        </is>
      </c>
      <c r="C2820" s="12" t="inlineStr">
        <is>
          <t>Water / utilities</t>
        </is>
      </c>
      <c r="D2820" s="12" t="inlineStr">
        <is>
          <t>Motor 19 of 20: control / local station</t>
        </is>
      </c>
      <c r="E2820" s="12" t="inlineStr">
        <is>
          <t>MCC-C2</t>
        </is>
      </c>
      <c r="F2820" s="12" t="inlineStr">
        <is>
          <t>R1 MCC-C2</t>
        </is>
      </c>
      <c r="G2820" s="12" t="inlineStr">
        <is>
          <t>R-WT</t>
        </is>
      </c>
      <c r="H2820" s="12" t="inlineStr">
        <is>
          <t>Water treatment building (incl. R-WT electrical room)</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6" t="n">
        <v>1629</v>
      </c>
      <c r="U2820" s="16" t="n">
        <v>145</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E-C-0045</t>
        </is>
      </c>
      <c r="B2821" s="12" t="inlineStr">
        <is>
          <t>E</t>
        </is>
      </c>
      <c r="C2821" s="12" t="inlineStr">
        <is>
          <t>Water / utilities</t>
        </is>
      </c>
      <c r="D2821" s="12" t="inlineStr">
        <is>
          <t>Motor 20 of 20: control / local station</t>
        </is>
      </c>
      <c r="E2821" s="12" t="inlineStr">
        <is>
          <t>MCC-C2</t>
        </is>
      </c>
      <c r="F2821" s="12" t="inlineStr">
        <is>
          <t>R1 MCC-C2</t>
        </is>
      </c>
      <c r="G2821" s="12" t="inlineStr">
        <is>
          <t>R-WT</t>
        </is>
      </c>
      <c r="H2821" s="12" t="inlineStr">
        <is>
          <t>Water treatment building (incl. R-WT electrical room)</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6" t="n">
        <v>1629</v>
      </c>
      <c r="U2821" s="16" t="n">
        <v>145</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E-F-0001</t>
        </is>
      </c>
      <c r="B2822" s="12" t="inlineStr">
        <is>
          <t>E</t>
        </is>
      </c>
      <c r="C2822" s="12" t="inlineStr">
        <is>
          <t>Water / utilities</t>
        </is>
      </c>
      <c r="D2822" s="12" t="inlineStr">
        <is>
          <t>Plant network / DCS fibre</t>
        </is>
      </c>
      <c r="E2822" s="12" t="inlineStr">
        <is>
          <t>CR</t>
        </is>
      </c>
      <c r="F2822" s="12" t="inlineStr">
        <is>
          <t>Control / admin building (main control room)</t>
        </is>
      </c>
      <c r="G2822" s="12" t="inlineStr">
        <is>
          <t>R-WT</t>
        </is>
      </c>
      <c r="H2822" s="12" t="inlineStr">
        <is>
          <t>Water treatment building (incl. R-WT electrical room)</t>
        </is>
      </c>
      <c r="I2822" s="12" t="inlineStr">
        <is>
          <t>Fibre / data</t>
        </is>
      </c>
      <c r="J2822" s="12" t="inlineStr">
        <is>
          <t>Fibre optic, single-mode, 12-fibre, armored, orange jacket</t>
        </is>
      </c>
      <c r="K2822" s="12" t="inlineStr">
        <is>
          <t>FO|12 SM|-</t>
        </is>
      </c>
      <c r="L2822" s="12" t="inlineStr">
        <is>
          <t>12 SM</t>
        </is>
      </c>
      <c r="M2822" s="12" t="inlineStr">
        <is>
          <t>-</t>
        </is>
      </c>
      <c r="N2822" s="12" t="n">
        <v>1</v>
      </c>
      <c r="O2822" s="12" t="n">
        <v>1</v>
      </c>
      <c r="P2822" s="12" t="n"/>
      <c r="Q2822" s="12" t="n"/>
      <c r="R2822" s="12" t="n"/>
      <c r="S2822" s="12" t="inlineStr">
        <is>
          <t>Duct bank</t>
        </is>
      </c>
      <c r="T2822" s="16" t="n">
        <v>1251</v>
      </c>
      <c r="U2822" s="16" t="n">
        <v>32</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E-FA-0001</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c r="H2823" s="12" t="inlineStr">
        <is>
          <t>Auxiliary boiler</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Duct bank</t>
        </is>
      </c>
      <c r="T2823" s="16" t="n">
        <v>370</v>
      </c>
      <c r="U2823" s="16" t="n">
        <v>52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E-FA-0002</t>
        </is>
      </c>
      <c r="B2824" s="12" t="inlineStr">
        <is>
          <t>E</t>
        </is>
      </c>
      <c r="C2824" s="12" t="inlineStr">
        <is>
          <t>Water / utilities</t>
        </is>
      </c>
      <c r="D2824" s="12" t="inlineStr">
        <is>
          <t>Fire alarm / F&amp;G loop (to the local FACP / F&amp;G node)</t>
        </is>
      </c>
      <c r="E2824" s="12" t="inlineStr">
        <is>
          <t>R-WT</t>
        </is>
      </c>
      <c r="F2824" s="12" t="inlineStr">
        <is>
          <t>Water treatment building (incl. R-WT electrical room)</t>
        </is>
      </c>
      <c r="G2824" s="12" t="inlineStr"/>
      <c r="H2824" s="12" t="inlineStr">
        <is>
          <t>Fire pump house</t>
        </is>
      </c>
      <c r="I2824" s="12" t="inlineStr">
        <is>
          <t>Fire alarm</t>
        </is>
      </c>
      <c r="J2824" s="12" t="inlineStr">
        <is>
          <t>Fire alarm FPLR 2/C #14 shielded, red jacket (NEC 760)</t>
        </is>
      </c>
      <c r="K2824" s="12" t="inlineStr">
        <is>
          <t>FA|2/C|14</t>
        </is>
      </c>
      <c r="L2824" s="12" t="inlineStr">
        <is>
          <t>2/C</t>
        </is>
      </c>
      <c r="M2824" s="12" t="inlineStr">
        <is>
          <t>14</t>
        </is>
      </c>
      <c r="N2824" s="12" t="n">
        <v>1</v>
      </c>
      <c r="O2824" s="12" t="n">
        <v>1</v>
      </c>
      <c r="P2824" s="12" t="n"/>
      <c r="Q2824" s="12" t="n"/>
      <c r="R2824" s="12" t="n"/>
      <c r="S2824" s="12" t="inlineStr">
        <is>
          <t>Duct bank</t>
        </is>
      </c>
      <c r="T2824" s="16" t="n">
        <v>160</v>
      </c>
      <c r="U2824" s="16" t="n">
        <v>96</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E-FA-0003</t>
        </is>
      </c>
      <c r="B2825" s="12" t="inlineStr">
        <is>
          <t>E</t>
        </is>
      </c>
      <c r="C2825" s="12" t="inlineStr">
        <is>
          <t>Water / utilities</t>
        </is>
      </c>
      <c r="D2825" s="12" t="inlineStr">
        <is>
          <t>Fire alarm / F&amp;G loop (to the local FACP / F&amp;G node)</t>
        </is>
      </c>
      <c r="E2825" s="12" t="inlineStr">
        <is>
          <t>R-WT</t>
        </is>
      </c>
      <c r="F2825" s="12" t="inlineStr">
        <is>
          <t>Water treatment building (incl. R-WT electrical room)</t>
        </is>
      </c>
      <c r="G2825" s="12" t="inlineStr">
        <is>
          <t>R-WT</t>
        </is>
      </c>
      <c r="H2825" s="12" t="inlineStr">
        <is>
          <t>Water treatment building (incl. R-WT electrical room)</t>
        </is>
      </c>
      <c r="I2825" s="12" t="inlineStr">
        <is>
          <t>Fire alarm</t>
        </is>
      </c>
      <c r="J2825" s="12" t="inlineStr">
        <is>
          <t>Fire alarm FPLR 2/C #14 shielded, red jacket (NEC 760)</t>
        </is>
      </c>
      <c r="K2825" s="12" t="inlineStr">
        <is>
          <t>FA|2/C|14</t>
        </is>
      </c>
      <c r="L2825" s="12" t="inlineStr">
        <is>
          <t>2/C</t>
        </is>
      </c>
      <c r="M2825" s="12" t="inlineStr">
        <is>
          <t>14</t>
        </is>
      </c>
      <c r="N2825" s="12" t="n">
        <v>1</v>
      </c>
      <c r="O2825" s="12" t="n">
        <v>1</v>
      </c>
      <c r="P2825" s="12" t="n"/>
      <c r="Q2825" s="12" t="n"/>
      <c r="R2825" s="12" t="n"/>
      <c r="S2825" s="12" t="inlineStr">
        <is>
          <t>Tray</t>
        </is>
      </c>
      <c r="T2825" s="16" t="n">
        <v>0</v>
      </c>
      <c r="U2825" s="16" t="n">
        <v>32</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E-I-0001</t>
        </is>
      </c>
      <c r="B2826" s="12" t="inlineStr">
        <is>
          <t>E</t>
        </is>
      </c>
      <c r="C2826" s="12" t="inlineStr">
        <is>
          <t>Water / utilities</t>
        </is>
      </c>
      <c r="D2826" s="12" t="inlineStr">
        <is>
          <t>Analog instrument to JB JB-Ammonia storage (a-AI01: 8 x 1 pr (field cables)</t>
        </is>
      </c>
      <c r="E2826" s="12" t="inlineStr"/>
      <c r="F2826" s="12" t="inlineStr">
        <is>
          <t>Ammonia storage (aqueous, SCR reagent)</t>
        </is>
      </c>
      <c r="G2826" s="12" t="inlineStr">
        <is>
          <t>JB-Ammonia storage (a-AI01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8</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E-I-0002</t>
        </is>
      </c>
      <c r="B2827" s="12" t="inlineStr">
        <is>
          <t>E</t>
        </is>
      </c>
      <c r="C2827" s="12" t="inlineStr">
        <is>
          <t>Water / utilities</t>
        </is>
      </c>
      <c r="D2827" s="12" t="inlineStr">
        <is>
          <t>Home run JB-Ammonia storage (a-AI01 to the control / marshalling room</t>
        </is>
      </c>
      <c r="E2827" s="12" t="inlineStr">
        <is>
          <t>R-WT</t>
        </is>
      </c>
      <c r="F2827" s="12" t="inlineStr">
        <is>
          <t>Water treatment building (incl. R-WT electrical room)</t>
        </is>
      </c>
      <c r="G2827" s="12" t="inlineStr">
        <is>
          <t>JB-Ammonia storage (a-AI01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292</v>
      </c>
      <c r="U2827" s="16" t="n">
        <v>32</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E-I-0003</t>
        </is>
      </c>
      <c r="B2828" s="12" t="inlineStr">
        <is>
          <t>E</t>
        </is>
      </c>
      <c r="C2828" s="12" t="inlineStr">
        <is>
          <t>Water / utilities</t>
        </is>
      </c>
      <c r="D2828" s="12" t="inlineStr">
        <is>
          <t>Discrete device to JB JB-Ammonia storage (a-DI01: 10 x 1 pr (field cables)</t>
        </is>
      </c>
      <c r="E2828" s="12" t="inlineStr"/>
      <c r="F2828" s="12" t="inlineStr">
        <is>
          <t>Ammonia storage (aqueous, SCR reagent)</t>
        </is>
      </c>
      <c r="G2828" s="12" t="inlineStr">
        <is>
          <t>JB-Ammonia storage (a-DI01</t>
        </is>
      </c>
      <c r="H2828" s="12" t="inlineStr">
        <is>
          <t>Ammonia storage (aqueous, SCR reagent)</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10</v>
      </c>
      <c r="O2828" s="12" t="n">
        <v>1</v>
      </c>
      <c r="P2828" s="12" t="n"/>
      <c r="Q2828" s="12" t="n"/>
      <c r="R2828" s="12" t="n"/>
      <c r="S2828" s="12" t="inlineStr">
        <is>
          <t>Tray / conduit</t>
        </is>
      </c>
      <c r="T2828" s="16" t="n">
        <v>90</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E-I-0004</t>
        </is>
      </c>
      <c r="B2829" s="12" t="inlineStr">
        <is>
          <t>E</t>
        </is>
      </c>
      <c r="C2829" s="12" t="inlineStr">
        <is>
          <t>Water / utilities</t>
        </is>
      </c>
      <c r="D2829" s="12" t="inlineStr">
        <is>
          <t>Home run JB-Ammonia storage (a-DI01 to the control / marshalling room</t>
        </is>
      </c>
      <c r="E2829" s="12" t="inlineStr">
        <is>
          <t>R-WT</t>
        </is>
      </c>
      <c r="F2829" s="12" t="inlineStr">
        <is>
          <t>Water treatment building (incl. R-WT electrical room)</t>
        </is>
      </c>
      <c r="G2829" s="12" t="inlineStr">
        <is>
          <t>JB-Ammonia storage (a-DI01</t>
        </is>
      </c>
      <c r="H2829" s="12" t="inlineStr">
        <is>
          <t>Ammonia storage (aqueous, SCR reagent)</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292</v>
      </c>
      <c r="U2829" s="16" t="n">
        <v>32</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E-I-0005</t>
        </is>
      </c>
      <c r="B2830" s="12" t="inlineStr">
        <is>
          <t>E</t>
        </is>
      </c>
      <c r="C2830" s="12" t="inlineStr">
        <is>
          <t>Water / utilities</t>
        </is>
      </c>
      <c r="D2830" s="12" t="inlineStr">
        <is>
          <t>Analog instrument to JB JB-Auxiliary boiler-AI01: 20 x 1 pr (field cables)</t>
        </is>
      </c>
      <c r="E2830" s="12" t="inlineStr"/>
      <c r="F2830" s="12" t="inlineStr">
        <is>
          <t>Auxiliary boiler</t>
        </is>
      </c>
      <c r="G2830" s="12" t="inlineStr">
        <is>
          <t>JB-Auxiliary boiler-AI01</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20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E-I-0006</t>
        </is>
      </c>
      <c r="B2831" s="12" t="inlineStr">
        <is>
          <t>E</t>
        </is>
      </c>
      <c r="C2831" s="12" t="inlineStr">
        <is>
          <t>Water / utilities</t>
        </is>
      </c>
      <c r="D2831" s="12" t="inlineStr">
        <is>
          <t>Home run JB-Auxiliary boiler-AI01 to the control / marshalling room</t>
        </is>
      </c>
      <c r="E2831" s="12" t="inlineStr">
        <is>
          <t>R-WT</t>
        </is>
      </c>
      <c r="F2831" s="12" t="inlineStr">
        <is>
          <t>Water treatment building (incl. R-WT electrical room)</t>
        </is>
      </c>
      <c r="G2831" s="12" t="inlineStr">
        <is>
          <t>JB-Auxiliary boiler-AI01</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370</v>
      </c>
      <c r="U2831" s="16" t="n">
        <v>52</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E-I-0007</t>
        </is>
      </c>
      <c r="B2832" s="12" t="inlineStr">
        <is>
          <t>E</t>
        </is>
      </c>
      <c r="C2832" s="12" t="inlineStr">
        <is>
          <t>Water / utilities</t>
        </is>
      </c>
      <c r="D2832" s="12" t="inlineStr">
        <is>
          <t>Analog instrument to JB JB-Auxiliary boiler-AI02: 10 x 1 pr (field cables)</t>
        </is>
      </c>
      <c r="E2832" s="12" t="inlineStr"/>
      <c r="F2832" s="12" t="inlineStr">
        <is>
          <t>Auxiliary boiler</t>
        </is>
      </c>
      <c r="G2832" s="12" t="inlineStr">
        <is>
          <t>JB-Auxiliary boiler-AI02</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10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E-I-0008</t>
        </is>
      </c>
      <c r="B2833" s="12" t="inlineStr">
        <is>
          <t>E</t>
        </is>
      </c>
      <c r="C2833" s="12" t="inlineStr">
        <is>
          <t>Water / utilities</t>
        </is>
      </c>
      <c r="D2833" s="12" t="inlineStr">
        <is>
          <t>Home run JB-Auxiliary boiler-AI02 to the control / marshalling room</t>
        </is>
      </c>
      <c r="E2833" s="12" t="inlineStr">
        <is>
          <t>R-WT</t>
        </is>
      </c>
      <c r="F2833" s="12" t="inlineStr">
        <is>
          <t>Water treatment building (incl. R-WT electrical room)</t>
        </is>
      </c>
      <c r="G2833" s="12" t="inlineStr">
        <is>
          <t>JB-Auxiliary boiler-AI02</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370</v>
      </c>
      <c r="U2833" s="16" t="n">
        <v>52</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E-I-0009</t>
        </is>
      </c>
      <c r="B2834" s="12" t="inlineStr">
        <is>
          <t>E</t>
        </is>
      </c>
      <c r="C2834" s="12" t="inlineStr">
        <is>
          <t>Water / utilities</t>
        </is>
      </c>
      <c r="D2834" s="12" t="inlineStr">
        <is>
          <t>Discrete device to JB JB-Auxiliary boiler-DI01: 20 x 1 pr (field cables)</t>
        </is>
      </c>
      <c r="E2834" s="12" t="inlineStr"/>
      <c r="F2834" s="12" t="inlineStr">
        <is>
          <t>Auxiliary boiler</t>
        </is>
      </c>
      <c r="G2834" s="12" t="inlineStr">
        <is>
          <t>JB-Auxiliary boiler-DI01</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20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E-I-0010</t>
        </is>
      </c>
      <c r="B2835" s="12" t="inlineStr">
        <is>
          <t>E</t>
        </is>
      </c>
      <c r="C2835" s="12" t="inlineStr">
        <is>
          <t>Water / utilities</t>
        </is>
      </c>
      <c r="D2835" s="12" t="inlineStr">
        <is>
          <t>Home run JB-Auxiliary boiler-DI01 to the control / marshalling room</t>
        </is>
      </c>
      <c r="E2835" s="12" t="inlineStr">
        <is>
          <t>R-WT</t>
        </is>
      </c>
      <c r="F2835" s="12" t="inlineStr">
        <is>
          <t>Water treatment building (incl. R-WT electrical room)</t>
        </is>
      </c>
      <c r="G2835" s="12" t="inlineStr">
        <is>
          <t>JB-Auxiliary boiler-DI01</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370</v>
      </c>
      <c r="U2835" s="16" t="n">
        <v>52</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E-I-0011</t>
        </is>
      </c>
      <c r="B2836" s="12" t="inlineStr">
        <is>
          <t>E</t>
        </is>
      </c>
      <c r="C2836" s="12" t="inlineStr">
        <is>
          <t>Water / utilities</t>
        </is>
      </c>
      <c r="D2836" s="12" t="inlineStr">
        <is>
          <t>Discrete device to JB JB-Auxiliary boiler-DI02: 10 x 1 pr (field cables)</t>
        </is>
      </c>
      <c r="E2836" s="12" t="inlineStr"/>
      <c r="F2836" s="12" t="inlineStr">
        <is>
          <t>Auxiliary boiler</t>
        </is>
      </c>
      <c r="G2836" s="12" t="inlineStr">
        <is>
          <t>JB-Auxiliary boiler-DI02</t>
        </is>
      </c>
      <c r="H2836" s="12" t="inlineStr">
        <is>
          <t>Auxiliary boiler</t>
        </is>
      </c>
      <c r="I2836" s="12" t="inlineStr">
        <is>
          <t>Instrumentation</t>
        </is>
      </c>
      <c r="J2836" s="12" t="inlineStr">
        <is>
          <t>Instrumentation PLTC / TC-ER 300 V, #18 twisted shielded pairs, overall shield</t>
        </is>
      </c>
      <c r="K2836" s="12" t="inlineStr">
        <is>
          <t>PLTC|1 pr|16</t>
        </is>
      </c>
      <c r="L2836" s="12" t="inlineStr">
        <is>
          <t>1 pr</t>
        </is>
      </c>
      <c r="M2836" s="12" t="inlineStr">
        <is>
          <t>16</t>
        </is>
      </c>
      <c r="N2836" s="12" t="n">
        <v>10</v>
      </c>
      <c r="O2836" s="12" t="n">
        <v>1</v>
      </c>
      <c r="P2836" s="12" t="n"/>
      <c r="Q2836" s="12" t="n"/>
      <c r="R2836" s="12" t="n"/>
      <c r="S2836" s="12" t="inlineStr">
        <is>
          <t>Tray / conduit</t>
        </is>
      </c>
      <c r="T2836" s="16" t="n">
        <v>128</v>
      </c>
      <c r="U2836" s="16" t="n">
        <v>10</v>
      </c>
      <c r="V2836" s="16">
        <f>ROUNDUP((T2836+U2836+2*'Read Me'!$B$13)*(1+'Read Me'!$B$12),-1)</f>
        <v/>
      </c>
      <c r="W2836" s="16">
        <f>V2836*N2836*O2836</f>
        <v/>
      </c>
      <c r="X2836" s="12">
        <f>IF(LEFT(I2836,2)="MV",2*N2836*IF(L2836="1/C",O2836,1),0)</f>
        <v/>
      </c>
      <c r="Y2836" s="12">
        <f>IF(OR(LEFT(K2836,4)="LVAX",LEFT(K2836,6)="MV15AX",LEFT(K2836,4)="CTAX",LEFT(K2836,2)="W|"),2*N2836*O2836,0)</f>
        <v/>
      </c>
      <c r="Z2836" s="12" t="inlineStr">
        <is>
          <t>device-to-JB field wiring, one cable per device</t>
        </is>
      </c>
      <c r="AA2836" s="12">
        <f>N2836*O2836</f>
        <v/>
      </c>
    </row>
    <row r="2837">
      <c r="A2837" s="12" t="inlineStr">
        <is>
          <t>E-I-0012</t>
        </is>
      </c>
      <c r="B2837" s="12" t="inlineStr">
        <is>
          <t>E</t>
        </is>
      </c>
      <c r="C2837" s="12" t="inlineStr">
        <is>
          <t>Water / utilities</t>
        </is>
      </c>
      <c r="D2837" s="12" t="inlineStr">
        <is>
          <t>Home run JB-Auxiliary boiler-DI02 to the control / marshalling room</t>
        </is>
      </c>
      <c r="E2837" s="12" t="inlineStr">
        <is>
          <t>R-WT</t>
        </is>
      </c>
      <c r="F2837" s="12" t="inlineStr">
        <is>
          <t>Water treatment building (incl. R-WT electrical room)</t>
        </is>
      </c>
      <c r="G2837" s="12" t="inlineStr">
        <is>
          <t>JB-Auxiliary boiler-DI02</t>
        </is>
      </c>
      <c r="H2837" s="12" t="inlineStr">
        <is>
          <t>Auxiliary boiler</t>
        </is>
      </c>
      <c r="I2837" s="12" t="inlineStr">
        <is>
          <t>Instrumentation</t>
        </is>
      </c>
      <c r="J2837" s="12" t="inlineStr">
        <is>
          <t>Instrumentation PLTC / TC-ER 300 V, #18 twisted shielded pairs, overall shield</t>
        </is>
      </c>
      <c r="K2837" s="12" t="inlineStr">
        <is>
          <t>PLTC|24 pr|18</t>
        </is>
      </c>
      <c r="L2837" s="12" t="inlineStr">
        <is>
          <t>24 pr</t>
        </is>
      </c>
      <c r="M2837" s="12" t="inlineStr">
        <is>
          <t>18</t>
        </is>
      </c>
      <c r="N2837" s="12" t="n">
        <v>1</v>
      </c>
      <c r="O2837" s="12" t="n">
        <v>1</v>
      </c>
      <c r="P2837" s="12" t="n"/>
      <c r="Q2837" s="12" t="n"/>
      <c r="R2837" s="12" t="n"/>
      <c r="S2837" s="12" t="inlineStr">
        <is>
          <t>Duct bank</t>
        </is>
      </c>
      <c r="T2837" s="16" t="n">
        <v>370</v>
      </c>
      <c r="U2837" s="16" t="n">
        <v>52</v>
      </c>
      <c r="V2837" s="16">
        <f>ROUNDUP((T2837+U2837+2*'Read Me'!$B$13)*(1+'Read Me'!$B$12),-1)</f>
        <v/>
      </c>
      <c r="W2837" s="16">
        <f>V2837*N2837*O2837</f>
        <v/>
      </c>
      <c r="X2837" s="12">
        <f>IF(LEFT(I2837,2)="MV",2*N2837*IF(L2837="1/C",O2837,1),0)</f>
        <v/>
      </c>
      <c r="Y2837" s="12">
        <f>IF(OR(LEFT(K2837,4)="LVAX",LEFT(K2837,6)="MV15AX",LEFT(K2837,4)="CTAX",LEFT(K2837,2)="W|"),2*N2837*O2837,0)</f>
        <v/>
      </c>
      <c r="Z2837" s="12" t="inlineStr"/>
      <c r="AA2837" s="12">
        <f>N2837*O2837</f>
        <v/>
      </c>
    </row>
    <row r="2838">
      <c r="A2838" s="12" t="inlineStr">
        <is>
          <t>E-I-0013</t>
        </is>
      </c>
      <c r="B2838" s="12" t="inlineStr">
        <is>
          <t>E</t>
        </is>
      </c>
      <c r="C2838" s="12" t="inlineStr">
        <is>
          <t>Water / utilities</t>
        </is>
      </c>
      <c r="D2838" s="12" t="inlineStr">
        <is>
          <t>Analog instrument to JB JB-CEMS shelter, AB-1-AI01: 12 x 1 pr (field cables)</t>
        </is>
      </c>
      <c r="E2838" s="12" t="inlineStr"/>
      <c r="F2838" s="12" t="inlineStr">
        <is>
          <t>CEMS shelter, AB-1</t>
        </is>
      </c>
      <c r="G2838" s="12" t="inlineStr">
        <is>
          <t>JB-CEMS shelter, AB-1-AI01</t>
        </is>
      </c>
      <c r="H2838" s="12" t="inlineStr">
        <is>
          <t>CEMS shelter, AB-1</t>
        </is>
      </c>
      <c r="I2838" s="12" t="inlineStr">
        <is>
          <t>Instrumentation</t>
        </is>
      </c>
      <c r="J2838" s="12" t="inlineStr">
        <is>
          <t>Instrumentation PLTC / TC-ER 300 V, #18 twisted shielded pairs, overall shield</t>
        </is>
      </c>
      <c r="K2838" s="12" t="inlineStr">
        <is>
          <t>PLTC|1 pr|16</t>
        </is>
      </c>
      <c r="L2838" s="12" t="inlineStr">
        <is>
          <t>1 pr</t>
        </is>
      </c>
      <c r="M2838" s="12" t="inlineStr">
        <is>
          <t>16</t>
        </is>
      </c>
      <c r="N2838" s="12" t="n">
        <v>12</v>
      </c>
      <c r="O2838" s="12" t="n">
        <v>1</v>
      </c>
      <c r="P2838" s="12" t="n"/>
      <c r="Q2838" s="12" t="n"/>
      <c r="R2838" s="12" t="n"/>
      <c r="S2838" s="12" t="inlineStr">
        <is>
          <t>Tray / conduit</t>
        </is>
      </c>
      <c r="T2838" s="16" t="n">
        <v>62</v>
      </c>
      <c r="U2838" s="16" t="n">
        <v>10</v>
      </c>
      <c r="V2838" s="16">
        <f>ROUNDUP((T2838+U2838+2*'Read Me'!$B$13)*(1+'Read Me'!$B$12),-1)</f>
        <v/>
      </c>
      <c r="W2838" s="16">
        <f>V2838*N2838*O2838</f>
        <v/>
      </c>
      <c r="X2838" s="12">
        <f>IF(LEFT(I2838,2)="MV",2*N2838*IF(L2838="1/C",O2838,1),0)</f>
        <v/>
      </c>
      <c r="Y2838" s="12">
        <f>IF(OR(LEFT(K2838,4)="LVAX",LEFT(K2838,6)="MV15AX",LEFT(K2838,4)="CTAX",LEFT(K2838,2)="W|"),2*N2838*O2838,0)</f>
        <v/>
      </c>
      <c r="Z2838" s="12" t="inlineStr">
        <is>
          <t>device-to-JB field wiring, one cable per device</t>
        </is>
      </c>
      <c r="AA2838" s="12">
        <f>N2838*O2838</f>
        <v/>
      </c>
    </row>
    <row r="2839">
      <c r="A2839" s="12" t="inlineStr">
        <is>
          <t>E-I-0014</t>
        </is>
      </c>
      <c r="B2839" s="12" t="inlineStr">
        <is>
          <t>E</t>
        </is>
      </c>
      <c r="C2839" s="12" t="inlineStr">
        <is>
          <t>Water / utilities</t>
        </is>
      </c>
      <c r="D2839" s="12" t="inlineStr">
        <is>
          <t>Home run JB-CEMS shelter, AB-1-AI01 to the control / marshalling room</t>
        </is>
      </c>
      <c r="E2839" s="12" t="inlineStr">
        <is>
          <t>R-WT</t>
        </is>
      </c>
      <c r="F2839" s="12" t="inlineStr">
        <is>
          <t>Water treatment building (incl. R-WT electrical room)</t>
        </is>
      </c>
      <c r="G2839" s="12" t="inlineStr">
        <is>
          <t>JB-CEMS shelter, AB-1-AI01</t>
        </is>
      </c>
      <c r="H2839" s="12" t="inlineStr">
        <is>
          <t>CEMS shelter, AB-1</t>
        </is>
      </c>
      <c r="I2839" s="12" t="inlineStr">
        <is>
          <t>Instrumentation</t>
        </is>
      </c>
      <c r="J2839" s="12" t="inlineStr">
        <is>
          <t>Instrumentation PLTC / TC-ER 300 V, #18 twisted shielded pairs, overall shield</t>
        </is>
      </c>
      <c r="K2839" s="12" t="inlineStr">
        <is>
          <t>PLTC|24 pr|18</t>
        </is>
      </c>
      <c r="L2839" s="12" t="inlineStr">
        <is>
          <t>24 pr</t>
        </is>
      </c>
      <c r="M2839" s="12" t="inlineStr">
        <is>
          <t>18</t>
        </is>
      </c>
      <c r="N2839" s="12" t="n">
        <v>1</v>
      </c>
      <c r="O2839" s="12" t="n">
        <v>1</v>
      </c>
      <c r="P2839" s="12" t="n"/>
      <c r="Q2839" s="12" t="n"/>
      <c r="R2839" s="12" t="n"/>
      <c r="S2839" s="12" t="inlineStr">
        <is>
          <t>Duct bank</t>
        </is>
      </c>
      <c r="T2839" s="16" t="n">
        <v>370</v>
      </c>
      <c r="U2839" s="16" t="n">
        <v>151</v>
      </c>
      <c r="V2839" s="16">
        <f>ROUNDUP((T2839+U2839+2*'Read Me'!$B$13)*(1+'Read Me'!$B$12),-1)</f>
        <v/>
      </c>
      <c r="W2839" s="16">
        <f>V2839*N2839*O2839</f>
        <v/>
      </c>
      <c r="X2839" s="12">
        <f>IF(LEFT(I2839,2)="MV",2*N2839*IF(L2839="1/C",O2839,1),0)</f>
        <v/>
      </c>
      <c r="Y2839" s="12">
        <f>IF(OR(LEFT(K2839,4)="LVAX",LEFT(K2839,6)="MV15AX",LEFT(K2839,4)="CTAX",LEFT(K2839,2)="W|"),2*N2839*O2839,0)</f>
        <v/>
      </c>
      <c r="Z2839" s="12" t="inlineStr"/>
      <c r="AA2839" s="12">
        <f>N2839*O2839</f>
        <v/>
      </c>
    </row>
    <row r="2840">
      <c r="A2840" s="12" t="inlineStr">
        <is>
          <t>E-I-0015</t>
        </is>
      </c>
      <c r="B2840" s="12" t="inlineStr">
        <is>
          <t>E</t>
        </is>
      </c>
      <c r="C2840" s="12" t="inlineStr">
        <is>
          <t>Water / utilities</t>
        </is>
      </c>
      <c r="D2840" s="12" t="inlineStr">
        <is>
          <t>Discrete device to JB JB-CEMS shelter, AB-1-DI01: 10 x 1 pr (field cables)</t>
        </is>
      </c>
      <c r="E2840" s="12" t="inlineStr"/>
      <c r="F2840" s="12" t="inlineStr">
        <is>
          <t>CEMS shelter, AB-1</t>
        </is>
      </c>
      <c r="G2840" s="12" t="inlineStr">
        <is>
          <t>JB-CEMS shelter, AB-1-DI01</t>
        </is>
      </c>
      <c r="H2840" s="12" t="inlineStr">
        <is>
          <t>CEMS shelter, AB-1</t>
        </is>
      </c>
      <c r="I2840" s="12" t="inlineStr">
        <is>
          <t>Instrumentation</t>
        </is>
      </c>
      <c r="J2840" s="12" t="inlineStr">
        <is>
          <t>Instrumentation PLTC / TC-ER 300 V, #18 twisted shielded pairs, overall shield</t>
        </is>
      </c>
      <c r="K2840" s="12" t="inlineStr">
        <is>
          <t>PLTC|1 pr|16</t>
        </is>
      </c>
      <c r="L2840" s="12" t="inlineStr">
        <is>
          <t>1 pr</t>
        </is>
      </c>
      <c r="M2840" s="12" t="inlineStr">
        <is>
          <t>16</t>
        </is>
      </c>
      <c r="N2840" s="12" t="n">
        <v>10</v>
      </c>
      <c r="O2840" s="12" t="n">
        <v>1</v>
      </c>
      <c r="P2840" s="12" t="n"/>
      <c r="Q2840" s="12" t="n"/>
      <c r="R2840" s="12" t="n"/>
      <c r="S2840" s="12" t="inlineStr">
        <is>
          <t>Tray / conduit</t>
        </is>
      </c>
      <c r="T2840" s="16" t="n">
        <v>62</v>
      </c>
      <c r="U2840" s="16" t="n">
        <v>10</v>
      </c>
      <c r="V2840" s="16">
        <f>ROUNDUP((T2840+U2840+2*'Read Me'!$B$13)*(1+'Read Me'!$B$12),-1)</f>
        <v/>
      </c>
      <c r="W2840" s="16">
        <f>V2840*N2840*O2840</f>
        <v/>
      </c>
      <c r="X2840" s="12">
        <f>IF(LEFT(I2840,2)="MV",2*N2840*IF(L2840="1/C",O2840,1),0)</f>
        <v/>
      </c>
      <c r="Y2840" s="12">
        <f>IF(OR(LEFT(K2840,4)="LVAX",LEFT(K2840,6)="MV15AX",LEFT(K2840,4)="CTAX",LEFT(K2840,2)="W|"),2*N2840*O2840,0)</f>
        <v/>
      </c>
      <c r="Z2840" s="12" t="inlineStr">
        <is>
          <t>device-to-JB field wiring, one cable per device</t>
        </is>
      </c>
      <c r="AA2840" s="12">
        <f>N2840*O2840</f>
        <v/>
      </c>
    </row>
    <row r="2841">
      <c r="A2841" s="12" t="inlineStr">
        <is>
          <t>E-I-0016</t>
        </is>
      </c>
      <c r="B2841" s="12" t="inlineStr">
        <is>
          <t>E</t>
        </is>
      </c>
      <c r="C2841" s="12" t="inlineStr">
        <is>
          <t>Water / utilities</t>
        </is>
      </c>
      <c r="D2841" s="12" t="inlineStr">
        <is>
          <t>Home run JB-CEMS shelter, AB-1-DI01 to the control / marshalling room</t>
        </is>
      </c>
      <c r="E2841" s="12" t="inlineStr">
        <is>
          <t>R-WT</t>
        </is>
      </c>
      <c r="F2841" s="12" t="inlineStr">
        <is>
          <t>Water treatment building (incl. R-WT electrical room)</t>
        </is>
      </c>
      <c r="G2841" s="12" t="inlineStr">
        <is>
          <t>JB-CEMS shelter, AB-1-DI01</t>
        </is>
      </c>
      <c r="H2841" s="12" t="inlineStr">
        <is>
          <t>CEMS shelter, AB-1</t>
        </is>
      </c>
      <c r="I2841" s="12" t="inlineStr">
        <is>
          <t>Instrumentation</t>
        </is>
      </c>
      <c r="J2841" s="12" t="inlineStr">
        <is>
          <t>Instrumentation PLTC / TC-ER 300 V, #18 twisted shielded pairs, overall shield</t>
        </is>
      </c>
      <c r="K2841" s="12" t="inlineStr">
        <is>
          <t>PLTC|24 pr|18</t>
        </is>
      </c>
      <c r="L2841" s="12" t="inlineStr">
        <is>
          <t>24 pr</t>
        </is>
      </c>
      <c r="M2841" s="12" t="inlineStr">
        <is>
          <t>18</t>
        </is>
      </c>
      <c r="N2841" s="12" t="n">
        <v>1</v>
      </c>
      <c r="O2841" s="12" t="n">
        <v>1</v>
      </c>
      <c r="P2841" s="12" t="n"/>
      <c r="Q2841" s="12" t="n"/>
      <c r="R2841" s="12" t="n"/>
      <c r="S2841" s="12" t="inlineStr">
        <is>
          <t>Duct bank</t>
        </is>
      </c>
      <c r="T2841" s="16" t="n">
        <v>370</v>
      </c>
      <c r="U2841" s="16" t="n">
        <v>151</v>
      </c>
      <c r="V2841" s="16">
        <f>ROUNDUP((T2841+U2841+2*'Read Me'!$B$13)*(1+'Read Me'!$B$12),-1)</f>
        <v/>
      </c>
      <c r="W2841" s="16">
        <f>V2841*N2841*O2841</f>
        <v/>
      </c>
      <c r="X2841" s="12">
        <f>IF(LEFT(I2841,2)="MV",2*N2841*IF(L2841="1/C",O2841,1),0)</f>
        <v/>
      </c>
      <c r="Y2841" s="12">
        <f>IF(OR(LEFT(K2841,4)="LVAX",LEFT(K2841,6)="MV15AX",LEFT(K2841,4)="CTAX",LEFT(K2841,2)="W|"),2*N2841*O2841,0)</f>
        <v/>
      </c>
      <c r="Z2841" s="12" t="inlineStr"/>
      <c r="AA2841" s="12">
        <f>N2841*O2841</f>
        <v/>
      </c>
    </row>
    <row r="2842">
      <c r="A2842" s="12" t="inlineStr">
        <is>
          <t>E-I-0017</t>
        </is>
      </c>
      <c r="B2842" s="12" t="inlineStr">
        <is>
          <t>E</t>
        </is>
      </c>
      <c r="C2842" s="12" t="inlineStr">
        <is>
          <t>Water / utilities</t>
        </is>
      </c>
      <c r="D2842" s="12" t="inlineStr">
        <is>
          <t>Instrumentation</t>
        </is>
      </c>
      <c r="E2842" s="12" t="inlineStr">
        <is>
          <t>R-WT</t>
        </is>
      </c>
      <c r="F2842" s="12" t="inlineStr">
        <is>
          <t>Water treatment building (incl. R-WT electrical room)</t>
        </is>
      </c>
      <c r="G2842" s="12" t="inlineStr">
        <is>
          <t>CPR-2</t>
        </is>
      </c>
      <c r="H2842" s="12" t="inlineStr">
        <is>
          <t>CPR-2: cathodic-protection rectifier</t>
        </is>
      </c>
      <c r="I2842" s="12" t="inlineStr">
        <is>
          <t>Instrumentation</t>
        </is>
      </c>
      <c r="J2842" s="12" t="inlineStr">
        <is>
          <t>Instrumentation PLTC / TC-ER 300 V, #18 twisted shielded pairs, overall shield</t>
        </is>
      </c>
      <c r="K2842" s="12" t="inlineStr">
        <is>
          <t>PLTC|4 pr|18</t>
        </is>
      </c>
      <c r="L2842" s="12" t="inlineStr">
        <is>
          <t>4 pr</t>
        </is>
      </c>
      <c r="M2842" s="12" t="inlineStr">
        <is>
          <t>18</t>
        </is>
      </c>
      <c r="N2842" s="12" t="n">
        <v>1</v>
      </c>
      <c r="O2842" s="12" t="n">
        <v>1</v>
      </c>
      <c r="P2842" s="12" t="n"/>
      <c r="Q2842" s="12" t="n"/>
      <c r="R2842" s="12" t="n"/>
      <c r="S2842" s="12" t="inlineStr">
        <is>
          <t>Duct bank</t>
        </is>
      </c>
      <c r="T2842" s="16" t="n">
        <v>115</v>
      </c>
      <c r="U2842" s="16" t="n">
        <v>96</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E-I-0018</t>
        </is>
      </c>
      <c r="B2843" s="12" t="inlineStr">
        <is>
          <t>E</t>
        </is>
      </c>
      <c r="C2843" s="12" t="inlineStr">
        <is>
          <t>Water / utilities</t>
        </is>
      </c>
      <c r="D2843" s="12" t="inlineStr">
        <is>
          <t>Analog instrument to JB JB-Demineralised wate-AI01: 4 x 1 pr (field cables)</t>
        </is>
      </c>
      <c r="E2843" s="12" t="inlineStr"/>
      <c r="F2843" s="12" t="inlineStr">
        <is>
          <t>Demineralised water tank</t>
        </is>
      </c>
      <c r="G2843" s="12" t="inlineStr">
        <is>
          <t>JB-Demineralised wate-AI01</t>
        </is>
      </c>
      <c r="H2843" s="12" t="inlineStr">
        <is>
          <t>Demineralised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86</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E-I-0019</t>
        </is>
      </c>
      <c r="B2844" s="12" t="inlineStr">
        <is>
          <t>E</t>
        </is>
      </c>
      <c r="C2844" s="12" t="inlineStr">
        <is>
          <t>Water / utilities</t>
        </is>
      </c>
      <c r="D2844" s="12" t="inlineStr">
        <is>
          <t>Home run JB-Demineralised wate-AI01 to the control / marshalling room</t>
        </is>
      </c>
      <c r="E2844" s="12" t="inlineStr">
        <is>
          <t>R-WT</t>
        </is>
      </c>
      <c r="F2844" s="12" t="inlineStr">
        <is>
          <t>Water treatment building (incl. R-WT electrical room)</t>
        </is>
      </c>
      <c r="G2844" s="12" t="inlineStr">
        <is>
          <t>JB-Demineralised wate-AI01</t>
        </is>
      </c>
      <c r="H2844" s="12" t="inlineStr">
        <is>
          <t>Demineralised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28</v>
      </c>
      <c r="U2844" s="16" t="n">
        <v>123</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E-I-0020</t>
        </is>
      </c>
      <c r="B2845" s="12" t="inlineStr">
        <is>
          <t>E</t>
        </is>
      </c>
      <c r="C2845" s="12" t="inlineStr">
        <is>
          <t>Water / utilities</t>
        </is>
      </c>
      <c r="D2845" s="12" t="inlineStr">
        <is>
          <t>Discrete device to JB JB-Demineralised wate-DI01: 4 x 1 pr (field cables)</t>
        </is>
      </c>
      <c r="E2845" s="12" t="inlineStr"/>
      <c r="F2845" s="12" t="inlineStr">
        <is>
          <t>Demineralised water tank</t>
        </is>
      </c>
      <c r="G2845" s="12" t="inlineStr">
        <is>
          <t>JB-Demineralised wate-DI01</t>
        </is>
      </c>
      <c r="H2845" s="12" t="inlineStr">
        <is>
          <t>Demineralised water tank</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4</v>
      </c>
      <c r="O2845" s="12" t="n">
        <v>1</v>
      </c>
      <c r="P2845" s="12" t="n"/>
      <c r="Q2845" s="12" t="n"/>
      <c r="R2845" s="12" t="n"/>
      <c r="S2845" s="12" t="inlineStr">
        <is>
          <t>Tray / conduit</t>
        </is>
      </c>
      <c r="T2845" s="16" t="n">
        <v>86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E-I-0021</t>
        </is>
      </c>
      <c r="B2846" s="12" t="inlineStr">
        <is>
          <t>E</t>
        </is>
      </c>
      <c r="C2846" s="12" t="inlineStr">
        <is>
          <t>Water / utilities</t>
        </is>
      </c>
      <c r="D2846" s="12" t="inlineStr">
        <is>
          <t>Home run JB-Demineralised wate-DI01 to the control / marshalling room</t>
        </is>
      </c>
      <c r="E2846" s="12" t="inlineStr">
        <is>
          <t>R-WT</t>
        </is>
      </c>
      <c r="F2846" s="12" t="inlineStr">
        <is>
          <t>Water treatment building (incl. R-WT electrical room)</t>
        </is>
      </c>
      <c r="G2846" s="12" t="inlineStr">
        <is>
          <t>JB-Demineralised wate-DI01</t>
        </is>
      </c>
      <c r="H2846" s="12" t="inlineStr">
        <is>
          <t>Demineralised water tank</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28</v>
      </c>
      <c r="U2846" s="16" t="n">
        <v>123</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E-I-0022</t>
        </is>
      </c>
      <c r="B2847" s="12" t="inlineStr">
        <is>
          <t>E</t>
        </is>
      </c>
      <c r="C2847" s="12" t="inlineStr">
        <is>
          <t>Water / utilities</t>
        </is>
      </c>
      <c r="D2847" s="12" t="inlineStr">
        <is>
          <t>Analog instrument to JB JB-Fire / service wat-AI01: 4 x 1 pr (field cables)</t>
        </is>
      </c>
      <c r="E2847" s="12" t="inlineStr"/>
      <c r="F2847" s="12" t="inlineStr">
        <is>
          <t>Fire / service water tank</t>
        </is>
      </c>
      <c r="G2847" s="12" t="inlineStr">
        <is>
          <t>JB-Fire / service wat-AI01</t>
        </is>
      </c>
      <c r="H2847" s="12" t="inlineStr">
        <is>
          <t>Fire / service water tank</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4</v>
      </c>
      <c r="O2847" s="12" t="n">
        <v>1</v>
      </c>
      <c r="P2847" s="12" t="n"/>
      <c r="Q2847" s="12" t="n"/>
      <c r="R2847" s="12" t="n"/>
      <c r="S2847" s="12" t="inlineStr">
        <is>
          <t>Tray / conduit</t>
        </is>
      </c>
      <c r="T2847" s="16" t="n">
        <v>95</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E-I-0023</t>
        </is>
      </c>
      <c r="B2848" s="12" t="inlineStr">
        <is>
          <t>E</t>
        </is>
      </c>
      <c r="C2848" s="12" t="inlineStr">
        <is>
          <t>Water / utilities</t>
        </is>
      </c>
      <c r="D2848" s="12" t="inlineStr">
        <is>
          <t>Home run JB-Fire / service wat-AI01 to the control / marshalling room</t>
        </is>
      </c>
      <c r="E2848" s="12" t="inlineStr">
        <is>
          <t>R-WT</t>
        </is>
      </c>
      <c r="F2848" s="12" t="inlineStr">
        <is>
          <t>Water treatment building (incl. R-WT electrical room)</t>
        </is>
      </c>
      <c r="G2848" s="12" t="inlineStr">
        <is>
          <t>JB-Fire / service wat-AI01</t>
        </is>
      </c>
      <c r="H2848" s="12" t="inlineStr">
        <is>
          <t>Fire / service water tank</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0</v>
      </c>
      <c r="U2848" s="16" t="n">
        <v>100</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E-I-0024</t>
        </is>
      </c>
      <c r="B2849" s="12" t="inlineStr">
        <is>
          <t>E</t>
        </is>
      </c>
      <c r="C2849" s="12" t="inlineStr">
        <is>
          <t>Water / utilities</t>
        </is>
      </c>
      <c r="D2849" s="12" t="inlineStr">
        <is>
          <t>Discrete device to JB JB-Fire / service wat-DI01: 4 x 1 pr (field cables)</t>
        </is>
      </c>
      <c r="E2849" s="12" t="inlineStr"/>
      <c r="F2849" s="12" t="inlineStr">
        <is>
          <t>Fire / service water tank</t>
        </is>
      </c>
      <c r="G2849" s="12" t="inlineStr">
        <is>
          <t>JB-Fire / service wat-DI01</t>
        </is>
      </c>
      <c r="H2849" s="12" t="inlineStr">
        <is>
          <t>Fire / service water tank</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4</v>
      </c>
      <c r="O2849" s="12" t="n">
        <v>1</v>
      </c>
      <c r="P2849" s="12" t="n"/>
      <c r="Q2849" s="12" t="n"/>
      <c r="R2849" s="12" t="n"/>
      <c r="S2849" s="12" t="inlineStr">
        <is>
          <t>Tray / conduit</t>
        </is>
      </c>
      <c r="T2849" s="16" t="n">
        <v>95</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E-I-0025</t>
        </is>
      </c>
      <c r="B2850" s="12" t="inlineStr">
        <is>
          <t>E</t>
        </is>
      </c>
      <c r="C2850" s="12" t="inlineStr">
        <is>
          <t>Water / utilities</t>
        </is>
      </c>
      <c r="D2850" s="12" t="inlineStr">
        <is>
          <t>Home run JB-Fire / service wat-DI01 to the control / marshalling room</t>
        </is>
      </c>
      <c r="E2850" s="12" t="inlineStr">
        <is>
          <t>R-WT</t>
        </is>
      </c>
      <c r="F2850" s="12" t="inlineStr">
        <is>
          <t>Water treatment building (incl. R-WT electrical room)</t>
        </is>
      </c>
      <c r="G2850" s="12" t="inlineStr">
        <is>
          <t>JB-Fire / service wat-DI01</t>
        </is>
      </c>
      <c r="H2850" s="12" t="inlineStr">
        <is>
          <t>Fire / service water tank</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0</v>
      </c>
      <c r="U2850" s="16" t="n">
        <v>100</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E-I-0026</t>
        </is>
      </c>
      <c r="B2851" s="12" t="inlineStr">
        <is>
          <t>E</t>
        </is>
      </c>
      <c r="C2851" s="12" t="inlineStr">
        <is>
          <t>Water / utilities</t>
        </is>
      </c>
      <c r="D2851" s="12" t="inlineStr">
        <is>
          <t>Analog instrument to JB JB-Fire pump house-AI01: 10 x 1 pr (field cables)</t>
        </is>
      </c>
      <c r="E2851" s="12" t="inlineStr"/>
      <c r="F2851" s="12" t="inlineStr">
        <is>
          <t>Fire pump house</t>
        </is>
      </c>
      <c r="G2851" s="12" t="inlineStr">
        <is>
          <t>JB-Fire pump house-AI01</t>
        </is>
      </c>
      <c r="H2851" s="12" t="inlineStr">
        <is>
          <t>Fire pump house</t>
        </is>
      </c>
      <c r="I2851" s="12" t="inlineStr">
        <is>
          <t>Instrumentation</t>
        </is>
      </c>
      <c r="J2851" s="12" t="inlineStr">
        <is>
          <t>Instrumentation PLTC / TC-ER 300 V, #18 twisted shielded pairs, overall shield</t>
        </is>
      </c>
      <c r="K2851" s="12" t="inlineStr">
        <is>
          <t>PLTC|1 pr|16</t>
        </is>
      </c>
      <c r="L2851" s="12" t="inlineStr">
        <is>
          <t>1 pr</t>
        </is>
      </c>
      <c r="M2851" s="12" t="inlineStr">
        <is>
          <t>16</t>
        </is>
      </c>
      <c r="N2851" s="12" t="n">
        <v>10</v>
      </c>
      <c r="O2851" s="12" t="n">
        <v>1</v>
      </c>
      <c r="P2851" s="12" t="n"/>
      <c r="Q2851" s="12" t="n"/>
      <c r="R2851" s="12" t="n"/>
      <c r="S2851" s="12" t="inlineStr">
        <is>
          <t>Tray / conduit</t>
        </is>
      </c>
      <c r="T2851" s="16" t="n">
        <v>66</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E-I-0027</t>
        </is>
      </c>
      <c r="B2852" s="12" t="inlineStr">
        <is>
          <t>E</t>
        </is>
      </c>
      <c r="C2852" s="12" t="inlineStr">
        <is>
          <t>Water / utilities</t>
        </is>
      </c>
      <c r="D2852" s="12" t="inlineStr">
        <is>
          <t>Home run JB-Fire pump house-AI01 to the control / marshalling room</t>
        </is>
      </c>
      <c r="E2852" s="12" t="inlineStr">
        <is>
          <t>R-WT</t>
        </is>
      </c>
      <c r="F2852" s="12" t="inlineStr">
        <is>
          <t>Water treatment building (incl. R-WT electrical room)</t>
        </is>
      </c>
      <c r="G2852" s="12" t="inlineStr">
        <is>
          <t>JB-Fire pump house-AI01</t>
        </is>
      </c>
      <c r="H2852" s="12" t="inlineStr">
        <is>
          <t>Fire pump house</t>
        </is>
      </c>
      <c r="I2852" s="12" t="inlineStr">
        <is>
          <t>Instrumentation</t>
        </is>
      </c>
      <c r="J2852" s="12" t="inlineStr">
        <is>
          <t>Instrumentation PLTC / TC-ER 300 V, #18 twisted shielded pairs, overall shield</t>
        </is>
      </c>
      <c r="K2852" s="12" t="inlineStr">
        <is>
          <t>PLTC|24 pr|18</t>
        </is>
      </c>
      <c r="L2852" s="12" t="inlineStr">
        <is>
          <t>24 pr</t>
        </is>
      </c>
      <c r="M2852" s="12" t="inlineStr">
        <is>
          <t>18</t>
        </is>
      </c>
      <c r="N2852" s="12" t="n">
        <v>1</v>
      </c>
      <c r="O2852" s="12" t="n">
        <v>1</v>
      </c>
      <c r="P2852" s="12" t="n"/>
      <c r="Q2852" s="12" t="n"/>
      <c r="R2852" s="12" t="n"/>
      <c r="S2852" s="12" t="inlineStr">
        <is>
          <t>Duct bank</t>
        </is>
      </c>
      <c r="T2852" s="16" t="n">
        <v>160</v>
      </c>
      <c r="U2852" s="16" t="n">
        <v>96</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E-I-0028</t>
        </is>
      </c>
      <c r="B2853" s="12" t="inlineStr">
        <is>
          <t>E</t>
        </is>
      </c>
      <c r="C2853" s="12" t="inlineStr">
        <is>
          <t>Water / utilities</t>
        </is>
      </c>
      <c r="D2853" s="12" t="inlineStr">
        <is>
          <t>Discrete device to JB JB-Fire pump house-DI01: 20 x 1 pr (field cables)</t>
        </is>
      </c>
      <c r="E2853" s="12" t="inlineStr"/>
      <c r="F2853" s="12" t="inlineStr">
        <is>
          <t>Fire pump house</t>
        </is>
      </c>
      <c r="G2853" s="12" t="inlineStr">
        <is>
          <t>JB-Fire pump house-DI01</t>
        </is>
      </c>
      <c r="H2853" s="12" t="inlineStr">
        <is>
          <t>Fire pump house</t>
        </is>
      </c>
      <c r="I2853" s="12" t="inlineStr">
        <is>
          <t>Instrumentation</t>
        </is>
      </c>
      <c r="J2853" s="12" t="inlineStr">
        <is>
          <t>Instrumentation PLTC / TC-ER 300 V, #18 twisted shielded pairs, overall shield</t>
        </is>
      </c>
      <c r="K2853" s="12" t="inlineStr">
        <is>
          <t>PLTC|1 pr|16</t>
        </is>
      </c>
      <c r="L2853" s="12" t="inlineStr">
        <is>
          <t>1 pr</t>
        </is>
      </c>
      <c r="M2853" s="12" t="inlineStr">
        <is>
          <t>16</t>
        </is>
      </c>
      <c r="N2853" s="12" t="n">
        <v>20</v>
      </c>
      <c r="O2853" s="12" t="n">
        <v>1</v>
      </c>
      <c r="P2853" s="12" t="n"/>
      <c r="Q2853" s="12" t="n"/>
      <c r="R2853" s="12" t="n"/>
      <c r="S2853" s="12" t="inlineStr">
        <is>
          <t>Tray / conduit</t>
        </is>
      </c>
      <c r="T2853" s="16" t="n">
        <v>66</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E-I-0029</t>
        </is>
      </c>
      <c r="B2854" s="12" t="inlineStr">
        <is>
          <t>E</t>
        </is>
      </c>
      <c r="C2854" s="12" t="inlineStr">
        <is>
          <t>Water / utilities</t>
        </is>
      </c>
      <c r="D2854" s="12" t="inlineStr">
        <is>
          <t>Home run JB-Fire pump house-DI01 to the control / marshalling room</t>
        </is>
      </c>
      <c r="E2854" s="12" t="inlineStr">
        <is>
          <t>R-WT</t>
        </is>
      </c>
      <c r="F2854" s="12" t="inlineStr">
        <is>
          <t>Water treatment building (incl. R-WT electrical room)</t>
        </is>
      </c>
      <c r="G2854" s="12" t="inlineStr">
        <is>
          <t>JB-Fire pump house-DI01</t>
        </is>
      </c>
      <c r="H2854" s="12" t="inlineStr">
        <is>
          <t>Fire pump house</t>
        </is>
      </c>
      <c r="I2854" s="12" t="inlineStr">
        <is>
          <t>Instrumentation</t>
        </is>
      </c>
      <c r="J2854" s="12" t="inlineStr">
        <is>
          <t>Instrumentation PLTC / TC-ER 300 V, #18 twisted shielded pairs, overall shield</t>
        </is>
      </c>
      <c r="K2854" s="12" t="inlineStr">
        <is>
          <t>PLTC|24 pr|18</t>
        </is>
      </c>
      <c r="L2854" s="12" t="inlineStr">
        <is>
          <t>24 pr</t>
        </is>
      </c>
      <c r="M2854" s="12" t="inlineStr">
        <is>
          <t>18</t>
        </is>
      </c>
      <c r="N2854" s="12" t="n">
        <v>1</v>
      </c>
      <c r="O2854" s="12" t="n">
        <v>1</v>
      </c>
      <c r="P2854" s="12" t="n"/>
      <c r="Q2854" s="12" t="n"/>
      <c r="R2854" s="12" t="n"/>
      <c r="S2854" s="12" t="inlineStr">
        <is>
          <t>Duct bank</t>
        </is>
      </c>
      <c r="T2854" s="16" t="n">
        <v>160</v>
      </c>
      <c r="U2854" s="16" t="n">
        <v>96</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E-I-0030</t>
        </is>
      </c>
      <c r="B2855" s="12" t="inlineStr">
        <is>
          <t>E</t>
        </is>
      </c>
      <c r="C2855" s="12" t="inlineStr">
        <is>
          <t>Water / utilities</t>
        </is>
      </c>
      <c r="D2855" s="12" t="inlineStr">
        <is>
          <t>Discrete device to JB JB-Fire pump house-DI02: 10 x 1 pr (field cables)</t>
        </is>
      </c>
      <c r="E2855" s="12" t="inlineStr"/>
      <c r="F2855" s="12" t="inlineStr">
        <is>
          <t>Fire pump house</t>
        </is>
      </c>
      <c r="G2855" s="12" t="inlineStr">
        <is>
          <t>JB-Fire pump house-DI02</t>
        </is>
      </c>
      <c r="H2855" s="12" t="inlineStr">
        <is>
          <t>Fire pump house</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10</v>
      </c>
      <c r="O2855" s="12" t="n">
        <v>1</v>
      </c>
      <c r="P2855" s="12" t="n"/>
      <c r="Q2855" s="12" t="n"/>
      <c r="R2855" s="12" t="n"/>
      <c r="S2855" s="12" t="inlineStr">
        <is>
          <t>Tray / conduit</t>
        </is>
      </c>
      <c r="T2855" s="16" t="n">
        <v>66</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E-I-0031</t>
        </is>
      </c>
      <c r="B2856" s="12" t="inlineStr">
        <is>
          <t>E</t>
        </is>
      </c>
      <c r="C2856" s="12" t="inlineStr">
        <is>
          <t>Water / utilities</t>
        </is>
      </c>
      <c r="D2856" s="12" t="inlineStr">
        <is>
          <t>Home run JB-Fire pump house-DI02 to the control / marshalling room</t>
        </is>
      </c>
      <c r="E2856" s="12" t="inlineStr">
        <is>
          <t>R-WT</t>
        </is>
      </c>
      <c r="F2856" s="12" t="inlineStr">
        <is>
          <t>Water treatment building (incl. R-WT electrical room)</t>
        </is>
      </c>
      <c r="G2856" s="12" t="inlineStr">
        <is>
          <t>JB-Fire pump house-DI02</t>
        </is>
      </c>
      <c r="H2856" s="12" t="inlineStr">
        <is>
          <t>Fire pump house</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160</v>
      </c>
      <c r="U2856" s="16" t="n">
        <v>96</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E-I-0032</t>
        </is>
      </c>
      <c r="B2857" s="12" t="inlineStr">
        <is>
          <t>E</t>
        </is>
      </c>
      <c r="C2857" s="12" t="inlineStr">
        <is>
          <t>Water / utilities</t>
        </is>
      </c>
      <c r="D2857" s="12" t="inlineStr">
        <is>
          <t>Analog instrument to JB JB-H2 / CO2 storage (-AI01: 8 x 1 pr (field cables)</t>
        </is>
      </c>
      <c r="E2857" s="12" t="inlineStr"/>
      <c r="F2857" s="12" t="inlineStr">
        <is>
          <t>H2 / CO2 storage (generator gas)</t>
        </is>
      </c>
      <c r="G2857" s="12" t="inlineStr">
        <is>
          <t>JB-H2 / CO2 storage (-AI01</t>
        </is>
      </c>
      <c r="H2857" s="12" t="inlineStr">
        <is>
          <t>H2 / CO2 storage (generator gas)</t>
        </is>
      </c>
      <c r="I2857" s="12" t="inlineStr">
        <is>
          <t>Instrumentation</t>
        </is>
      </c>
      <c r="J2857" s="12" t="inlineStr">
        <is>
          <t>Instrumentation ITC / PLTC, IS, #18 shielded pairs, blue jacket</t>
        </is>
      </c>
      <c r="K2857" s="12" t="inlineStr">
        <is>
          <t>ITC|1 pr|16</t>
        </is>
      </c>
      <c r="L2857" s="12" t="inlineStr">
        <is>
          <t>1 pr</t>
        </is>
      </c>
      <c r="M2857" s="12" t="inlineStr">
        <is>
          <t>16</t>
        </is>
      </c>
      <c r="N2857" s="12" t="n">
        <v>8</v>
      </c>
      <c r="O2857" s="12" t="n">
        <v>1</v>
      </c>
      <c r="P2857" s="12" t="n"/>
      <c r="Q2857" s="12" t="n"/>
      <c r="R2857" s="12" t="n"/>
      <c r="S2857" s="12" t="inlineStr">
        <is>
          <t>Tray / conduit</t>
        </is>
      </c>
      <c r="T2857" s="16" t="n">
        <v>82</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E-I-0033</t>
        </is>
      </c>
      <c r="B2858" s="12" t="inlineStr">
        <is>
          <t>E</t>
        </is>
      </c>
      <c r="C2858" s="12" t="inlineStr">
        <is>
          <t>Water / utilities</t>
        </is>
      </c>
      <c r="D2858" s="12" t="inlineStr">
        <is>
          <t>Home run JB-H2 / CO2 storage (-AI01 to the control / marshalling room</t>
        </is>
      </c>
      <c r="E2858" s="12" t="inlineStr">
        <is>
          <t>R-WT</t>
        </is>
      </c>
      <c r="F2858" s="12" t="inlineStr">
        <is>
          <t>Water treatment building (incl. R-WT electrical room)</t>
        </is>
      </c>
      <c r="G2858" s="12" t="inlineStr">
        <is>
          <t>JB-H2 / CO2 storage (-AI01</t>
        </is>
      </c>
      <c r="H2858" s="12" t="inlineStr">
        <is>
          <t>H2 / CO2 storage (generator gas)</t>
        </is>
      </c>
      <c r="I2858" s="12" t="inlineStr">
        <is>
          <t>Instrumentation</t>
        </is>
      </c>
      <c r="J2858" s="12" t="inlineStr">
        <is>
          <t>Instrumentation ITC / PLTC, IS, #18 shielded pairs, blue jacket</t>
        </is>
      </c>
      <c r="K2858" s="12" t="inlineStr">
        <is>
          <t>ITC|24 pr|18</t>
        </is>
      </c>
      <c r="L2858" s="12" t="inlineStr">
        <is>
          <t>24 pr</t>
        </is>
      </c>
      <c r="M2858" s="12" t="inlineStr">
        <is>
          <t>18</t>
        </is>
      </c>
      <c r="N2858" s="12" t="n">
        <v>1</v>
      </c>
      <c r="O2858" s="12" t="n">
        <v>1</v>
      </c>
      <c r="P2858" s="12" t="n"/>
      <c r="Q2858" s="12" t="n"/>
      <c r="R2858" s="12" t="n"/>
      <c r="S2858" s="12" t="inlineStr">
        <is>
          <t>Duct bank</t>
        </is>
      </c>
      <c r="T2858" s="16" t="n">
        <v>535</v>
      </c>
      <c r="U2858" s="16" t="n">
        <v>32</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E-I-0034</t>
        </is>
      </c>
      <c r="B2859" s="12" t="inlineStr">
        <is>
          <t>E</t>
        </is>
      </c>
      <c r="C2859" s="12" t="inlineStr">
        <is>
          <t>Water / utilities</t>
        </is>
      </c>
      <c r="D2859" s="12" t="inlineStr">
        <is>
          <t>Discrete device to JB JB-H2 / CO2 storage (-DI01: 8 x 1 pr (field cables)</t>
        </is>
      </c>
      <c r="E2859" s="12" t="inlineStr"/>
      <c r="F2859" s="12" t="inlineStr">
        <is>
          <t>H2 / CO2 storage (generator gas)</t>
        </is>
      </c>
      <c r="G2859" s="12" t="inlineStr">
        <is>
          <t>JB-H2 / CO2 storage (-DI01</t>
        </is>
      </c>
      <c r="H2859" s="12" t="inlineStr">
        <is>
          <t>H2 / CO2 storage (generator gas)</t>
        </is>
      </c>
      <c r="I2859" s="12" t="inlineStr">
        <is>
          <t>Instrumentation</t>
        </is>
      </c>
      <c r="J2859" s="12" t="inlineStr">
        <is>
          <t>Instrumentation ITC / PLTC, IS, #18 shielded pairs, blue jacket</t>
        </is>
      </c>
      <c r="K2859" s="12" t="inlineStr">
        <is>
          <t>ITC|1 pr|16</t>
        </is>
      </c>
      <c r="L2859" s="12" t="inlineStr">
        <is>
          <t>1 pr</t>
        </is>
      </c>
      <c r="M2859" s="12" t="inlineStr">
        <is>
          <t>16</t>
        </is>
      </c>
      <c r="N2859" s="12" t="n">
        <v>8</v>
      </c>
      <c r="O2859" s="12" t="n">
        <v>1</v>
      </c>
      <c r="P2859" s="12" t="n"/>
      <c r="Q2859" s="12" t="n"/>
      <c r="R2859" s="12" t="n"/>
      <c r="S2859" s="12" t="inlineStr">
        <is>
          <t>Tray / conduit</t>
        </is>
      </c>
      <c r="T2859" s="16" t="n">
        <v>82</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E-I-0035</t>
        </is>
      </c>
      <c r="B2860" s="12" t="inlineStr">
        <is>
          <t>E</t>
        </is>
      </c>
      <c r="C2860" s="12" t="inlineStr">
        <is>
          <t>Water / utilities</t>
        </is>
      </c>
      <c r="D2860" s="12" t="inlineStr">
        <is>
          <t>Home run JB-H2 / CO2 storage (-DI01 to the control / marshalling room</t>
        </is>
      </c>
      <c r="E2860" s="12" t="inlineStr">
        <is>
          <t>R-WT</t>
        </is>
      </c>
      <c r="F2860" s="12" t="inlineStr">
        <is>
          <t>Water treatment building (incl. R-WT electrical room)</t>
        </is>
      </c>
      <c r="G2860" s="12" t="inlineStr">
        <is>
          <t>JB-H2 / CO2 storage (-DI01</t>
        </is>
      </c>
      <c r="H2860" s="12" t="inlineStr">
        <is>
          <t>H2 / CO2 storage (generator gas)</t>
        </is>
      </c>
      <c r="I2860" s="12" t="inlineStr">
        <is>
          <t>Instrumentation</t>
        </is>
      </c>
      <c r="J2860" s="12" t="inlineStr">
        <is>
          <t>Instrumentation ITC / PLTC, IS, #18 shielded pairs, blue jacket</t>
        </is>
      </c>
      <c r="K2860" s="12" t="inlineStr">
        <is>
          <t>ITC|24 pr|18</t>
        </is>
      </c>
      <c r="L2860" s="12" t="inlineStr">
        <is>
          <t>24 pr</t>
        </is>
      </c>
      <c r="M2860" s="12" t="inlineStr">
        <is>
          <t>18</t>
        </is>
      </c>
      <c r="N2860" s="12" t="n">
        <v>1</v>
      </c>
      <c r="O2860" s="12" t="n">
        <v>1</v>
      </c>
      <c r="P2860" s="12" t="n"/>
      <c r="Q2860" s="12" t="n"/>
      <c r="R2860" s="12" t="n"/>
      <c r="S2860" s="12" t="inlineStr">
        <is>
          <t>Duct bank</t>
        </is>
      </c>
      <c r="T2860" s="16" t="n">
        <v>535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E-I-0036</t>
        </is>
      </c>
      <c r="B2861" s="12" t="inlineStr">
        <is>
          <t>E</t>
        </is>
      </c>
      <c r="C2861" s="12" t="inlineStr">
        <is>
          <t>Water / utilities</t>
        </is>
      </c>
      <c r="D2861" s="12" t="inlineStr">
        <is>
          <t>Analog instrument to JB JB-HTP-3-AI01: 4 x 1 pr (field cables)</t>
        </is>
      </c>
      <c r="E2861" s="12" t="inlineStr">
        <is>
          <t>HTP-3</t>
        </is>
      </c>
      <c r="F2861" s="12" t="inlineStr">
        <is>
          <t>HTP-3: heat-trace panel (tanks)</t>
        </is>
      </c>
      <c r="G2861" s="12" t="inlineStr">
        <is>
          <t>JB-HTP-3-AI01</t>
        </is>
      </c>
      <c r="H2861" s="12" t="inlineStr">
        <is>
          <t>HTP-3: heat-trace panel (tanks)</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40</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E-I-0037</t>
        </is>
      </c>
      <c r="B2862" s="12" t="inlineStr">
        <is>
          <t>E</t>
        </is>
      </c>
      <c r="C2862" s="12" t="inlineStr">
        <is>
          <t>Water / utilities</t>
        </is>
      </c>
      <c r="D2862" s="12" t="inlineStr">
        <is>
          <t>Home run JB-HTP-3-AI01 to the control / marshalling room</t>
        </is>
      </c>
      <c r="E2862" s="12" t="inlineStr">
        <is>
          <t>R-WT</t>
        </is>
      </c>
      <c r="F2862" s="12" t="inlineStr">
        <is>
          <t>Water treatment building (incl. R-WT electrical room)</t>
        </is>
      </c>
      <c r="G2862" s="12" t="inlineStr">
        <is>
          <t>JB-HTP-3-AI01</t>
        </is>
      </c>
      <c r="H2862" s="12" t="inlineStr">
        <is>
          <t>HTP-3: heat-trace panel (tanks)</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0</v>
      </c>
      <c r="U2862" s="16" t="n">
        <v>58</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E-I-0038</t>
        </is>
      </c>
      <c r="B2863" s="12" t="inlineStr">
        <is>
          <t>E</t>
        </is>
      </c>
      <c r="C2863" s="12" t="inlineStr">
        <is>
          <t>Water / utilities</t>
        </is>
      </c>
      <c r="D2863" s="12" t="inlineStr">
        <is>
          <t>Discrete device to JB JB-HTP-3-DI01: 4 x 1 pr (field cables)</t>
        </is>
      </c>
      <c r="E2863" s="12" t="inlineStr">
        <is>
          <t>HTP-3</t>
        </is>
      </c>
      <c r="F2863" s="12" t="inlineStr">
        <is>
          <t>HTP-3: heat-trace panel (tanks)</t>
        </is>
      </c>
      <c r="G2863" s="12" t="inlineStr">
        <is>
          <t>JB-HTP-3-DI01</t>
        </is>
      </c>
      <c r="H2863" s="12" t="inlineStr">
        <is>
          <t>HTP-3: heat-trace panel (tanks)</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40</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E-I-0039</t>
        </is>
      </c>
      <c r="B2864" s="12" t="inlineStr">
        <is>
          <t>E</t>
        </is>
      </c>
      <c r="C2864" s="12" t="inlineStr">
        <is>
          <t>Water / utilities</t>
        </is>
      </c>
      <c r="D2864" s="12" t="inlineStr">
        <is>
          <t>Home run JB-HTP-3-DI01 to the control / marshalling room</t>
        </is>
      </c>
      <c r="E2864" s="12" t="inlineStr">
        <is>
          <t>R-WT</t>
        </is>
      </c>
      <c r="F2864" s="12" t="inlineStr">
        <is>
          <t>Water treatment building (incl. R-WT electrical room)</t>
        </is>
      </c>
      <c r="G2864" s="12" t="inlineStr">
        <is>
          <t>JB-HTP-3-DI01</t>
        </is>
      </c>
      <c r="H2864" s="12" t="inlineStr">
        <is>
          <t>HTP-3: heat-trace panel (tanks)</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0</v>
      </c>
      <c r="U2864" s="16" t="n">
        <v>58</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E-I-0040</t>
        </is>
      </c>
      <c r="B2865" s="12" t="inlineStr">
        <is>
          <t>E</t>
        </is>
      </c>
      <c r="C2865" s="12" t="inlineStr">
        <is>
          <t>Water / utilities</t>
        </is>
      </c>
      <c r="D2865" s="12" t="inlineStr">
        <is>
          <t>Analog instrument to JB JB-Oil-water separato-AI01: 4 x 1 pr (field cables)</t>
        </is>
      </c>
      <c r="E2865" s="12" t="inlineStr"/>
      <c r="F2865" s="12" t="inlineStr">
        <is>
          <t>Oil-water separator</t>
        </is>
      </c>
      <c r="G2865" s="12" t="inlineStr">
        <is>
          <t>JB-Oil-water separato-AI01</t>
        </is>
      </c>
      <c r="H2865" s="12" t="inlineStr">
        <is>
          <t>Oil-water separator</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45</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E-I-0041</t>
        </is>
      </c>
      <c r="B2866" s="12" t="inlineStr">
        <is>
          <t>E</t>
        </is>
      </c>
      <c r="C2866" s="12" t="inlineStr">
        <is>
          <t>Water / utilities</t>
        </is>
      </c>
      <c r="D2866" s="12" t="inlineStr">
        <is>
          <t>Home run JB-Oil-water separato-AI01 to the control / marshalling room</t>
        </is>
      </c>
      <c r="E2866" s="12" t="inlineStr">
        <is>
          <t>R-WT</t>
        </is>
      </c>
      <c r="F2866" s="12" t="inlineStr">
        <is>
          <t>Water treatment building (incl. R-WT electrical room)</t>
        </is>
      </c>
      <c r="G2866" s="12" t="inlineStr">
        <is>
          <t>JB-Oil-water separato-AI01</t>
        </is>
      </c>
      <c r="H2866" s="12" t="inlineStr">
        <is>
          <t>Oil-water separator</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655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E-I-0042</t>
        </is>
      </c>
      <c r="B2867" s="12" t="inlineStr">
        <is>
          <t>E</t>
        </is>
      </c>
      <c r="C2867" s="12" t="inlineStr">
        <is>
          <t>Water / utilities</t>
        </is>
      </c>
      <c r="D2867" s="12" t="inlineStr">
        <is>
          <t>Discrete device to JB JB-Oil-water separato-DI01: 4 x 1 pr (field cables)</t>
        </is>
      </c>
      <c r="E2867" s="12" t="inlineStr"/>
      <c r="F2867" s="12" t="inlineStr">
        <is>
          <t>Oil-water separator</t>
        </is>
      </c>
      <c r="G2867" s="12" t="inlineStr">
        <is>
          <t>JB-Oil-water separato-DI01</t>
        </is>
      </c>
      <c r="H2867" s="12" t="inlineStr">
        <is>
          <t>Oil-water separator</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6" t="n">
        <v>45</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E-I-0043</t>
        </is>
      </c>
      <c r="B2868" s="12" t="inlineStr">
        <is>
          <t>E</t>
        </is>
      </c>
      <c r="C2868" s="12" t="inlineStr">
        <is>
          <t>Water / utilities</t>
        </is>
      </c>
      <c r="D2868" s="12" t="inlineStr">
        <is>
          <t>Home run JB-Oil-water separato-DI01 to the control / marshalling room</t>
        </is>
      </c>
      <c r="E2868" s="12" t="inlineStr">
        <is>
          <t>R-WT</t>
        </is>
      </c>
      <c r="F2868" s="12" t="inlineStr">
        <is>
          <t>Water treatment building (incl. R-WT electrical room)</t>
        </is>
      </c>
      <c r="G2868" s="12" t="inlineStr">
        <is>
          <t>JB-Oil-water separato-DI01</t>
        </is>
      </c>
      <c r="H2868" s="12" t="inlineStr">
        <is>
          <t>Oil-water separator</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655</v>
      </c>
      <c r="U2868" s="16" t="n">
        <v>32</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E-I-0044</t>
        </is>
      </c>
      <c r="B2869" s="12" t="inlineStr">
        <is>
          <t>E</t>
        </is>
      </c>
      <c r="C2869" s="12" t="inlineStr">
        <is>
          <t>Water / utilities</t>
        </is>
      </c>
      <c r="D2869" s="12" t="inlineStr">
        <is>
          <t>Analog instrument to JB JB-Raw water tank-AI01: 4 x 1 pr (field cables)</t>
        </is>
      </c>
      <c r="E2869" s="12" t="inlineStr"/>
      <c r="F2869" s="12" t="inlineStr">
        <is>
          <t>Raw water tank</t>
        </is>
      </c>
      <c r="G2869" s="12" t="inlineStr">
        <is>
          <t>JB-Raw water tank-AI01</t>
        </is>
      </c>
      <c r="H2869" s="12" t="inlineStr">
        <is>
          <t>Raw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6" t="n">
        <v>86</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E-I-0045</t>
        </is>
      </c>
      <c r="B2870" s="12" t="inlineStr">
        <is>
          <t>E</t>
        </is>
      </c>
      <c r="C2870" s="12" t="inlineStr">
        <is>
          <t>Water / utilities</t>
        </is>
      </c>
      <c r="D2870" s="12" t="inlineStr">
        <is>
          <t>Home run JB-Raw water tank-AI01 to the control / marshalling room</t>
        </is>
      </c>
      <c r="E2870" s="12" t="inlineStr">
        <is>
          <t>R-WT</t>
        </is>
      </c>
      <c r="F2870" s="12" t="inlineStr">
        <is>
          <t>Water treatment building (incl. R-WT electrical room)</t>
        </is>
      </c>
      <c r="G2870" s="12" t="inlineStr">
        <is>
          <t>JB-Raw water tank-AI01</t>
        </is>
      </c>
      <c r="H2870" s="12" t="inlineStr">
        <is>
          <t>Raw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125</v>
      </c>
      <c r="U2870" s="16" t="n">
        <v>32</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E-I-0046</t>
        </is>
      </c>
      <c r="B2871" s="12" t="inlineStr">
        <is>
          <t>E</t>
        </is>
      </c>
      <c r="C2871" s="12" t="inlineStr">
        <is>
          <t>Water / utilities</t>
        </is>
      </c>
      <c r="D2871" s="12" t="inlineStr">
        <is>
          <t>Discrete device to JB JB-Raw water tank-DI01: 4 x 1 pr (field cables)</t>
        </is>
      </c>
      <c r="E2871" s="12" t="inlineStr"/>
      <c r="F2871" s="12" t="inlineStr">
        <is>
          <t>Raw water tank</t>
        </is>
      </c>
      <c r="G2871" s="12" t="inlineStr">
        <is>
          <t>JB-Raw water tank-DI01</t>
        </is>
      </c>
      <c r="H2871" s="12" t="inlineStr">
        <is>
          <t>Raw water tank</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4</v>
      </c>
      <c r="O2871" s="12" t="n">
        <v>1</v>
      </c>
      <c r="P2871" s="12" t="n"/>
      <c r="Q2871" s="12" t="n"/>
      <c r="R2871" s="12" t="n"/>
      <c r="S2871" s="12" t="inlineStr">
        <is>
          <t>Tray / conduit</t>
        </is>
      </c>
      <c r="T2871" s="16" t="n">
        <v>86</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E-I-0047</t>
        </is>
      </c>
      <c r="B2872" s="12" t="inlineStr">
        <is>
          <t>E</t>
        </is>
      </c>
      <c r="C2872" s="12" t="inlineStr">
        <is>
          <t>Water / utilities</t>
        </is>
      </c>
      <c r="D2872" s="12" t="inlineStr">
        <is>
          <t>Home run JB-Raw water tank-DI01 to the control / marshalling room</t>
        </is>
      </c>
      <c r="E2872" s="12" t="inlineStr">
        <is>
          <t>R-WT</t>
        </is>
      </c>
      <c r="F2872" s="12" t="inlineStr">
        <is>
          <t>Water treatment building (incl. R-WT electrical room)</t>
        </is>
      </c>
      <c r="G2872" s="12" t="inlineStr">
        <is>
          <t>JB-Raw water tank-DI01</t>
        </is>
      </c>
      <c r="H2872" s="12" t="inlineStr">
        <is>
          <t>Raw water tank</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125</v>
      </c>
      <c r="U2872" s="16" t="n">
        <v>32</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E-I-0048</t>
        </is>
      </c>
      <c r="B2873" s="12" t="inlineStr">
        <is>
          <t>E</t>
        </is>
      </c>
      <c r="C2873" s="12" t="inlineStr">
        <is>
          <t>Water / utilities</t>
        </is>
      </c>
      <c r="D2873" s="12" t="inlineStr">
        <is>
          <t>Analog instrument to JB JB-Wastewater treatme-AI01: 20 x 1 pr (field cables)</t>
        </is>
      </c>
      <c r="E2873" s="12" t="inlineStr"/>
      <c r="F2873" s="12" t="inlineStr">
        <is>
          <t>Wastewater treatment</t>
        </is>
      </c>
      <c r="G2873" s="12" t="inlineStr">
        <is>
          <t>JB-Wastewater treatme-AI01</t>
        </is>
      </c>
      <c r="H2873" s="12" t="inlineStr">
        <is>
          <t>Wastewater treatment</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140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E-I-0049</t>
        </is>
      </c>
      <c r="B2874" s="12" t="inlineStr">
        <is>
          <t>E</t>
        </is>
      </c>
      <c r="C2874" s="12" t="inlineStr">
        <is>
          <t>Water / utilities</t>
        </is>
      </c>
      <c r="D2874" s="12" t="inlineStr">
        <is>
          <t>Home run JB-Wastewater treatme-AI01 to the control / marshalling room</t>
        </is>
      </c>
      <c r="E2874" s="12" t="inlineStr">
        <is>
          <t>R-WT</t>
        </is>
      </c>
      <c r="F2874" s="12" t="inlineStr">
        <is>
          <t>Water treatment building (incl. R-WT electrical room)</t>
        </is>
      </c>
      <c r="G2874" s="12" t="inlineStr">
        <is>
          <t>JB-Wastewater treatme-AI01</t>
        </is>
      </c>
      <c r="H2874" s="12" t="inlineStr">
        <is>
          <t>Wastewater treatment</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6" t="n">
        <v>15</v>
      </c>
      <c r="U2874" s="16" t="n">
        <v>99</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E-I-0050</t>
        </is>
      </c>
      <c r="B2875" s="12" t="inlineStr">
        <is>
          <t>E</t>
        </is>
      </c>
      <c r="C2875" s="12" t="inlineStr">
        <is>
          <t>Water / utilities</t>
        </is>
      </c>
      <c r="D2875" s="12" t="inlineStr">
        <is>
          <t>Discrete device to JB JB-Wastewater treatme-DI01: 20 x 1 pr (field cables)</t>
        </is>
      </c>
      <c r="E2875" s="12" t="inlineStr"/>
      <c r="F2875" s="12" t="inlineStr">
        <is>
          <t>Wastewater treatment</t>
        </is>
      </c>
      <c r="G2875" s="12" t="inlineStr">
        <is>
          <t>JB-Wastewater treatme-DI01</t>
        </is>
      </c>
      <c r="H2875" s="12" t="inlineStr">
        <is>
          <t>Wastewater treatment</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140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E-I-0051</t>
        </is>
      </c>
      <c r="B2876" s="12" t="inlineStr">
        <is>
          <t>E</t>
        </is>
      </c>
      <c r="C2876" s="12" t="inlineStr">
        <is>
          <t>Water / utilities</t>
        </is>
      </c>
      <c r="D2876" s="12" t="inlineStr">
        <is>
          <t>Home run JB-Wastewater treatme-DI01 to the control / marshalling room</t>
        </is>
      </c>
      <c r="E2876" s="12" t="inlineStr">
        <is>
          <t>R-WT</t>
        </is>
      </c>
      <c r="F2876" s="12" t="inlineStr">
        <is>
          <t>Water treatment building (incl. R-WT electrical room)</t>
        </is>
      </c>
      <c r="G2876" s="12" t="inlineStr">
        <is>
          <t>JB-Wastewater treatme-DI01</t>
        </is>
      </c>
      <c r="H2876" s="12" t="inlineStr">
        <is>
          <t>Wastewater treatment</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6" t="n">
        <v>15</v>
      </c>
      <c r="U2876" s="16" t="n">
        <v>99</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E-I-0052</t>
        </is>
      </c>
      <c r="B2877" s="12" t="inlineStr">
        <is>
          <t>E</t>
        </is>
      </c>
      <c r="C2877" s="12" t="inlineStr">
        <is>
          <t>Water / utilities</t>
        </is>
      </c>
      <c r="D2877" s="12" t="inlineStr">
        <is>
          <t>Discrete device to JB JB-Wastewater treatme-DI02: 10 x 1 pr (field cables)</t>
        </is>
      </c>
      <c r="E2877" s="12" t="inlineStr"/>
      <c r="F2877" s="12" t="inlineStr">
        <is>
          <t>Wastewater treatment</t>
        </is>
      </c>
      <c r="G2877" s="12" t="inlineStr">
        <is>
          <t>JB-Wastewater treatme-DI02</t>
        </is>
      </c>
      <c r="H2877" s="12" t="inlineStr">
        <is>
          <t>Wastewater treatment</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10</v>
      </c>
      <c r="O2877" s="12" t="n">
        <v>1</v>
      </c>
      <c r="P2877" s="12" t="n"/>
      <c r="Q2877" s="12" t="n"/>
      <c r="R2877" s="12" t="n"/>
      <c r="S2877" s="12" t="inlineStr">
        <is>
          <t>Tray / conduit</t>
        </is>
      </c>
      <c r="T2877" s="16" t="n">
        <v>140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E-I-0053</t>
        </is>
      </c>
      <c r="B2878" s="12" t="inlineStr">
        <is>
          <t>E</t>
        </is>
      </c>
      <c r="C2878" s="12" t="inlineStr">
        <is>
          <t>Water / utilities</t>
        </is>
      </c>
      <c r="D2878" s="12" t="inlineStr">
        <is>
          <t>Home run JB-Wastewater treatme-DI02 to the control / marshalling room</t>
        </is>
      </c>
      <c r="E2878" s="12" t="inlineStr">
        <is>
          <t>R-WT</t>
        </is>
      </c>
      <c r="F2878" s="12" t="inlineStr">
        <is>
          <t>Water treatment building (incl. R-WT electrical room)</t>
        </is>
      </c>
      <c r="G2878" s="12" t="inlineStr">
        <is>
          <t>JB-Wastewater treatme-DI02</t>
        </is>
      </c>
      <c r="H2878" s="12" t="inlineStr">
        <is>
          <t>Wastewater treatment</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Duct bank</t>
        </is>
      </c>
      <c r="T2878" s="16" t="n">
        <v>15</v>
      </c>
      <c r="U2878" s="16" t="n">
        <v>99</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E-I-0054</t>
        </is>
      </c>
      <c r="B2879" s="12" t="inlineStr">
        <is>
          <t>E</t>
        </is>
      </c>
      <c r="C2879" s="12" t="inlineStr">
        <is>
          <t>Water / utilities</t>
        </is>
      </c>
      <c r="D2879" s="12" t="inlineStr">
        <is>
          <t>Analog instrument to JB JB-R-WT-AI01: 20 x 1 pr (field cables)</t>
        </is>
      </c>
      <c r="E2879" s="12" t="inlineStr">
        <is>
          <t>R-WT</t>
        </is>
      </c>
      <c r="F2879" s="12" t="inlineStr">
        <is>
          <t>Water treatment building (incl. R-WT electrical room)</t>
        </is>
      </c>
      <c r="G2879" s="12" t="inlineStr">
        <is>
          <t>JB-R-WT-AI01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E-I-0055</t>
        </is>
      </c>
      <c r="B2880" s="12" t="inlineStr">
        <is>
          <t>E</t>
        </is>
      </c>
      <c r="C2880" s="12" t="inlineStr">
        <is>
          <t>Water / utilities</t>
        </is>
      </c>
      <c r="D2880" s="12" t="inlineStr">
        <is>
          <t>Home run JB-R-WT-AI01 to the control / marshalling room</t>
        </is>
      </c>
      <c r="E2880" s="12" t="inlineStr">
        <is>
          <t>R-WT</t>
        </is>
      </c>
      <c r="F2880" s="12" t="inlineStr">
        <is>
          <t>Water treatment building (incl. R-WT electrical room)</t>
        </is>
      </c>
      <c r="G2880" s="12" t="inlineStr">
        <is>
          <t>JB-R-WT-AI01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E-I-0056</t>
        </is>
      </c>
      <c r="B2881" s="12" t="inlineStr">
        <is>
          <t>E</t>
        </is>
      </c>
      <c r="C2881" s="12" t="inlineStr">
        <is>
          <t>Water / utilities</t>
        </is>
      </c>
      <c r="D2881" s="12" t="inlineStr">
        <is>
          <t>Analog instrument to JB JB-R-WT-AI02: 20 x 1 pr (field cables)</t>
        </is>
      </c>
      <c r="E2881" s="12" t="inlineStr">
        <is>
          <t>R-WT</t>
        </is>
      </c>
      <c r="F2881" s="12" t="inlineStr">
        <is>
          <t>Water treatment building (incl. R-WT electrical room)</t>
        </is>
      </c>
      <c r="G2881" s="12" t="inlineStr">
        <is>
          <t>JB-R-WT-AI02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E-I-0057</t>
        </is>
      </c>
      <c r="B2882" s="12" t="inlineStr">
        <is>
          <t>E</t>
        </is>
      </c>
      <c r="C2882" s="12" t="inlineStr">
        <is>
          <t>Water / utilities</t>
        </is>
      </c>
      <c r="D2882" s="12" t="inlineStr">
        <is>
          <t>Home run JB-R-WT-AI02 to the control / marshalling room</t>
        </is>
      </c>
      <c r="E2882" s="12" t="inlineStr">
        <is>
          <t>R-WT</t>
        </is>
      </c>
      <c r="F2882" s="12" t="inlineStr">
        <is>
          <t>Water treatment building (incl. R-WT electrical room)</t>
        </is>
      </c>
      <c r="G2882" s="12" t="inlineStr">
        <is>
          <t>JB-R-WT-AI02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E-I-0058</t>
        </is>
      </c>
      <c r="B2883" s="12" t="inlineStr">
        <is>
          <t>E</t>
        </is>
      </c>
      <c r="C2883" s="12" t="inlineStr">
        <is>
          <t>Water / utilities</t>
        </is>
      </c>
      <c r="D2883" s="12" t="inlineStr">
        <is>
          <t>Analog instrument to JB JB-R-WT-AI03: 20 x 1 pr (field cables)</t>
        </is>
      </c>
      <c r="E2883" s="12" t="inlineStr">
        <is>
          <t>R-WT</t>
        </is>
      </c>
      <c r="F2883" s="12" t="inlineStr">
        <is>
          <t>Water treatment building (incl. R-WT electrical room)</t>
        </is>
      </c>
      <c r="G2883" s="12" t="inlineStr">
        <is>
          <t>JB-R-WT-AI03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E-I-0059</t>
        </is>
      </c>
      <c r="B2884" s="12" t="inlineStr">
        <is>
          <t>E</t>
        </is>
      </c>
      <c r="C2884" s="12" t="inlineStr">
        <is>
          <t>Water / utilities</t>
        </is>
      </c>
      <c r="D2884" s="12" t="inlineStr">
        <is>
          <t>Home run JB-R-WT-AI03 to the control / marshalling room</t>
        </is>
      </c>
      <c r="E2884" s="12" t="inlineStr">
        <is>
          <t>R-WT</t>
        </is>
      </c>
      <c r="F2884" s="12" t="inlineStr">
        <is>
          <t>Water treatment building (incl. R-WT electrical room)</t>
        </is>
      </c>
      <c r="G2884" s="12" t="inlineStr">
        <is>
          <t>JB-R-WT-AI03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E-I-0060</t>
        </is>
      </c>
      <c r="B2885" s="12" t="inlineStr">
        <is>
          <t>E</t>
        </is>
      </c>
      <c r="C2885" s="12" t="inlineStr">
        <is>
          <t>Water / utilities</t>
        </is>
      </c>
      <c r="D2885" s="12" t="inlineStr">
        <is>
          <t>Discrete device to JB JB-R-WT-DI01: 20 x 1 pr (field cables)</t>
        </is>
      </c>
      <c r="E2885" s="12" t="inlineStr">
        <is>
          <t>R-WT</t>
        </is>
      </c>
      <c r="F2885" s="12" t="inlineStr">
        <is>
          <t>Water treatment building (incl. R-WT electrical room)</t>
        </is>
      </c>
      <c r="G2885" s="12" t="inlineStr">
        <is>
          <t>JB-R-WT-DI01</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E-I-0061</t>
        </is>
      </c>
      <c r="B2886" s="12" t="inlineStr">
        <is>
          <t>E</t>
        </is>
      </c>
      <c r="C2886" s="12" t="inlineStr">
        <is>
          <t>Water / utilities</t>
        </is>
      </c>
      <c r="D2886" s="12" t="inlineStr">
        <is>
          <t>Home run JB-R-WT-DI01 to the control / marshalling room</t>
        </is>
      </c>
      <c r="E2886" s="12" t="inlineStr">
        <is>
          <t>R-WT</t>
        </is>
      </c>
      <c r="F2886" s="12" t="inlineStr">
        <is>
          <t>Water treatment building (incl. R-WT electrical room)</t>
        </is>
      </c>
      <c r="G2886" s="12" t="inlineStr">
        <is>
          <t>JB-R-WT-DI01</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E-I-0062</t>
        </is>
      </c>
      <c r="B2887" s="12" t="inlineStr">
        <is>
          <t>E</t>
        </is>
      </c>
      <c r="C2887" s="12" t="inlineStr">
        <is>
          <t>Water / utilities</t>
        </is>
      </c>
      <c r="D2887" s="12" t="inlineStr">
        <is>
          <t>Discrete device to JB JB-R-WT-DI02: 20 x 1 pr (field cables)</t>
        </is>
      </c>
      <c r="E2887" s="12" t="inlineStr">
        <is>
          <t>R-WT</t>
        </is>
      </c>
      <c r="F2887" s="12" t="inlineStr">
        <is>
          <t>Water treatment building (incl. R-WT electrical room)</t>
        </is>
      </c>
      <c r="G2887" s="12" t="inlineStr">
        <is>
          <t>JB-R-WT-DI02</t>
        </is>
      </c>
      <c r="H2887" s="12" t="inlineStr">
        <is>
          <t>Water treatment building (incl. R-WT electrical room)</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20</v>
      </c>
      <c r="O2887" s="12" t="n">
        <v>1</v>
      </c>
      <c r="P2887" s="12" t="n"/>
      <c r="Q2887" s="12" t="n"/>
      <c r="R2887" s="12" t="n"/>
      <c r="S2887" s="12" t="inlineStr">
        <is>
          <t>Tray / conduit</t>
        </is>
      </c>
      <c r="T2887" s="16" t="n">
        <v>160</v>
      </c>
      <c r="U2887" s="16" t="n">
        <v>10</v>
      </c>
      <c r="V2887" s="16">
        <f>ROUNDUP((T2887+U2887+2*'Read Me'!$B$13)*(1+'Read Me'!$B$12),-1)</f>
        <v/>
      </c>
      <c r="W2887" s="16">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E-I-0063</t>
        </is>
      </c>
      <c r="B2888" s="12" t="inlineStr">
        <is>
          <t>E</t>
        </is>
      </c>
      <c r="C2888" s="12" t="inlineStr">
        <is>
          <t>Water / utilities</t>
        </is>
      </c>
      <c r="D2888" s="12" t="inlineStr">
        <is>
          <t>Home run JB-R-WT-DI02 to the control / marshalling room</t>
        </is>
      </c>
      <c r="E2888" s="12" t="inlineStr">
        <is>
          <t>R-WT</t>
        </is>
      </c>
      <c r="F2888" s="12" t="inlineStr">
        <is>
          <t>Water treatment building (incl. R-WT electrical room)</t>
        </is>
      </c>
      <c r="G2888" s="12" t="inlineStr">
        <is>
          <t>JB-R-WT-DI02</t>
        </is>
      </c>
      <c r="H2888" s="12" t="inlineStr">
        <is>
          <t>Water treatment building (incl. R-WT electrical room)</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Tray</t>
        </is>
      </c>
      <c r="T2888" s="16" t="n">
        <v>0</v>
      </c>
      <c r="U2888" s="16" t="n">
        <v>32</v>
      </c>
      <c r="V2888" s="16">
        <f>ROUNDUP((T2888+U2888+2*'Read Me'!$B$13)*(1+'Read Me'!$B$12),-1)</f>
        <v/>
      </c>
      <c r="W2888" s="16">
        <f>V2888*N2888*O2888</f>
        <v/>
      </c>
      <c r="X2888" s="12">
        <f>IF(LEFT(I2888,2)="MV",2*N2888*IF(L2888="1/C",O2888,1),0)</f>
        <v/>
      </c>
      <c r="Y2888" s="12">
        <f>IF(OR(LEFT(K2888,4)="LVAX",LEFT(K2888,6)="MV15AX",LEFT(K2888,4)="CTAX",LEFT(K2888,2)="W|"),2*N2888*O2888,0)</f>
        <v/>
      </c>
      <c r="Z2888" s="12" t="inlineStr"/>
      <c r="AA2888" s="12">
        <f>N2888*O2888</f>
        <v/>
      </c>
    </row>
    <row r="2889">
      <c r="A2889" s="12" t="inlineStr">
        <is>
          <t>E-I-0064</t>
        </is>
      </c>
      <c r="B2889" s="12" t="inlineStr">
        <is>
          <t>E</t>
        </is>
      </c>
      <c r="C2889" s="12" t="inlineStr">
        <is>
          <t>Water / utilities</t>
        </is>
      </c>
      <c r="D2889" s="12" t="inlineStr">
        <is>
          <t>Discrete device to JB JB-R-WT-DI03: 20 x 1 pr (field cables)</t>
        </is>
      </c>
      <c r="E2889" s="12" t="inlineStr">
        <is>
          <t>R-WT</t>
        </is>
      </c>
      <c r="F2889" s="12" t="inlineStr">
        <is>
          <t>Water treatment building (incl. R-WT electrical room)</t>
        </is>
      </c>
      <c r="G2889" s="12" t="inlineStr">
        <is>
          <t>JB-R-WT-DI03</t>
        </is>
      </c>
      <c r="H2889" s="12" t="inlineStr">
        <is>
          <t>Water treatment building (incl. R-WT electrical room)</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20</v>
      </c>
      <c r="O2889" s="12" t="n">
        <v>1</v>
      </c>
      <c r="P2889" s="12" t="n"/>
      <c r="Q2889" s="12" t="n"/>
      <c r="R2889" s="12" t="n"/>
      <c r="S2889" s="12" t="inlineStr">
        <is>
          <t>Tray / conduit</t>
        </is>
      </c>
      <c r="T2889" s="16" t="n">
        <v>160</v>
      </c>
      <c r="U2889" s="16" t="n">
        <v>10</v>
      </c>
      <c r="V2889" s="16">
        <f>ROUNDUP((T2889+U2889+2*'Read Me'!$B$13)*(1+'Read Me'!$B$12),-1)</f>
        <v/>
      </c>
      <c r="W2889" s="16">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E-I-0065</t>
        </is>
      </c>
      <c r="B2890" s="12" t="inlineStr">
        <is>
          <t>E</t>
        </is>
      </c>
      <c r="C2890" s="12" t="inlineStr">
        <is>
          <t>Water / utilities</t>
        </is>
      </c>
      <c r="D2890" s="12" t="inlineStr">
        <is>
          <t>Home run JB-R-WT-DI03 to the control / marshalling room</t>
        </is>
      </c>
      <c r="E2890" s="12" t="inlineStr">
        <is>
          <t>R-WT</t>
        </is>
      </c>
      <c r="F2890" s="12" t="inlineStr">
        <is>
          <t>Water treatment building (incl. R-WT electrical room)</t>
        </is>
      </c>
      <c r="G2890" s="12" t="inlineStr">
        <is>
          <t>JB-R-WT-DI03</t>
        </is>
      </c>
      <c r="H2890" s="12" t="inlineStr">
        <is>
          <t>Water treatment building (incl. R-WT electrical room)</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Tray</t>
        </is>
      </c>
      <c r="T2890" s="16" t="n">
        <v>0</v>
      </c>
      <c r="U2890" s="16" t="n">
        <v>32</v>
      </c>
      <c r="V2890" s="16">
        <f>ROUNDUP((T2890+U2890+2*'Read Me'!$B$13)*(1+'Read Me'!$B$12),-1)</f>
        <v/>
      </c>
      <c r="W2890" s="16">
        <f>V2890*N2890*O2890</f>
        <v/>
      </c>
      <c r="X2890" s="12">
        <f>IF(LEFT(I2890,2)="MV",2*N2890*IF(L2890="1/C",O2890,1),0)</f>
        <v/>
      </c>
      <c r="Y2890" s="12">
        <f>IF(OR(LEFT(K2890,4)="LVAX",LEFT(K2890,6)="MV15AX",LEFT(K2890,4)="CTAX",LEFT(K2890,2)="W|"),2*N2890*O2890,0)</f>
        <v/>
      </c>
      <c r="Z2890" s="12" t="inlineStr"/>
      <c r="AA2890" s="12">
        <f>N2890*O2890</f>
        <v/>
      </c>
    </row>
    <row r="2891">
      <c r="A2891" s="12" t="inlineStr">
        <is>
          <t>E-I-0066</t>
        </is>
      </c>
      <c r="B2891" s="12" t="inlineStr">
        <is>
          <t>E</t>
        </is>
      </c>
      <c r="C2891" s="12" t="inlineStr">
        <is>
          <t>Water / utilities</t>
        </is>
      </c>
      <c r="D2891" s="12" t="inlineStr">
        <is>
          <t>Discrete device to JB JB-R-WT-DI04: 20 x 1 pr (field cables)</t>
        </is>
      </c>
      <c r="E2891" s="12" t="inlineStr">
        <is>
          <t>R-WT</t>
        </is>
      </c>
      <c r="F2891" s="12" t="inlineStr">
        <is>
          <t>Water treatment building (incl. R-WT electrical room)</t>
        </is>
      </c>
      <c r="G2891" s="12" t="inlineStr">
        <is>
          <t>JB-R-WT-DI04</t>
        </is>
      </c>
      <c r="H2891" s="12" t="inlineStr">
        <is>
          <t>Water treatment building (incl. R-WT electrical room)</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20</v>
      </c>
      <c r="O2891" s="12" t="n">
        <v>1</v>
      </c>
      <c r="P2891" s="12" t="n"/>
      <c r="Q2891" s="12" t="n"/>
      <c r="R2891" s="12" t="n"/>
      <c r="S2891" s="12" t="inlineStr">
        <is>
          <t>Tray / conduit</t>
        </is>
      </c>
      <c r="T2891" s="16" t="n">
        <v>160</v>
      </c>
      <c r="U2891" s="16" t="n">
        <v>10</v>
      </c>
      <c r="V2891" s="16">
        <f>ROUNDUP((T2891+U2891+2*'Read Me'!$B$13)*(1+'Read Me'!$B$12),-1)</f>
        <v/>
      </c>
      <c r="W2891" s="16">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E-I-0067</t>
        </is>
      </c>
      <c r="B2892" s="12" t="inlineStr">
        <is>
          <t>E</t>
        </is>
      </c>
      <c r="C2892" s="12" t="inlineStr">
        <is>
          <t>Water / utilities</t>
        </is>
      </c>
      <c r="D2892" s="12" t="inlineStr">
        <is>
          <t>Home run JB-R-WT-DI04 to the control / marshalling room</t>
        </is>
      </c>
      <c r="E2892" s="12" t="inlineStr">
        <is>
          <t>R-WT</t>
        </is>
      </c>
      <c r="F2892" s="12" t="inlineStr">
        <is>
          <t>Water treatment building (incl. R-WT electrical room)</t>
        </is>
      </c>
      <c r="G2892" s="12" t="inlineStr">
        <is>
          <t>JB-R-WT-DI04</t>
        </is>
      </c>
      <c r="H2892" s="12" t="inlineStr">
        <is>
          <t>Water treatment building (incl. R-WT electrical room)</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E-P-0001</t>
        </is>
      </c>
      <c r="B2893" s="12" t="inlineStr">
        <is>
          <t>E</t>
        </is>
      </c>
      <c r="C2893" s="12" t="inlineStr">
        <is>
          <t>Water / utilities</t>
        </is>
      </c>
      <c r="D2893" s="12" t="inlineStr">
        <is>
          <t>Motor 1 of 2, 7 kW</t>
        </is>
      </c>
      <c r="E2893" s="12" t="inlineStr">
        <is>
          <t>MCC-C2</t>
        </is>
      </c>
      <c r="F2893" s="12" t="inlineStr">
        <is>
          <t>R1 MCC-C2</t>
        </is>
      </c>
      <c r="G2893" s="12" t="inlineStr"/>
      <c r="H2893" s="12" t="inlineStr">
        <is>
          <t>Ammonia storage (aqueous, SCR reagent)</t>
        </is>
      </c>
      <c r="I2893" s="12" t="inlineStr">
        <is>
          <t>LV 600 V</t>
        </is>
      </c>
      <c r="J2893" s="12" t="inlineStr">
        <is>
          <t>Type TC-ER 600 V 3/C Cu XHHW-2 + ground, PVC jacket</t>
        </is>
      </c>
      <c r="K2893" s="12" t="inlineStr">
        <is>
          <t>LV|3/C+G|4</t>
        </is>
      </c>
      <c r="L2893" s="12" t="inlineStr">
        <is>
          <t>3/C+G</t>
        </is>
      </c>
      <c r="M2893" s="12" t="inlineStr">
        <is>
          <t>4</t>
        </is>
      </c>
      <c r="N2893" s="12" t="n">
        <v>1</v>
      </c>
      <c r="O2893" s="12" t="n">
        <v>1</v>
      </c>
      <c r="P2893" s="12" t="n">
        <v>480</v>
      </c>
      <c r="Q2893" s="12" t="n">
        <v>7</v>
      </c>
      <c r="R2893" s="12" t="n">
        <v>9.9</v>
      </c>
      <c r="S2893" s="12" t="inlineStr">
        <is>
          <t>Duct bank</t>
        </is>
      </c>
      <c r="T2893" s="16" t="n">
        <v>2010</v>
      </c>
      <c r="U2893" s="16" t="n">
        <v>145</v>
      </c>
      <c r="V2893" s="16">
        <f>ROUNDUP((T2893+U2893+2*'Read Me'!$B$13)*(1+'Read Me'!$B$12),-1)</f>
        <v/>
      </c>
      <c r="W2893" s="16">
        <f>V2893*N2893*O2893</f>
        <v/>
      </c>
      <c r="X2893" s="12">
        <f>IF(LEFT(I2893,2)="MV",2*N2893*IF(L2893="1/C",O2893,1),0)</f>
        <v/>
      </c>
      <c r="Y2893" s="12">
        <f>IF(OR(LEFT(K2893,4)="LVAX",LEFT(K2893,6)="MV15AX",LEFT(K2893,4)="CTAX",LEFT(K2893,2)="W|"),2*N2893*O2893,0)</f>
        <v/>
      </c>
      <c r="Z2893" s="12" t="inlineStr">
        <is>
          <t>VD 2.6 %</t>
        </is>
      </c>
      <c r="AA2893" s="12">
        <f>N2893*O2893</f>
        <v/>
      </c>
    </row>
    <row r="2894">
      <c r="A2894" s="12" t="inlineStr">
        <is>
          <t>E-P-0002</t>
        </is>
      </c>
      <c r="B2894" s="12" t="inlineStr">
        <is>
          <t>E</t>
        </is>
      </c>
      <c r="C2894" s="12" t="inlineStr">
        <is>
          <t>Water / utilities</t>
        </is>
      </c>
      <c r="D2894" s="12" t="inlineStr">
        <is>
          <t>Motor 2 of 2, 7 kW</t>
        </is>
      </c>
      <c r="E2894" s="12" t="inlineStr">
        <is>
          <t>MCC-C2</t>
        </is>
      </c>
      <c r="F2894" s="12" t="inlineStr">
        <is>
          <t>R1 MCC-C2</t>
        </is>
      </c>
      <c r="G2894" s="12" t="inlineStr"/>
      <c r="H2894" s="12" t="inlineStr">
        <is>
          <t>Ammonia storage (aqueous, SCR reagent)</t>
        </is>
      </c>
      <c r="I2894" s="12" t="inlineStr">
        <is>
          <t>LV 600 V</t>
        </is>
      </c>
      <c r="J2894" s="12" t="inlineStr">
        <is>
          <t>Type TC-ER 600 V 3/C Cu XHHW-2 + ground, PVC jacket</t>
        </is>
      </c>
      <c r="K2894" s="12" t="inlineStr">
        <is>
          <t>LV|3/C+G|4</t>
        </is>
      </c>
      <c r="L2894" s="12" t="inlineStr">
        <is>
          <t>3/C+G</t>
        </is>
      </c>
      <c r="M2894" s="12" t="inlineStr">
        <is>
          <t>4</t>
        </is>
      </c>
      <c r="N2894" s="12" t="n">
        <v>1</v>
      </c>
      <c r="O2894" s="12" t="n">
        <v>1</v>
      </c>
      <c r="P2894" s="12" t="n">
        <v>480</v>
      </c>
      <c r="Q2894" s="12" t="n">
        <v>7</v>
      </c>
      <c r="R2894" s="12" t="n">
        <v>9.9</v>
      </c>
      <c r="S2894" s="12" t="inlineStr">
        <is>
          <t>Duct bank</t>
        </is>
      </c>
      <c r="T2894" s="16" t="n">
        <v>2010</v>
      </c>
      <c r="U2894" s="16" t="n">
        <v>145</v>
      </c>
      <c r="V2894" s="16">
        <f>ROUNDUP((T2894+U2894+2*'Read Me'!$B$13)*(1+'Read Me'!$B$12),-1)</f>
        <v/>
      </c>
      <c r="W2894" s="16">
        <f>V2894*N2894*O2894</f>
        <v/>
      </c>
      <c r="X2894" s="12">
        <f>IF(LEFT(I2894,2)="MV",2*N2894*IF(L2894="1/C",O2894,1),0)</f>
        <v/>
      </c>
      <c r="Y2894" s="12">
        <f>IF(OR(LEFT(K2894,4)="LVAX",LEFT(K2894,6)="MV15AX",LEFT(K2894,4)="CTAX",LEFT(K2894,2)="W|"),2*N2894*O2894,0)</f>
        <v/>
      </c>
      <c r="Z2894" s="12" t="inlineStr">
        <is>
          <t>VD 2.6 %</t>
        </is>
      </c>
      <c r="AA2894" s="12">
        <f>N2894*O2894</f>
        <v/>
      </c>
    </row>
    <row r="2895">
      <c r="A2895" s="12" t="inlineStr">
        <is>
          <t>E-P-0003</t>
        </is>
      </c>
      <c r="B2895" s="12" t="inlineStr">
        <is>
          <t>E</t>
        </is>
      </c>
      <c r="C2895" s="12" t="inlineStr">
        <is>
          <t>Water / utilities</t>
        </is>
      </c>
      <c r="D2895" s="12" t="inlineStr">
        <is>
          <t>Motor 1 of 1, 150 kW</t>
        </is>
      </c>
      <c r="E2895" s="12" t="inlineStr">
        <is>
          <t>MCC-C2</t>
        </is>
      </c>
      <c r="F2895" s="12" t="inlineStr">
        <is>
          <t>R1 MCC-C2</t>
        </is>
      </c>
      <c r="G2895" s="12" t="inlineStr"/>
      <c r="H2895" s="12" t="inlineStr">
        <is>
          <t>Auxiliary boiler</t>
        </is>
      </c>
      <c r="I2895" s="12" t="inlineStr">
        <is>
          <t>LV 600 V</t>
        </is>
      </c>
      <c r="J2895" s="12" t="inlineStr">
        <is>
          <t>Type TC-ER 600 V 3/C Cu XHHW-2 + ground, PVC jacket</t>
        </is>
      </c>
      <c r="K2895" s="12" t="inlineStr">
        <is>
          <t>LV|3/C+G|500</t>
        </is>
      </c>
      <c r="L2895" s="12" t="inlineStr">
        <is>
          <t>3/C+G</t>
        </is>
      </c>
      <c r="M2895" s="12" t="inlineStr">
        <is>
          <t>500 kcmil</t>
        </is>
      </c>
      <c r="N2895" s="12" t="n">
        <v>2</v>
      </c>
      <c r="O2895" s="12" t="n">
        <v>1</v>
      </c>
      <c r="P2895" s="12" t="n">
        <v>480</v>
      </c>
      <c r="Q2895" s="12" t="n">
        <v>150</v>
      </c>
      <c r="R2895" s="12" t="n">
        <v>212.3</v>
      </c>
      <c r="S2895" s="12" t="inlineStr">
        <is>
          <t>Duct bank</t>
        </is>
      </c>
      <c r="T2895" s="16" t="n">
        <v>2089</v>
      </c>
      <c r="U2895" s="16" t="n">
        <v>165</v>
      </c>
      <c r="V2895" s="16">
        <f>ROUNDUP((T2895+U2895+2*'Read Me'!$B$13)*(1+'Read Me'!$B$12),-1)</f>
        <v/>
      </c>
      <c r="W2895" s="16">
        <f>V2895*N2895*O2895</f>
        <v/>
      </c>
      <c r="X2895" s="12">
        <f>IF(LEFT(I2895,2)="MV",2*N2895*IF(L2895="1/C",O2895,1),0)</f>
        <v/>
      </c>
      <c r="Y2895" s="12">
        <f>IF(OR(LEFT(K2895,4)="LVAX",LEFT(K2895,6)="MV15AX",LEFT(K2895,4)="CTAX",LEFT(K2895,2)="W|"),2*N2895*O2895,0)</f>
        <v/>
      </c>
      <c r="Z2895" s="12" t="inlineStr">
        <is>
          <t>VD 2.4 %</t>
        </is>
      </c>
      <c r="AA2895" s="12">
        <f>N2895*O2895</f>
        <v/>
      </c>
    </row>
    <row r="2896">
      <c r="A2896" s="12" t="inlineStr">
        <is>
          <t>E-P-0004</t>
        </is>
      </c>
      <c r="B2896" s="12" t="inlineStr">
        <is>
          <t>E</t>
        </is>
      </c>
      <c r="C2896" s="12" t="inlineStr">
        <is>
          <t>Water / utilities</t>
        </is>
      </c>
      <c r="D2896" s="12" t="inlineStr">
        <is>
          <t>Motor 1 of 2, 75 kW</t>
        </is>
      </c>
      <c r="E2896" s="12" t="inlineStr">
        <is>
          <t>MCC-C2</t>
        </is>
      </c>
      <c r="F2896" s="12" t="inlineStr">
        <is>
          <t>R1 MCC-C2</t>
        </is>
      </c>
      <c r="G2896" s="12" t="inlineStr"/>
      <c r="H2896" s="12" t="inlineStr">
        <is>
          <t>Auxiliary boiler</t>
        </is>
      </c>
      <c r="I2896" s="12" t="inlineStr">
        <is>
          <t>LV 600 V</t>
        </is>
      </c>
      <c r="J2896" s="12" t="inlineStr">
        <is>
          <t>Type TC-ER 600 V 3/C Cu XHHW-2 + ground, PVC jacket</t>
        </is>
      </c>
      <c r="K2896" s="12" t="inlineStr">
        <is>
          <t>LV|3/C+G|500</t>
        </is>
      </c>
      <c r="L2896" s="12" t="inlineStr">
        <is>
          <t>3/C+G</t>
        </is>
      </c>
      <c r="M2896" s="12" t="inlineStr">
        <is>
          <t>500 kcmil</t>
        </is>
      </c>
      <c r="N2896" s="12" t="n">
        <v>1</v>
      </c>
      <c r="O2896" s="12" t="n">
        <v>1</v>
      </c>
      <c r="P2896" s="12" t="n">
        <v>480</v>
      </c>
      <c r="Q2896" s="12" t="n">
        <v>75</v>
      </c>
      <c r="R2896" s="12" t="n">
        <v>106.1</v>
      </c>
      <c r="S2896" s="12" t="inlineStr">
        <is>
          <t>Duct bank</t>
        </is>
      </c>
      <c r="T2896" s="16" t="n">
        <v>2089</v>
      </c>
      <c r="U2896" s="16" t="n">
        <v>165</v>
      </c>
      <c r="V2896" s="16">
        <f>ROUNDUP((T2896+U2896+2*'Read Me'!$B$13)*(1+'Read Me'!$B$12),-1)</f>
        <v/>
      </c>
      <c r="W2896" s="16">
        <f>V2896*N2896*O2896</f>
        <v/>
      </c>
      <c r="X2896" s="12">
        <f>IF(LEFT(I2896,2)="MV",2*N2896*IF(L2896="1/C",O2896,1),0)</f>
        <v/>
      </c>
      <c r="Y2896" s="12">
        <f>IF(OR(LEFT(K2896,4)="LVAX",LEFT(K2896,6)="MV15AX",LEFT(K2896,4)="CTAX",LEFT(K2896,2)="W|"),2*N2896*O2896,0)</f>
        <v/>
      </c>
      <c r="Z2896" s="12" t="inlineStr">
        <is>
          <t>VD 2.4 %</t>
        </is>
      </c>
      <c r="AA2896" s="12">
        <f>N2896*O2896</f>
        <v/>
      </c>
    </row>
    <row r="2897">
      <c r="A2897" s="12" t="inlineStr">
        <is>
          <t>E-P-0005</t>
        </is>
      </c>
      <c r="B2897" s="12" t="inlineStr">
        <is>
          <t>E</t>
        </is>
      </c>
      <c r="C2897" s="12" t="inlineStr">
        <is>
          <t>Water / utilities</t>
        </is>
      </c>
      <c r="D2897" s="12" t="inlineStr">
        <is>
          <t>Motor 2 of 2, 75 kW</t>
        </is>
      </c>
      <c r="E2897" s="12" t="inlineStr">
        <is>
          <t>MCC-C2</t>
        </is>
      </c>
      <c r="F2897" s="12" t="inlineStr">
        <is>
          <t>R1 MCC-C2</t>
        </is>
      </c>
      <c r="G2897" s="12" t="inlineStr"/>
      <c r="H2897" s="12" t="inlineStr">
        <is>
          <t>Auxiliary boiler</t>
        </is>
      </c>
      <c r="I2897" s="12" t="inlineStr">
        <is>
          <t>LV 600 V</t>
        </is>
      </c>
      <c r="J2897" s="12" t="inlineStr">
        <is>
          <t>Type TC-ER 600 V 3/C Cu XHHW-2 + ground, PVC jacket</t>
        </is>
      </c>
      <c r="K2897" s="12" t="inlineStr">
        <is>
          <t>LV|3/C+G|500</t>
        </is>
      </c>
      <c r="L2897" s="12" t="inlineStr">
        <is>
          <t>3/C+G</t>
        </is>
      </c>
      <c r="M2897" s="12" t="inlineStr">
        <is>
          <t>500 kcmil</t>
        </is>
      </c>
      <c r="N2897" s="12" t="n">
        <v>1</v>
      </c>
      <c r="O2897" s="12" t="n">
        <v>1</v>
      </c>
      <c r="P2897" s="12" t="n">
        <v>480</v>
      </c>
      <c r="Q2897" s="12" t="n">
        <v>75</v>
      </c>
      <c r="R2897" s="12" t="n">
        <v>106.1</v>
      </c>
      <c r="S2897" s="12" t="inlineStr">
        <is>
          <t>Duct bank</t>
        </is>
      </c>
      <c r="T2897" s="16" t="n">
        <v>2089</v>
      </c>
      <c r="U2897" s="16" t="n">
        <v>165</v>
      </c>
      <c r="V2897" s="16">
        <f>ROUNDUP((T2897+U2897+2*'Read Me'!$B$13)*(1+'Read Me'!$B$12),-1)</f>
        <v/>
      </c>
      <c r="W2897" s="16">
        <f>V2897*N2897*O2897</f>
        <v/>
      </c>
      <c r="X2897" s="12">
        <f>IF(LEFT(I2897,2)="MV",2*N2897*IF(L2897="1/C",O2897,1),0)</f>
        <v/>
      </c>
      <c r="Y2897" s="12">
        <f>IF(OR(LEFT(K2897,4)="LVAX",LEFT(K2897,6)="MV15AX",LEFT(K2897,4)="CTAX",LEFT(K2897,2)="W|"),2*N2897*O2897,0)</f>
        <v/>
      </c>
      <c r="Z2897" s="12" t="inlineStr">
        <is>
          <t>VD 2.4 %</t>
        </is>
      </c>
      <c r="AA2897" s="12">
        <f>N2897*O2897</f>
        <v/>
      </c>
    </row>
    <row r="2898">
      <c r="A2898" s="12" t="inlineStr">
        <is>
          <t>E-P-0006</t>
        </is>
      </c>
      <c r="B2898" s="12" t="inlineStr">
        <is>
          <t>E</t>
        </is>
      </c>
      <c r="C2898" s="12" t="inlineStr">
        <is>
          <t>Water / utilities</t>
        </is>
      </c>
      <c r="D2898" s="12" t="inlineStr">
        <is>
          <t>Motor 1 of 2, 4 kW</t>
        </is>
      </c>
      <c r="E2898" s="12" t="inlineStr">
        <is>
          <t>MCC-C2</t>
        </is>
      </c>
      <c r="F2898" s="12" t="inlineStr">
        <is>
          <t>R1 MCC-C2</t>
        </is>
      </c>
      <c r="G2898" s="12" t="inlineStr"/>
      <c r="H2898" s="12" t="inlineStr">
        <is>
          <t>Auxiliary boiler</t>
        </is>
      </c>
      <c r="I2898" s="12" t="inlineStr">
        <is>
          <t>LV 600 V</t>
        </is>
      </c>
      <c r="J2898" s="12" t="inlineStr">
        <is>
          <t>Type TC-ER 600 V 3/C Cu XHHW-2 + ground, PVC jacket</t>
        </is>
      </c>
      <c r="K2898" s="12" t="inlineStr">
        <is>
          <t>LV|3/C+G|6</t>
        </is>
      </c>
      <c r="L2898" s="12" t="inlineStr">
        <is>
          <t>3/C+G</t>
        </is>
      </c>
      <c r="M2898" s="12" t="inlineStr">
        <is>
          <t>6</t>
        </is>
      </c>
      <c r="N2898" s="12" t="n">
        <v>1</v>
      </c>
      <c r="O2898" s="12" t="n">
        <v>1</v>
      </c>
      <c r="P2898" s="12" t="n">
        <v>480</v>
      </c>
      <c r="Q2898" s="12" t="n">
        <v>4</v>
      </c>
      <c r="R2898" s="12" t="n">
        <v>5.7</v>
      </c>
      <c r="S2898" s="12" t="inlineStr">
        <is>
          <t>Duct bank</t>
        </is>
      </c>
      <c r="T2898" s="16" t="n">
        <v>2089</v>
      </c>
      <c r="U2898" s="16" t="n">
        <v>165</v>
      </c>
      <c r="V2898" s="16">
        <f>ROUNDUP((T2898+U2898+2*'Read Me'!$B$13)*(1+'Read Me'!$B$12),-1)</f>
        <v/>
      </c>
      <c r="W2898" s="16">
        <f>V2898*N2898*O2898</f>
        <v/>
      </c>
      <c r="X2898" s="12">
        <f>IF(LEFT(I2898,2)="MV",2*N2898*IF(L2898="1/C",O2898,1),0)</f>
        <v/>
      </c>
      <c r="Y2898" s="12">
        <f>IF(OR(LEFT(K2898,4)="LVAX",LEFT(K2898,6)="MV15AX",LEFT(K2898,4)="CTAX",LEFT(K2898,2)="W|"),2*N2898*O2898,0)</f>
        <v/>
      </c>
      <c r="Z2898" s="12" t="inlineStr">
        <is>
          <t>VD 2.5 %</t>
        </is>
      </c>
      <c r="AA2898" s="12">
        <f>N2898*O2898</f>
        <v/>
      </c>
    </row>
    <row r="2899">
      <c r="A2899" s="12" t="inlineStr">
        <is>
          <t>E-P-0007</t>
        </is>
      </c>
      <c r="B2899" s="12" t="inlineStr">
        <is>
          <t>E</t>
        </is>
      </c>
      <c r="C2899" s="12" t="inlineStr">
        <is>
          <t>Water / utilities</t>
        </is>
      </c>
      <c r="D2899" s="12" t="inlineStr">
        <is>
          <t>Motor 2 of 2, 4 kW</t>
        </is>
      </c>
      <c r="E2899" s="12" t="inlineStr">
        <is>
          <t>MCC-C2</t>
        </is>
      </c>
      <c r="F2899" s="12" t="inlineStr">
        <is>
          <t>R1 MCC-C2</t>
        </is>
      </c>
      <c r="G2899" s="12" t="inlineStr"/>
      <c r="H2899" s="12" t="inlineStr">
        <is>
          <t>Auxiliary boiler</t>
        </is>
      </c>
      <c r="I2899" s="12" t="inlineStr">
        <is>
          <t>LV 600 V</t>
        </is>
      </c>
      <c r="J2899" s="12" t="inlineStr">
        <is>
          <t>Type TC-ER 600 V 3/C Cu XHHW-2 + ground, PVC jacket</t>
        </is>
      </c>
      <c r="K2899" s="12" t="inlineStr">
        <is>
          <t>LV|3/C+G|6</t>
        </is>
      </c>
      <c r="L2899" s="12" t="inlineStr">
        <is>
          <t>3/C+G</t>
        </is>
      </c>
      <c r="M2899" s="12" t="inlineStr">
        <is>
          <t>6</t>
        </is>
      </c>
      <c r="N2899" s="12" t="n">
        <v>1</v>
      </c>
      <c r="O2899" s="12" t="n">
        <v>1</v>
      </c>
      <c r="P2899" s="12" t="n">
        <v>480</v>
      </c>
      <c r="Q2899" s="12" t="n">
        <v>4</v>
      </c>
      <c r="R2899" s="12" t="n">
        <v>5.7</v>
      </c>
      <c r="S2899" s="12" t="inlineStr">
        <is>
          <t>Duct bank</t>
        </is>
      </c>
      <c r="T2899" s="16" t="n">
        <v>2089</v>
      </c>
      <c r="U2899" s="16" t="n">
        <v>165</v>
      </c>
      <c r="V2899" s="16">
        <f>ROUNDUP((T2899+U2899+2*'Read Me'!$B$13)*(1+'Read Me'!$B$12),-1)</f>
        <v/>
      </c>
      <c r="W2899" s="16">
        <f>V2899*N2899*O2899</f>
        <v/>
      </c>
      <c r="X2899" s="12">
        <f>IF(LEFT(I2899,2)="MV",2*N2899*IF(L2899="1/C",O2899,1),0)</f>
        <v/>
      </c>
      <c r="Y2899" s="12">
        <f>IF(OR(LEFT(K2899,4)="LVAX",LEFT(K2899,6)="MV15AX",LEFT(K2899,4)="CTAX",LEFT(K2899,2)="W|"),2*N2899*O2899,0)</f>
        <v/>
      </c>
      <c r="Z2899" s="12" t="inlineStr">
        <is>
          <t>VD 2.5 %</t>
        </is>
      </c>
      <c r="AA2899" s="12">
        <f>N2899*O2899</f>
        <v/>
      </c>
    </row>
    <row r="2900">
      <c r="A2900" s="12" t="inlineStr">
        <is>
          <t>E-P-0008</t>
        </is>
      </c>
      <c r="B2900" s="12" t="inlineStr">
        <is>
          <t>E</t>
        </is>
      </c>
      <c r="C2900" s="12" t="inlineStr">
        <is>
          <t>Water / utilities</t>
        </is>
      </c>
      <c r="D2900" s="12" t="inlineStr">
        <is>
          <t>Motor 1 of 2, 5 kW</t>
        </is>
      </c>
      <c r="E2900" s="12" t="inlineStr">
        <is>
          <t>MCC-C2</t>
        </is>
      </c>
      <c r="F2900" s="12" t="inlineStr">
        <is>
          <t>R1 MCC-C2</t>
        </is>
      </c>
      <c r="G2900" s="12" t="inlineStr"/>
      <c r="H2900" s="12" t="inlineStr">
        <is>
          <t>CEMS shelter, AB-1</t>
        </is>
      </c>
      <c r="I2900" s="12" t="inlineStr">
        <is>
          <t>LV 600 V</t>
        </is>
      </c>
      <c r="J2900" s="12" t="inlineStr">
        <is>
          <t>Type TC-ER 600 V 3/C Cu XHHW-2 + ground, PVC jacket</t>
        </is>
      </c>
      <c r="K2900" s="12" t="inlineStr">
        <is>
          <t>LV|3/C+G|4</t>
        </is>
      </c>
      <c r="L2900" s="12" t="inlineStr">
        <is>
          <t>3/C+G</t>
        </is>
      </c>
      <c r="M2900" s="12" t="inlineStr">
        <is>
          <t>4</t>
        </is>
      </c>
      <c r="N2900" s="12" t="n">
        <v>1</v>
      </c>
      <c r="O2900" s="12" t="n">
        <v>1</v>
      </c>
      <c r="P2900" s="12" t="n">
        <v>480</v>
      </c>
      <c r="Q2900" s="12" t="n">
        <v>5</v>
      </c>
      <c r="R2900" s="12" t="n">
        <v>7.1</v>
      </c>
      <c r="S2900" s="12" t="inlineStr">
        <is>
          <t>Duct bank</t>
        </is>
      </c>
      <c r="T2900" s="16" t="n">
        <v>2089</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is>
          <t>VD 2.0 %</t>
        </is>
      </c>
      <c r="AA2900" s="12">
        <f>N2900*O2900</f>
        <v/>
      </c>
    </row>
    <row r="2901">
      <c r="A2901" s="12" t="inlineStr">
        <is>
          <t>E-P-0009</t>
        </is>
      </c>
      <c r="B2901" s="12" t="inlineStr">
        <is>
          <t>E</t>
        </is>
      </c>
      <c r="C2901" s="12" t="inlineStr">
        <is>
          <t>Water / utilities</t>
        </is>
      </c>
      <c r="D2901" s="12" t="inlineStr">
        <is>
          <t>Motor 2 of 2, 5 kW</t>
        </is>
      </c>
      <c r="E2901" s="12" t="inlineStr">
        <is>
          <t>MCC-C2</t>
        </is>
      </c>
      <c r="F2901" s="12" t="inlineStr">
        <is>
          <t>R1 MCC-C2</t>
        </is>
      </c>
      <c r="G2901" s="12" t="inlineStr"/>
      <c r="H2901" s="12" t="inlineStr">
        <is>
          <t>CEMS shelter, AB-1</t>
        </is>
      </c>
      <c r="I2901" s="12" t="inlineStr">
        <is>
          <t>LV 600 V</t>
        </is>
      </c>
      <c r="J2901" s="12" t="inlineStr">
        <is>
          <t>Type TC-ER 600 V 3/C Cu XHHW-2 + ground, PVC jacket</t>
        </is>
      </c>
      <c r="K2901" s="12" t="inlineStr">
        <is>
          <t>LV|3/C+G|4</t>
        </is>
      </c>
      <c r="L2901" s="12" t="inlineStr">
        <is>
          <t>3/C+G</t>
        </is>
      </c>
      <c r="M2901" s="12" t="inlineStr">
        <is>
          <t>4</t>
        </is>
      </c>
      <c r="N2901" s="12" t="n">
        <v>1</v>
      </c>
      <c r="O2901" s="12" t="n">
        <v>1</v>
      </c>
      <c r="P2901" s="12" t="n">
        <v>480</v>
      </c>
      <c r="Q2901" s="12" t="n">
        <v>5</v>
      </c>
      <c r="R2901" s="12" t="n">
        <v>7.1</v>
      </c>
      <c r="S2901" s="12" t="inlineStr">
        <is>
          <t>Duct bank</t>
        </is>
      </c>
      <c r="T2901" s="16" t="n">
        <v>2089</v>
      </c>
      <c r="U2901" s="16" t="n">
        <v>264</v>
      </c>
      <c r="V2901" s="16">
        <f>ROUNDUP((T2901+U2901+2*'Read Me'!$B$13)*(1+'Read Me'!$B$12),-1)</f>
        <v/>
      </c>
      <c r="W2901" s="16">
        <f>V2901*N2901*O2901</f>
        <v/>
      </c>
      <c r="X2901" s="12">
        <f>IF(LEFT(I2901,2)="MV",2*N2901*IF(L2901="1/C",O2901,1),0)</f>
        <v/>
      </c>
      <c r="Y2901" s="12">
        <f>IF(OR(LEFT(K2901,4)="LVAX",LEFT(K2901,6)="MV15AX",LEFT(K2901,4)="CTAX",LEFT(K2901,2)="W|"),2*N2901*O2901,0)</f>
        <v/>
      </c>
      <c r="Z2901" s="12" t="inlineStr">
        <is>
          <t>VD 2.0 %</t>
        </is>
      </c>
      <c r="AA2901" s="12">
        <f>N2901*O2901</f>
        <v/>
      </c>
    </row>
    <row r="2902">
      <c r="A2902" s="12" t="inlineStr">
        <is>
          <t>E-P-0010</t>
        </is>
      </c>
      <c r="B2902" s="12" t="inlineStr">
        <is>
          <t>E</t>
        </is>
      </c>
      <c r="C2902" s="12" t="inlineStr">
        <is>
          <t>Water / utilities</t>
        </is>
      </c>
      <c r="D2902" s="12" t="inlineStr">
        <is>
          <t>Cathodic-protection rectifier supply</t>
        </is>
      </c>
      <c r="E2902" s="12" t="inlineStr">
        <is>
          <t>MCC-C2</t>
        </is>
      </c>
      <c r="F2902" s="12" t="inlineStr">
        <is>
          <t>R1 MCC-C2</t>
        </is>
      </c>
      <c r="G2902" s="12" t="inlineStr">
        <is>
          <t>CPR-2</t>
        </is>
      </c>
      <c r="H2902" s="12" t="inlineStr">
        <is>
          <t>CPR-2: cathodic-protection rectifier</t>
        </is>
      </c>
      <c r="I2902" s="12" t="inlineStr">
        <is>
          <t>LV 600 V</t>
        </is>
      </c>
      <c r="J2902" s="12" t="inlineStr">
        <is>
          <t>Type TC-ER 600 V 3/C Cu XHHW-2 + ground, PVC jacket</t>
        </is>
      </c>
      <c r="K2902" s="12" t="inlineStr">
        <is>
          <t>LV|3/C+G|2</t>
        </is>
      </c>
      <c r="L2902" s="12" t="inlineStr">
        <is>
          <t>3/C+G</t>
        </is>
      </c>
      <c r="M2902" s="12" t="inlineStr">
        <is>
          <t>2</t>
        </is>
      </c>
      <c r="N2902" s="12" t="n">
        <v>1</v>
      </c>
      <c r="O2902" s="12" t="n">
        <v>1</v>
      </c>
      <c r="P2902" s="12" t="n">
        <v>480</v>
      </c>
      <c r="Q2902" s="12" t="n">
        <v>10</v>
      </c>
      <c r="R2902" s="12" t="n">
        <v>12.7</v>
      </c>
      <c r="S2902" s="12" t="inlineStr">
        <is>
          <t>Duct bank</t>
        </is>
      </c>
      <c r="T2902" s="16" t="n">
        <v>1959</v>
      </c>
      <c r="U2902" s="16" t="n">
        <v>209</v>
      </c>
      <c r="V2902" s="16">
        <f>ROUNDUP((T2902+U2902+2*'Read Me'!$B$13)*(1+'Read Me'!$B$12),-1)</f>
        <v/>
      </c>
      <c r="W2902" s="16">
        <f>V2902*N2902*O2902</f>
        <v/>
      </c>
      <c r="X2902" s="12">
        <f>IF(LEFT(I2902,2)="MV",2*N2902*IF(L2902="1/C",O2902,1),0)</f>
        <v/>
      </c>
      <c r="Y2902" s="12">
        <f>IF(OR(LEFT(K2902,4)="LVAX",LEFT(K2902,6)="MV15AX",LEFT(K2902,4)="CTAX",LEFT(K2902,2)="W|"),2*N2902*O2902,0)</f>
        <v/>
      </c>
      <c r="Z2902" s="12" t="inlineStr">
        <is>
          <t>VD 2.1 %</t>
        </is>
      </c>
      <c r="AA2902" s="12">
        <f>N2902*O2902</f>
        <v/>
      </c>
    </row>
    <row r="2903">
      <c r="A2903" s="12" t="inlineStr">
        <is>
          <t>E-P-0011</t>
        </is>
      </c>
      <c r="B2903" s="12" t="inlineStr">
        <is>
          <t>E</t>
        </is>
      </c>
      <c r="C2903" s="12" t="inlineStr">
        <is>
          <t>Water / utilities</t>
        </is>
      </c>
      <c r="D2903" s="12" t="inlineStr">
        <is>
          <t>CP anode / structure leads (allowance)</t>
        </is>
      </c>
      <c r="E2903" s="12" t="inlineStr">
        <is>
          <t>CPR-2</t>
        </is>
      </c>
      <c r="F2903" s="12" t="inlineStr">
        <is>
          <t>CPR-2: cathodic-protection rectifier</t>
        </is>
      </c>
      <c r="G2903" s="12" t="inlineStr">
        <is>
          <t>CPR-2</t>
        </is>
      </c>
      <c r="H2903" s="12" t="inlineStr">
        <is>
          <t>CPR-2: cathodic-protection rectifier</t>
        </is>
      </c>
      <c r="I2903" s="12" t="inlineStr">
        <is>
          <t>LV 600 V</t>
        </is>
      </c>
      <c r="J2903" s="12" t="inlineStr">
        <is>
          <t>Type TC-ER 600 V 3/C Cu XHHW-2 + ground, PVC jacket</t>
        </is>
      </c>
      <c r="K2903" s="12" t="inlineStr">
        <is>
          <t>LV|1/C|8</t>
        </is>
      </c>
      <c r="L2903" s="12" t="inlineStr">
        <is>
          <t>1/C</t>
        </is>
      </c>
      <c r="M2903" s="12" t="inlineStr">
        <is>
          <t>8</t>
        </is>
      </c>
      <c r="N2903" s="12" t="n">
        <v>1</v>
      </c>
      <c r="O2903" s="12" t="n">
        <v>1</v>
      </c>
      <c r="P2903" s="12" t="n"/>
      <c r="Q2903" s="12" t="n"/>
      <c r="R2903" s="12" t="n"/>
      <c r="S2903" s="12" t="inlineStr">
        <is>
          <t>Buried</t>
        </is>
      </c>
      <c r="T2903" s="16" t="n">
        <v>1500</v>
      </c>
      <c r="U2903" s="16" t="n">
        <v>0</v>
      </c>
      <c r="V2903" s="16">
        <f>ROUNDUP((T2903+U2903+2*'Read Me'!$B$13)*(1+'Read Me'!$B$12),-1)</f>
        <v/>
      </c>
      <c r="W2903" s="16">
        <f>V2903*N2903*O2903</f>
        <v/>
      </c>
      <c r="X2903" s="12">
        <f>IF(LEFT(I2903,2)="MV",2*N2903*IF(L2903="1/C",O2903,1),0)</f>
        <v/>
      </c>
      <c r="Y2903" s="12">
        <f>IF(OR(LEFT(K2903,4)="LVAX",LEFT(K2903,6)="MV15AX",LEFT(K2903,4)="CTAX",LEFT(K2903,2)="W|"),2*N2903*O2903,0)</f>
        <v/>
      </c>
      <c r="Z2903" s="12" t="inlineStr">
        <is>
          <t>HMWPE anode lead cable by CP vendor; allowance</t>
        </is>
      </c>
      <c r="AA2903" s="12">
        <f>N2903*O2903</f>
        <v/>
      </c>
    </row>
    <row r="2904">
      <c r="A2904" s="12" t="inlineStr">
        <is>
          <t>E-P-0012</t>
        </is>
      </c>
      <c r="B2904" s="12" t="inlineStr">
        <is>
          <t>E</t>
        </is>
      </c>
      <c r="C2904" s="12" t="inlineStr">
        <is>
          <t>Water / utilities</t>
        </is>
      </c>
      <c r="D2904" s="12" t="inlineStr">
        <is>
          <t>LV power feeder</t>
        </is>
      </c>
      <c r="E2904" s="12" t="inlineStr">
        <is>
          <t>MCC-C2</t>
        </is>
      </c>
      <c r="F2904" s="12" t="inlineStr">
        <is>
          <t>R1 MCC-C2</t>
        </is>
      </c>
      <c r="G2904" s="12" t="inlineStr"/>
      <c r="H2904" s="12" t="inlineStr">
        <is>
          <t>Demineralised water tank</t>
        </is>
      </c>
      <c r="I2904" s="12" t="inlineStr">
        <is>
          <t>LV 600 V</t>
        </is>
      </c>
      <c r="J2904" s="12" t="inlineStr">
        <is>
          <t>Type TC-ER 600 V 3/C Cu XHHW-2 + ground, PVC jacket</t>
        </is>
      </c>
      <c r="K2904" s="12" t="inlineStr">
        <is>
          <t>LV|3/C+G|2</t>
        </is>
      </c>
      <c r="L2904" s="12" t="inlineStr">
        <is>
          <t>3/C+G</t>
        </is>
      </c>
      <c r="M2904" s="12" t="inlineStr">
        <is>
          <t>2</t>
        </is>
      </c>
      <c r="N2904" s="12" t="n">
        <v>1</v>
      </c>
      <c r="O2904" s="12" t="n">
        <v>1</v>
      </c>
      <c r="P2904" s="12" t="n">
        <v>480</v>
      </c>
      <c r="Q2904" s="12" t="n">
        <v>10</v>
      </c>
      <c r="R2904" s="12" t="n">
        <v>14.2</v>
      </c>
      <c r="S2904" s="12" t="inlineStr">
        <is>
          <t>Duct bank</t>
        </is>
      </c>
      <c r="T2904" s="16" t="n">
        <v>1872</v>
      </c>
      <c r="U2904" s="16" t="n">
        <v>236</v>
      </c>
      <c r="V2904" s="16">
        <f>ROUNDUP((T2904+U2904+2*'Read Me'!$B$13)*(1+'Read Me'!$B$12),-1)</f>
        <v/>
      </c>
      <c r="W2904" s="16">
        <f>V2904*N2904*O2904</f>
        <v/>
      </c>
      <c r="X2904" s="12">
        <f>IF(LEFT(I2904,2)="MV",2*N2904*IF(L2904="1/C",O2904,1),0)</f>
        <v/>
      </c>
      <c r="Y2904" s="12">
        <f>IF(OR(LEFT(K2904,4)="LVAX",LEFT(K2904,6)="MV15AX",LEFT(K2904,4)="CTAX",LEFT(K2904,2)="W|"),2*N2904*O2904,0)</f>
        <v/>
      </c>
      <c r="Z2904" s="12" t="inlineStr">
        <is>
          <t>VD 2.3 %</t>
        </is>
      </c>
      <c r="AA2904" s="12">
        <f>N2904*O2904</f>
        <v/>
      </c>
    </row>
    <row r="2905">
      <c r="A2905" s="12" t="inlineStr">
        <is>
          <t>E-P-0013</t>
        </is>
      </c>
      <c r="B2905" s="12" t="inlineStr">
        <is>
          <t>E</t>
        </is>
      </c>
      <c r="C2905" s="12" t="inlineStr">
        <is>
          <t>Water / utilities</t>
        </is>
      </c>
      <c r="D2905" s="12" t="inlineStr">
        <is>
          <t>LV power feeder</t>
        </is>
      </c>
      <c r="E2905" s="12" t="inlineStr">
        <is>
          <t>MCC-C2</t>
        </is>
      </c>
      <c r="F2905" s="12" t="inlineStr">
        <is>
          <t>R1 MCC-C2</t>
        </is>
      </c>
      <c r="G2905" s="12" t="inlineStr"/>
      <c r="H2905" s="12" t="inlineStr">
        <is>
          <t>Fire / service water tank</t>
        </is>
      </c>
      <c r="I2905" s="12" t="inlineStr">
        <is>
          <t>LV 600 V</t>
        </is>
      </c>
      <c r="J2905" s="12" t="inlineStr">
        <is>
          <t>Type TC-ER 600 V 3/C Cu XHHW-2 + ground, PVC jacket</t>
        </is>
      </c>
      <c r="K2905" s="12" t="inlineStr">
        <is>
          <t>LV|3/C+G|2</t>
        </is>
      </c>
      <c r="L2905" s="12" t="inlineStr">
        <is>
          <t>3/C+G</t>
        </is>
      </c>
      <c r="M2905" s="12" t="inlineStr">
        <is>
          <t>2</t>
        </is>
      </c>
      <c r="N2905" s="12" t="n">
        <v>1</v>
      </c>
      <c r="O2905" s="12" t="n">
        <v>1</v>
      </c>
      <c r="P2905" s="12" t="n">
        <v>480</v>
      </c>
      <c r="Q2905" s="12" t="n">
        <v>10</v>
      </c>
      <c r="R2905" s="12" t="n">
        <v>14.2</v>
      </c>
      <c r="S2905" s="12" t="inlineStr">
        <is>
          <t>Duct bank</t>
        </is>
      </c>
      <c r="T2905" s="16" t="n">
        <v>1798</v>
      </c>
      <c r="U2905" s="16" t="n">
        <v>145</v>
      </c>
      <c r="V2905" s="16">
        <f>ROUNDUP((T2905+U2905+2*'Read Me'!$B$13)*(1+'Read Me'!$B$12),-1)</f>
        <v/>
      </c>
      <c r="W2905" s="16">
        <f>V2905*N2905*O2905</f>
        <v/>
      </c>
      <c r="X2905" s="12">
        <f>IF(LEFT(I2905,2)="MV",2*N2905*IF(L2905="1/C",O2905,1),0)</f>
        <v/>
      </c>
      <c r="Y2905" s="12">
        <f>IF(OR(LEFT(K2905,4)="LVAX",LEFT(K2905,6)="MV15AX",LEFT(K2905,4)="CTAX",LEFT(K2905,2)="W|"),2*N2905*O2905,0)</f>
        <v/>
      </c>
      <c r="Z2905" s="12" t="inlineStr">
        <is>
          <t>VD 2.1 %</t>
        </is>
      </c>
      <c r="AA2905" s="12">
        <f>N2905*O2905</f>
        <v/>
      </c>
    </row>
    <row r="2906">
      <c r="A2906" s="12" t="inlineStr">
        <is>
          <t>E-P-0014</t>
        </is>
      </c>
      <c r="B2906" s="12" t="inlineStr">
        <is>
          <t>E</t>
        </is>
      </c>
      <c r="C2906" s="12" t="inlineStr">
        <is>
          <t>Water / utilities</t>
        </is>
      </c>
      <c r="D2906" s="12" t="inlineStr">
        <is>
          <t>Motor 1 of 1, 250 kW</t>
        </is>
      </c>
      <c r="E2906" s="12" t="inlineStr">
        <is>
          <t>MCC-C2</t>
        </is>
      </c>
      <c r="F2906" s="12" t="inlineStr">
        <is>
          <t>R1 MCC-C2</t>
        </is>
      </c>
      <c r="G2906" s="12" t="inlineStr"/>
      <c r="H2906" s="12" t="inlineStr">
        <is>
          <t>Fire pump house</t>
        </is>
      </c>
      <c r="I2906" s="12" t="inlineStr">
        <is>
          <t>LV 600 V</t>
        </is>
      </c>
      <c r="J2906" s="12" t="inlineStr">
        <is>
          <t>Type TC-ER 600 V 3/C Cu XHHW-2 + ground, PVC jacket</t>
        </is>
      </c>
      <c r="K2906" s="12" t="inlineStr">
        <is>
          <t>LV|3/C+G|500</t>
        </is>
      </c>
      <c r="L2906" s="12" t="inlineStr">
        <is>
          <t>3/C+G</t>
        </is>
      </c>
      <c r="M2906" s="12" t="inlineStr">
        <is>
          <t>500 kcmil</t>
        </is>
      </c>
      <c r="N2906" s="12" t="n">
        <v>3</v>
      </c>
      <c r="O2906" s="12" t="n">
        <v>1</v>
      </c>
      <c r="P2906" s="12" t="n">
        <v>480</v>
      </c>
      <c r="Q2906" s="12" t="n">
        <v>250</v>
      </c>
      <c r="R2906" s="12" t="n">
        <v>353.8</v>
      </c>
      <c r="S2906" s="12" t="inlineStr">
        <is>
          <t>Duct bank</t>
        </is>
      </c>
      <c r="T2906" s="16" t="n">
        <v>2004</v>
      </c>
      <c r="U2906" s="16" t="n">
        <v>209</v>
      </c>
      <c r="V2906" s="16">
        <f>ROUNDUP((T2906+U2906+2*'Read Me'!$B$13)*(1+'Read Me'!$B$12),-1)</f>
        <v/>
      </c>
      <c r="W2906" s="16">
        <f>V2906*N2906*O2906</f>
        <v/>
      </c>
      <c r="X2906" s="12">
        <f>IF(LEFT(I2906,2)="MV",2*N2906*IF(L2906="1/C",O2906,1),0)</f>
        <v/>
      </c>
      <c r="Y2906" s="12">
        <f>IF(OR(LEFT(K2906,4)="LVAX",LEFT(K2906,6)="MV15AX",LEFT(K2906,4)="CTAX",LEFT(K2906,2)="W|"),2*N2906*O2906,0)</f>
        <v/>
      </c>
      <c r="Z2906" s="12" t="inlineStr">
        <is>
          <t>VD 2.7 %</t>
        </is>
      </c>
      <c r="AA2906" s="12">
        <f>N2906*O2906</f>
        <v/>
      </c>
    </row>
    <row r="2907">
      <c r="A2907" s="12" t="inlineStr">
        <is>
          <t>E-P-0015</t>
        </is>
      </c>
      <c r="B2907" s="12" t="inlineStr">
        <is>
          <t>E</t>
        </is>
      </c>
      <c r="C2907" s="12" t="inlineStr">
        <is>
          <t>Water / utilities</t>
        </is>
      </c>
      <c r="D2907" s="12" t="inlineStr">
        <is>
          <t>Motor 1 of 1, 15 kW</t>
        </is>
      </c>
      <c r="E2907" s="12" t="inlineStr">
        <is>
          <t>MCC-C2</t>
        </is>
      </c>
      <c r="F2907" s="12" t="inlineStr">
        <is>
          <t>R1 MCC-C2</t>
        </is>
      </c>
      <c r="G2907" s="12" t="inlineStr"/>
      <c r="H2907" s="12" t="inlineStr">
        <is>
          <t>Fire pump house</t>
        </is>
      </c>
      <c r="I2907" s="12" t="inlineStr">
        <is>
          <t>LV 600 V</t>
        </is>
      </c>
      <c r="J2907" s="12" t="inlineStr">
        <is>
          <t>Type TC-ER 600 V 3/C Cu XHHW-2 + ground, PVC jacket</t>
        </is>
      </c>
      <c r="K2907" s="12" t="inlineStr">
        <is>
          <t>LV|3/C+G|1</t>
        </is>
      </c>
      <c r="L2907" s="12" t="inlineStr">
        <is>
          <t>3/C+G</t>
        </is>
      </c>
      <c r="M2907" s="12" t="inlineStr">
        <is>
          <t>1</t>
        </is>
      </c>
      <c r="N2907" s="12" t="n">
        <v>1</v>
      </c>
      <c r="O2907" s="12" t="n">
        <v>1</v>
      </c>
      <c r="P2907" s="12" t="n">
        <v>480</v>
      </c>
      <c r="Q2907" s="12" t="n">
        <v>15</v>
      </c>
      <c r="R2907" s="12" t="n">
        <v>21.2</v>
      </c>
      <c r="S2907" s="12" t="inlineStr">
        <is>
          <t>Duct bank</t>
        </is>
      </c>
      <c r="T2907" s="16" t="n">
        <v>2004</v>
      </c>
      <c r="U2907" s="16" t="n">
        <v>209</v>
      </c>
      <c r="V2907" s="16">
        <f>ROUNDUP((T2907+U2907+2*'Read Me'!$B$13)*(1+'Read Me'!$B$12),-1)</f>
        <v/>
      </c>
      <c r="W2907" s="16">
        <f>V2907*N2907*O2907</f>
        <v/>
      </c>
      <c r="X2907" s="12">
        <f>IF(LEFT(I2907,2)="MV",2*N2907*IF(L2907="1/C",O2907,1),0)</f>
        <v/>
      </c>
      <c r="Y2907" s="12">
        <f>IF(OR(LEFT(K2907,4)="LVAX",LEFT(K2907,6)="MV15AX",LEFT(K2907,4)="CTAX",LEFT(K2907,2)="W|"),2*N2907*O2907,0)</f>
        <v/>
      </c>
      <c r="Z2907" s="12" t="inlineStr">
        <is>
          <t>VD 2.9 %</t>
        </is>
      </c>
      <c r="AA2907" s="12">
        <f>N2907*O2907</f>
        <v/>
      </c>
    </row>
    <row r="2908">
      <c r="A2908" s="12" t="inlineStr">
        <is>
          <t>E-P-0016</t>
        </is>
      </c>
      <c r="B2908" s="12" t="inlineStr">
        <is>
          <t>E</t>
        </is>
      </c>
      <c r="C2908" s="12" t="inlineStr">
        <is>
          <t>Water / utilities</t>
        </is>
      </c>
      <c r="D2908" s="12" t="inlineStr">
        <is>
          <t>LV power feeder</t>
        </is>
      </c>
      <c r="E2908" s="12" t="inlineStr">
        <is>
          <t>MCC-C2</t>
        </is>
      </c>
      <c r="F2908" s="12" t="inlineStr">
        <is>
          <t>R1 MCC-C2</t>
        </is>
      </c>
      <c r="G2908" s="12" t="inlineStr"/>
      <c r="H2908" s="12" t="inlineStr">
        <is>
          <t>H2 / CO2 storage (generator gas)</t>
        </is>
      </c>
      <c r="I2908" s="12" t="inlineStr">
        <is>
          <t>LV 600 V</t>
        </is>
      </c>
      <c r="J2908" s="12" t="inlineStr">
        <is>
          <t>ARMOR-X MC-HL 600 V 3/C Cu XHHW-2 + ground, CWA, black PVC (Class I Div 2)</t>
        </is>
      </c>
      <c r="K2908" s="12" t="inlineStr">
        <is>
          <t>LVAX|3/C+G|1/0</t>
        </is>
      </c>
      <c r="L2908" s="12" t="inlineStr">
        <is>
          <t>3/C+G</t>
        </is>
      </c>
      <c r="M2908" s="12" t="inlineStr">
        <is>
          <t>1/0</t>
        </is>
      </c>
      <c r="N2908" s="12" t="n">
        <v>1</v>
      </c>
      <c r="O2908" s="12" t="n">
        <v>1</v>
      </c>
      <c r="P2908" s="12" t="n">
        <v>480</v>
      </c>
      <c r="Q2908" s="12" t="n">
        <v>15</v>
      </c>
      <c r="R2908" s="12" t="n">
        <v>21.2</v>
      </c>
      <c r="S2908" s="12" t="inlineStr">
        <is>
          <t>Duct bank</t>
        </is>
      </c>
      <c r="T2908" s="16" t="n">
        <v>2254</v>
      </c>
      <c r="U2908" s="16" t="n">
        <v>145</v>
      </c>
      <c r="V2908" s="16">
        <f>ROUNDUP((T2908+U2908+2*'Read Me'!$B$13)*(1+'Read Me'!$B$12),-1)</f>
        <v/>
      </c>
      <c r="W2908" s="16">
        <f>V2908*N2908*O2908</f>
        <v/>
      </c>
      <c r="X2908" s="12">
        <f>IF(LEFT(I2908,2)="MV",2*N2908*IF(L2908="1/C",O2908,1),0)</f>
        <v/>
      </c>
      <c r="Y2908" s="12">
        <f>IF(OR(LEFT(K2908,4)="LVAX",LEFT(K2908,6)="MV15AX",LEFT(K2908,4)="CTAX",LEFT(K2908,2)="W|"),2*N2908*O2908,0)</f>
        <v/>
      </c>
      <c r="Z2908" s="12" t="inlineStr">
        <is>
          <t>VD 2.5 %</t>
        </is>
      </c>
      <c r="AA2908" s="12">
        <f>N2908*O2908</f>
        <v/>
      </c>
    </row>
    <row r="2909">
      <c r="A2909" s="12" t="inlineStr">
        <is>
          <t>E-P-0017</t>
        </is>
      </c>
      <c r="B2909" s="12" t="inlineStr">
        <is>
          <t>E</t>
        </is>
      </c>
      <c r="C2909" s="12" t="inlineStr">
        <is>
          <t>Water / utilities</t>
        </is>
      </c>
      <c r="D2909" s="12" t="inlineStr">
        <is>
          <t>LV power feeder</t>
        </is>
      </c>
      <c r="E2909" s="12" t="inlineStr">
        <is>
          <t>MCC-C2</t>
        </is>
      </c>
      <c r="F2909" s="12" t="inlineStr">
        <is>
          <t>R1 MCC-C2</t>
        </is>
      </c>
      <c r="G2909" s="12" t="inlineStr">
        <is>
          <t>HTP-2</t>
        </is>
      </c>
      <c r="H2909" s="12" t="inlineStr">
        <is>
          <t>HTP-2: heat-trace panel (NH3)</t>
        </is>
      </c>
      <c r="I2909" s="12" t="inlineStr">
        <is>
          <t>LV 600 V</t>
        </is>
      </c>
      <c r="J2909" s="12" t="inlineStr">
        <is>
          <t>Type TC-ER 600 V 3/C Cu XHHW-2 + ground, PVC jacket</t>
        </is>
      </c>
      <c r="K2909" s="12" t="inlineStr">
        <is>
          <t>LV|3/C+G|350</t>
        </is>
      </c>
      <c r="L2909" s="12" t="inlineStr">
        <is>
          <t>3/C+G</t>
        </is>
      </c>
      <c r="M2909" s="12" t="inlineStr">
        <is>
          <t>350 kcmil</t>
        </is>
      </c>
      <c r="N2909" s="12" t="n">
        <v>2</v>
      </c>
      <c r="O2909" s="12" t="n">
        <v>1</v>
      </c>
      <c r="P2909" s="12" t="n">
        <v>480</v>
      </c>
      <c r="Q2909" s="12" t="n">
        <v>120</v>
      </c>
      <c r="R2909" s="12" t="n">
        <v>169.8</v>
      </c>
      <c r="S2909" s="12" t="inlineStr">
        <is>
          <t>Duct bank</t>
        </is>
      </c>
      <c r="T2909" s="16" t="n">
        <v>2010</v>
      </c>
      <c r="U2909" s="16" t="n">
        <v>220</v>
      </c>
      <c r="V2909" s="16">
        <f>ROUNDUP((T2909+U2909+2*'Read Me'!$B$13)*(1+'Read Me'!$B$12),-1)</f>
        <v/>
      </c>
      <c r="W2909" s="16">
        <f>V2909*N2909*O2909</f>
        <v/>
      </c>
      <c r="X2909" s="12">
        <f>IF(LEFT(I2909,2)="MV",2*N2909*IF(L2909="1/C",O2909,1),0)</f>
        <v/>
      </c>
      <c r="Y2909" s="12">
        <f>IF(OR(LEFT(K2909,4)="LVAX",LEFT(K2909,6)="MV15AX",LEFT(K2909,4)="CTAX",LEFT(K2909,2)="W|"),2*N2909*O2909,0)</f>
        <v/>
      </c>
      <c r="Z2909" s="12" t="inlineStr">
        <is>
          <t>VD 2.8 %</t>
        </is>
      </c>
      <c r="AA2909" s="12">
        <f>N2909*O2909</f>
        <v/>
      </c>
    </row>
    <row r="2910">
      <c r="A2910" s="12" t="inlineStr">
        <is>
          <t>E-P-0018</t>
        </is>
      </c>
      <c r="B2910" s="12" t="inlineStr">
        <is>
          <t>E</t>
        </is>
      </c>
      <c r="C2910" s="12" t="inlineStr">
        <is>
          <t>Water / utilities</t>
        </is>
      </c>
      <c r="D2910" s="12" t="inlineStr">
        <is>
          <t>Heat-trace circuit 1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E-P-0019</t>
        </is>
      </c>
      <c r="B2911" s="12" t="inlineStr">
        <is>
          <t>E</t>
        </is>
      </c>
      <c r="C2911" s="12" t="inlineStr">
        <is>
          <t>Water / utilities</t>
        </is>
      </c>
      <c r="D2911" s="12" t="inlineStr">
        <is>
          <t>Heat-trace circuit 2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E-P-0020</t>
        </is>
      </c>
      <c r="B2912" s="12" t="inlineStr">
        <is>
          <t>E</t>
        </is>
      </c>
      <c r="C2912" s="12" t="inlineStr">
        <is>
          <t>Water / utilities</t>
        </is>
      </c>
      <c r="D2912" s="12" t="inlineStr">
        <is>
          <t>Heat-trace circuit 3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E-P-0021</t>
        </is>
      </c>
      <c r="B2913" s="12" t="inlineStr">
        <is>
          <t>E</t>
        </is>
      </c>
      <c r="C2913" s="12" t="inlineStr">
        <is>
          <t>Water / utilities</t>
        </is>
      </c>
      <c r="D2913" s="12" t="inlineStr">
        <is>
          <t>Heat-trace circuit 4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E-P-0022</t>
        </is>
      </c>
      <c r="B2914" s="12" t="inlineStr">
        <is>
          <t>E</t>
        </is>
      </c>
      <c r="C2914" s="12" t="inlineStr">
        <is>
          <t>Water / utilities</t>
        </is>
      </c>
      <c r="D2914" s="12" t="inlineStr">
        <is>
          <t>Heat-trace circuit 5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E-P-0023</t>
        </is>
      </c>
      <c r="B2915" s="12" t="inlineStr">
        <is>
          <t>E</t>
        </is>
      </c>
      <c r="C2915" s="12" t="inlineStr">
        <is>
          <t>Water / utilities</t>
        </is>
      </c>
      <c r="D2915" s="12" t="inlineStr">
        <is>
          <t>Heat-trace circuit 6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E-P-0024</t>
        </is>
      </c>
      <c r="B2916" s="12" t="inlineStr">
        <is>
          <t>E</t>
        </is>
      </c>
      <c r="C2916" s="12" t="inlineStr">
        <is>
          <t>Water / utilities</t>
        </is>
      </c>
      <c r="D2916" s="12" t="inlineStr">
        <is>
          <t>Heat-trace circuit 7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E-P-0025</t>
        </is>
      </c>
      <c r="B2917" s="12" t="inlineStr">
        <is>
          <t>E</t>
        </is>
      </c>
      <c r="C2917" s="12" t="inlineStr">
        <is>
          <t>Water / utilities</t>
        </is>
      </c>
      <c r="D2917" s="12" t="inlineStr">
        <is>
          <t>Heat-trace circuit 8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E-P-0026</t>
        </is>
      </c>
      <c r="B2918" s="12" t="inlineStr">
        <is>
          <t>E</t>
        </is>
      </c>
      <c r="C2918" s="12" t="inlineStr">
        <is>
          <t>Water / utilities</t>
        </is>
      </c>
      <c r="D2918" s="12" t="inlineStr">
        <is>
          <t>Heat-trace circuit 9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E-P-0027</t>
        </is>
      </c>
      <c r="B2919" s="12" t="inlineStr">
        <is>
          <t>E</t>
        </is>
      </c>
      <c r="C2919" s="12" t="inlineStr">
        <is>
          <t>Water / utilities</t>
        </is>
      </c>
      <c r="D2919" s="12" t="inlineStr">
        <is>
          <t>Heat-trace circuit 10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E-P-0028</t>
        </is>
      </c>
      <c r="B2920" s="12" t="inlineStr">
        <is>
          <t>E</t>
        </is>
      </c>
      <c r="C2920" s="12" t="inlineStr">
        <is>
          <t>Water / utilities</t>
        </is>
      </c>
      <c r="D2920" s="12" t="inlineStr">
        <is>
          <t>Heat-trace circuit 11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E-P-0029</t>
        </is>
      </c>
      <c r="B2921" s="12" t="inlineStr">
        <is>
          <t>E</t>
        </is>
      </c>
      <c r="C2921" s="12" t="inlineStr">
        <is>
          <t>Water / utilities</t>
        </is>
      </c>
      <c r="D2921" s="12" t="inlineStr">
        <is>
          <t>Heat-trace circuit 12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E-P-0030</t>
        </is>
      </c>
      <c r="B2922" s="12" t="inlineStr">
        <is>
          <t>E</t>
        </is>
      </c>
      <c r="C2922" s="12" t="inlineStr">
        <is>
          <t>Water / utilities</t>
        </is>
      </c>
      <c r="D2922" s="12" t="inlineStr">
        <is>
          <t>Heat-trace circuit 13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E-P-0031</t>
        </is>
      </c>
      <c r="B2923" s="12" t="inlineStr">
        <is>
          <t>E</t>
        </is>
      </c>
      <c r="C2923" s="12" t="inlineStr">
        <is>
          <t>Water / utilities</t>
        </is>
      </c>
      <c r="D2923" s="12" t="inlineStr">
        <is>
          <t>Heat-trace circuit 14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E-P-0032</t>
        </is>
      </c>
      <c r="B2924" s="12" t="inlineStr">
        <is>
          <t>E</t>
        </is>
      </c>
      <c r="C2924" s="12" t="inlineStr">
        <is>
          <t>Water / utilities</t>
        </is>
      </c>
      <c r="D2924" s="12" t="inlineStr">
        <is>
          <t>Heat-trace circuit 15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E-P-0033</t>
        </is>
      </c>
      <c r="B2925" s="12" t="inlineStr">
        <is>
          <t>E</t>
        </is>
      </c>
      <c r="C2925" s="12" t="inlineStr">
        <is>
          <t>Water / utilities</t>
        </is>
      </c>
      <c r="D2925" s="12" t="inlineStr">
        <is>
          <t>Heat-trace circuit 16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E-P-0034</t>
        </is>
      </c>
      <c r="B2926" s="12" t="inlineStr">
        <is>
          <t>E</t>
        </is>
      </c>
      <c r="C2926" s="12" t="inlineStr">
        <is>
          <t>Water / utilities</t>
        </is>
      </c>
      <c r="D2926" s="12" t="inlineStr">
        <is>
          <t>Heat-trace circuit 17 (power to the trace junction box)</t>
        </is>
      </c>
      <c r="E2926" s="12" t="inlineStr">
        <is>
          <t>HTP-2</t>
        </is>
      </c>
      <c r="F2926" s="12" t="inlineStr">
        <is>
          <t>HTP-2: heat-trace panel (NH3)</t>
        </is>
      </c>
      <c r="G2926" s="12" t="inlineStr">
        <is>
          <t>HTP-2</t>
        </is>
      </c>
      <c r="H2926" s="12" t="inlineStr">
        <is>
          <t>HTP-2: heat-trace panel (NH3)</t>
        </is>
      </c>
      <c r="I2926" s="12" t="inlineStr">
        <is>
          <t>LV 600 V</t>
        </is>
      </c>
      <c r="J2926" s="12" t="inlineStr">
        <is>
          <t>Type TC-ER 600 V 3/C Cu XHHW-2 + ground, PVC jacket</t>
        </is>
      </c>
      <c r="K2926" s="12" t="inlineStr">
        <is>
          <t>LV|3/C+G|10</t>
        </is>
      </c>
      <c r="L2926" s="12" t="inlineStr">
        <is>
          <t>3/C+G</t>
        </is>
      </c>
      <c r="M2926" s="12" t="inlineStr">
        <is>
          <t>10</t>
        </is>
      </c>
      <c r="N2926" s="12" t="n">
        <v>1</v>
      </c>
      <c r="O2926" s="12" t="n">
        <v>1</v>
      </c>
      <c r="P2926" s="12" t="n">
        <v>480</v>
      </c>
      <c r="Q2926" s="12" t="n">
        <v>4</v>
      </c>
      <c r="R2926" s="12" t="n">
        <v>6</v>
      </c>
      <c r="S2926" s="12" t="inlineStr">
        <is>
          <t>Tray</t>
        </is>
      </c>
      <c r="T2926" s="16" t="n">
        <v>180</v>
      </c>
      <c r="U2926" s="16" t="n">
        <v>20</v>
      </c>
      <c r="V2926" s="16">
        <f>ROUNDUP((T2926+U2926+2*'Read Me'!$B$13)*(1+'Read Me'!$B$12),-1)</f>
        <v/>
      </c>
      <c r="W2926" s="16">
        <f>V2926*N2926*O2926</f>
        <v/>
      </c>
      <c r="X2926" s="12">
        <f>IF(LEFT(I2926,2)="MV",2*N2926*IF(L2926="1/C",O2926,1),0)</f>
        <v/>
      </c>
      <c r="Y2926" s="12">
        <f>IF(OR(LEFT(K2926,4)="LVAX",LEFT(K2926,6)="MV15AX",LEFT(K2926,4)="CTAX",LEFT(K2926,2)="W|"),2*N2926*O2926,0)</f>
        <v/>
      </c>
      <c r="Z2926" s="12" t="inlineStr">
        <is>
          <t>heat-trace cable itself by others</t>
        </is>
      </c>
      <c r="AA2926" s="12">
        <f>N2926*O2926</f>
        <v/>
      </c>
    </row>
    <row r="2927">
      <c r="A2927" s="12" t="inlineStr">
        <is>
          <t>E-P-0035</t>
        </is>
      </c>
      <c r="B2927" s="12" t="inlineStr">
        <is>
          <t>E</t>
        </is>
      </c>
      <c r="C2927" s="12" t="inlineStr">
        <is>
          <t>Water / utilities</t>
        </is>
      </c>
      <c r="D2927" s="12" t="inlineStr">
        <is>
          <t>Heat-trace circuit 18 (power to the trace junction box)</t>
        </is>
      </c>
      <c r="E2927" s="12" t="inlineStr">
        <is>
          <t>HTP-2</t>
        </is>
      </c>
      <c r="F2927" s="12" t="inlineStr">
        <is>
          <t>HTP-2: heat-trace panel (NH3)</t>
        </is>
      </c>
      <c r="G2927" s="12" t="inlineStr">
        <is>
          <t>HTP-2</t>
        </is>
      </c>
      <c r="H2927" s="12" t="inlineStr">
        <is>
          <t>HTP-2: heat-trace panel (NH3)</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E-P-0036</t>
        </is>
      </c>
      <c r="B2928" s="12" t="inlineStr">
        <is>
          <t>E</t>
        </is>
      </c>
      <c r="C2928" s="12" t="inlineStr">
        <is>
          <t>Water / utilities</t>
        </is>
      </c>
      <c r="D2928" s="12" t="inlineStr">
        <is>
          <t>Heat-trace circuit 19 (power to the trace junction box)</t>
        </is>
      </c>
      <c r="E2928" s="12" t="inlineStr">
        <is>
          <t>HTP-2</t>
        </is>
      </c>
      <c r="F2928" s="12" t="inlineStr">
        <is>
          <t>HTP-2: heat-trace panel (NH3)</t>
        </is>
      </c>
      <c r="G2928" s="12" t="inlineStr">
        <is>
          <t>HTP-2</t>
        </is>
      </c>
      <c r="H2928" s="12" t="inlineStr">
        <is>
          <t>HTP-2: heat-trace panel (NH3)</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E-P-0037</t>
        </is>
      </c>
      <c r="B2929" s="12" t="inlineStr">
        <is>
          <t>E</t>
        </is>
      </c>
      <c r="C2929" s="12" t="inlineStr">
        <is>
          <t>Water / utilities</t>
        </is>
      </c>
      <c r="D2929" s="12" t="inlineStr">
        <is>
          <t>Heat-trace circuit 20 (power to the trace junction box)</t>
        </is>
      </c>
      <c r="E2929" s="12" t="inlineStr">
        <is>
          <t>HTP-2</t>
        </is>
      </c>
      <c r="F2929" s="12" t="inlineStr">
        <is>
          <t>HTP-2: heat-trace panel (NH3)</t>
        </is>
      </c>
      <c r="G2929" s="12" t="inlineStr">
        <is>
          <t>HTP-2</t>
        </is>
      </c>
      <c r="H2929" s="12" t="inlineStr">
        <is>
          <t>HTP-2: heat-trace panel (NH3)</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E-P-0038</t>
        </is>
      </c>
      <c r="B2930" s="12" t="inlineStr">
        <is>
          <t>E</t>
        </is>
      </c>
      <c r="C2930" s="12" t="inlineStr">
        <is>
          <t>Water / utilities</t>
        </is>
      </c>
      <c r="D2930" s="12" t="inlineStr">
        <is>
          <t>Heat-trace circuit 21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E-P-0039</t>
        </is>
      </c>
      <c r="B2931" s="12" t="inlineStr">
        <is>
          <t>E</t>
        </is>
      </c>
      <c r="C2931" s="12" t="inlineStr">
        <is>
          <t>Water / utilities</t>
        </is>
      </c>
      <c r="D2931" s="12" t="inlineStr">
        <is>
          <t>Heat-trace circuit 22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E-P-0040</t>
        </is>
      </c>
      <c r="B2932" s="12" t="inlineStr">
        <is>
          <t>E</t>
        </is>
      </c>
      <c r="C2932" s="12" t="inlineStr">
        <is>
          <t>Water / utilities</t>
        </is>
      </c>
      <c r="D2932" s="12" t="inlineStr">
        <is>
          <t>Heat-trace circuit 23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E-P-0041</t>
        </is>
      </c>
      <c r="B2933" s="12" t="inlineStr">
        <is>
          <t>E</t>
        </is>
      </c>
      <c r="C2933" s="12" t="inlineStr">
        <is>
          <t>Water / utilities</t>
        </is>
      </c>
      <c r="D2933" s="12" t="inlineStr">
        <is>
          <t>Heat-trace circuit 24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E-P-0042</t>
        </is>
      </c>
      <c r="B2934" s="12" t="inlineStr">
        <is>
          <t>E</t>
        </is>
      </c>
      <c r="C2934" s="12" t="inlineStr">
        <is>
          <t>Water / utilities</t>
        </is>
      </c>
      <c r="D2934" s="12" t="inlineStr">
        <is>
          <t>LV power feeder</t>
        </is>
      </c>
      <c r="E2934" s="12" t="inlineStr">
        <is>
          <t>MCC-C2</t>
        </is>
      </c>
      <c r="F2934" s="12" t="inlineStr">
        <is>
          <t>R1 MCC-C2</t>
        </is>
      </c>
      <c r="G2934" s="12" t="inlineStr">
        <is>
          <t>HTP-3</t>
        </is>
      </c>
      <c r="H2934" s="12" t="inlineStr">
        <is>
          <t>HTP-3: heat-trace panel (tanks)</t>
        </is>
      </c>
      <c r="I2934" s="12" t="inlineStr">
        <is>
          <t>LV 600 V</t>
        </is>
      </c>
      <c r="J2934" s="12" t="inlineStr">
        <is>
          <t>Type TC-ER 600 V 3/C Cu XHHW-2 + ground, PVC jacket</t>
        </is>
      </c>
      <c r="K2934" s="12" t="inlineStr">
        <is>
          <t>LV|3/C+G|2</t>
        </is>
      </c>
      <c r="L2934" s="12" t="inlineStr">
        <is>
          <t>3/C+G</t>
        </is>
      </c>
      <c r="M2934" s="12" t="inlineStr">
        <is>
          <t>2</t>
        </is>
      </c>
      <c r="N2934" s="12" t="n">
        <v>1</v>
      </c>
      <c r="O2934" s="12" t="n">
        <v>1</v>
      </c>
      <c r="P2934" s="12" t="n">
        <v>480</v>
      </c>
      <c r="Q2934" s="12" t="n">
        <v>10</v>
      </c>
      <c r="R2934" s="12" t="n">
        <v>14.2</v>
      </c>
      <c r="S2934" s="12" t="inlineStr">
        <is>
          <t>Duct bank</t>
        </is>
      </c>
      <c r="T2934" s="16" t="n">
        <v>1844</v>
      </c>
      <c r="U2934" s="16" t="n">
        <v>171</v>
      </c>
      <c r="V2934" s="16">
        <f>ROUNDUP((T2934+U2934+2*'Read Me'!$B$13)*(1+'Read Me'!$B$12),-1)</f>
        <v/>
      </c>
      <c r="W2934" s="16">
        <f>V2934*N2934*O2934</f>
        <v/>
      </c>
      <c r="X2934" s="12">
        <f>IF(LEFT(I2934,2)="MV",2*N2934*IF(L2934="1/C",O2934,1),0)</f>
        <v/>
      </c>
      <c r="Y2934" s="12">
        <f>IF(OR(LEFT(K2934,4)="LVAX",LEFT(K2934,6)="MV15AX",LEFT(K2934,4)="CTAX",LEFT(K2934,2)="W|"),2*N2934*O2934,0)</f>
        <v/>
      </c>
      <c r="Z2934" s="12" t="inlineStr">
        <is>
          <t>VD 2.2 %</t>
        </is>
      </c>
      <c r="AA2934" s="12">
        <f>N2934*O2934</f>
        <v/>
      </c>
    </row>
    <row r="2935">
      <c r="A2935" s="12" t="inlineStr">
        <is>
          <t>E-P-0043</t>
        </is>
      </c>
      <c r="B2935" s="12" t="inlineStr">
        <is>
          <t>E</t>
        </is>
      </c>
      <c r="C2935" s="12" t="inlineStr">
        <is>
          <t>Water / utilities</t>
        </is>
      </c>
      <c r="D2935" s="12" t="inlineStr">
        <is>
          <t>Heat-trace circuit 1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E-P-0044</t>
        </is>
      </c>
      <c r="B2936" s="12" t="inlineStr">
        <is>
          <t>E</t>
        </is>
      </c>
      <c r="C2936" s="12" t="inlineStr">
        <is>
          <t>Water / utilities</t>
        </is>
      </c>
      <c r="D2936" s="12" t="inlineStr">
        <is>
          <t>Heat-trace circuit 2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E-P-0045</t>
        </is>
      </c>
      <c r="B2937" s="12" t="inlineStr">
        <is>
          <t>E</t>
        </is>
      </c>
      <c r="C2937" s="12" t="inlineStr">
        <is>
          <t>Water / utilities</t>
        </is>
      </c>
      <c r="D2937" s="12" t="inlineStr">
        <is>
          <t>Heat-trace circuit 3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E-P-0046</t>
        </is>
      </c>
      <c r="B2938" s="12" t="inlineStr">
        <is>
          <t>E</t>
        </is>
      </c>
      <c r="C2938" s="12" t="inlineStr">
        <is>
          <t>Water / utilities</t>
        </is>
      </c>
      <c r="D2938" s="12" t="inlineStr">
        <is>
          <t>Heat-trace circuit 4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E-P-0047</t>
        </is>
      </c>
      <c r="B2939" s="12" t="inlineStr">
        <is>
          <t>E</t>
        </is>
      </c>
      <c r="C2939" s="12" t="inlineStr">
        <is>
          <t>Water / utilities</t>
        </is>
      </c>
      <c r="D2939" s="12" t="inlineStr">
        <is>
          <t>Heat-trace circuit 5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E-P-0048</t>
        </is>
      </c>
      <c r="B2940" s="12" t="inlineStr">
        <is>
          <t>E</t>
        </is>
      </c>
      <c r="C2940" s="12" t="inlineStr">
        <is>
          <t>Water / utilities</t>
        </is>
      </c>
      <c r="D2940" s="12" t="inlineStr">
        <is>
          <t>Heat-trace circuit 6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E-P-0049</t>
        </is>
      </c>
      <c r="B2941" s="12" t="inlineStr">
        <is>
          <t>E</t>
        </is>
      </c>
      <c r="C2941" s="12" t="inlineStr">
        <is>
          <t>Water / utilities</t>
        </is>
      </c>
      <c r="D2941" s="12" t="inlineStr">
        <is>
          <t>Heat-trace circuit 7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E-P-0050</t>
        </is>
      </c>
      <c r="B2942" s="12" t="inlineStr">
        <is>
          <t>E</t>
        </is>
      </c>
      <c r="C2942" s="12" t="inlineStr">
        <is>
          <t>Water / utilities</t>
        </is>
      </c>
      <c r="D2942" s="12" t="inlineStr">
        <is>
          <t>Heat-trace circuit 8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E-P-0051</t>
        </is>
      </c>
      <c r="B2943" s="12" t="inlineStr">
        <is>
          <t>E</t>
        </is>
      </c>
      <c r="C2943" s="12" t="inlineStr">
        <is>
          <t>Water / utilities</t>
        </is>
      </c>
      <c r="D2943" s="12" t="inlineStr">
        <is>
          <t>Heat-trace circuit 9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E-P-0052</t>
        </is>
      </c>
      <c r="B2944" s="12" t="inlineStr">
        <is>
          <t>E</t>
        </is>
      </c>
      <c r="C2944" s="12" t="inlineStr">
        <is>
          <t>Water / utilities</t>
        </is>
      </c>
      <c r="D2944" s="12" t="inlineStr">
        <is>
          <t>Heat-trace circuit 10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E-P-0053</t>
        </is>
      </c>
      <c r="B2945" s="12" t="inlineStr">
        <is>
          <t>E</t>
        </is>
      </c>
      <c r="C2945" s="12" t="inlineStr">
        <is>
          <t>Water / utilities</t>
        </is>
      </c>
      <c r="D2945" s="12" t="inlineStr">
        <is>
          <t>Heat-trace circuit 11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E-P-0054</t>
        </is>
      </c>
      <c r="B2946" s="12" t="inlineStr">
        <is>
          <t>E</t>
        </is>
      </c>
      <c r="C2946" s="12" t="inlineStr">
        <is>
          <t>Water / utilities</t>
        </is>
      </c>
      <c r="D2946" s="12" t="inlineStr">
        <is>
          <t>Heat-trace circuit 12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E-P-0055</t>
        </is>
      </c>
      <c r="B2947" s="12" t="inlineStr">
        <is>
          <t>E</t>
        </is>
      </c>
      <c r="C2947" s="12" t="inlineStr">
        <is>
          <t>Water / utilities</t>
        </is>
      </c>
      <c r="D2947" s="12" t="inlineStr">
        <is>
          <t>Heat-trace circuit 13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E-P-0056</t>
        </is>
      </c>
      <c r="B2948" s="12" t="inlineStr">
        <is>
          <t>E</t>
        </is>
      </c>
      <c r="C2948" s="12" t="inlineStr">
        <is>
          <t>Water / utilities</t>
        </is>
      </c>
      <c r="D2948" s="12" t="inlineStr">
        <is>
          <t>Heat-trace circuit 14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E-P-0057</t>
        </is>
      </c>
      <c r="B2949" s="12" t="inlineStr">
        <is>
          <t>E</t>
        </is>
      </c>
      <c r="C2949" s="12" t="inlineStr">
        <is>
          <t>Water / utilities</t>
        </is>
      </c>
      <c r="D2949" s="12" t="inlineStr">
        <is>
          <t>Heat-trace circuit 15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E-P-0058</t>
        </is>
      </c>
      <c r="B2950" s="12" t="inlineStr">
        <is>
          <t>E</t>
        </is>
      </c>
      <c r="C2950" s="12" t="inlineStr">
        <is>
          <t>Water / utilities</t>
        </is>
      </c>
      <c r="D2950" s="12" t="inlineStr">
        <is>
          <t>Heat-trace circuit 16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E-P-0059</t>
        </is>
      </c>
      <c r="B2951" s="12" t="inlineStr">
        <is>
          <t>E</t>
        </is>
      </c>
      <c r="C2951" s="12" t="inlineStr">
        <is>
          <t>Water / utilities</t>
        </is>
      </c>
      <c r="D2951" s="12" t="inlineStr">
        <is>
          <t>Heat-trace circuit 17 (power to the trace junction box)</t>
        </is>
      </c>
      <c r="E2951" s="12" t="inlineStr">
        <is>
          <t>HTP-3</t>
        </is>
      </c>
      <c r="F2951" s="12" t="inlineStr">
        <is>
          <t>HTP-3: heat-trace panel (tanks)</t>
        </is>
      </c>
      <c r="G2951" s="12" t="inlineStr">
        <is>
          <t>HTP-3</t>
        </is>
      </c>
      <c r="H2951" s="12" t="inlineStr">
        <is>
          <t>HTP-3: heat-trace panel (tanks)</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6" t="n">
        <v>180</v>
      </c>
      <c r="U2951" s="16" t="n">
        <v>20</v>
      </c>
      <c r="V2951" s="16">
        <f>ROUNDUP((T2951+U2951+2*'Read Me'!$B$13)*(1+'Read Me'!$B$12),-1)</f>
        <v/>
      </c>
      <c r="W2951" s="16">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E-P-0060</t>
        </is>
      </c>
      <c r="B2952" s="12" t="inlineStr">
        <is>
          <t>E</t>
        </is>
      </c>
      <c r="C2952" s="12" t="inlineStr">
        <is>
          <t>Water / utilities</t>
        </is>
      </c>
      <c r="D2952" s="12" t="inlineStr">
        <is>
          <t>Heat-trace circuit 18 (power to the trace junction box)</t>
        </is>
      </c>
      <c r="E2952" s="12" t="inlineStr">
        <is>
          <t>HTP-3</t>
        </is>
      </c>
      <c r="F2952" s="12" t="inlineStr">
        <is>
          <t>HTP-3: heat-trace panel (tanks)</t>
        </is>
      </c>
      <c r="G2952" s="12" t="inlineStr">
        <is>
          <t>HTP-3</t>
        </is>
      </c>
      <c r="H2952" s="12" t="inlineStr">
        <is>
          <t>HTP-3: heat-trace panel (tanks)</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6" t="n">
        <v>180</v>
      </c>
      <c r="U2952" s="16" t="n">
        <v>20</v>
      </c>
      <c r="V2952" s="16">
        <f>ROUNDUP((T2952+U2952+2*'Read Me'!$B$13)*(1+'Read Me'!$B$12),-1)</f>
        <v/>
      </c>
      <c r="W2952" s="16">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E-P-0061</t>
        </is>
      </c>
      <c r="B2953" s="12" t="inlineStr">
        <is>
          <t>E</t>
        </is>
      </c>
      <c r="C2953" s="12" t="inlineStr">
        <is>
          <t>Water / utilities</t>
        </is>
      </c>
      <c r="D2953" s="12" t="inlineStr">
        <is>
          <t>Heat-trace circuit 19 (power to the trace junction box)</t>
        </is>
      </c>
      <c r="E2953" s="12" t="inlineStr">
        <is>
          <t>HTP-3</t>
        </is>
      </c>
      <c r="F2953" s="12" t="inlineStr">
        <is>
          <t>HTP-3: heat-trace panel (tanks)</t>
        </is>
      </c>
      <c r="G2953" s="12" t="inlineStr">
        <is>
          <t>HTP-3</t>
        </is>
      </c>
      <c r="H2953" s="12" t="inlineStr">
        <is>
          <t>HTP-3: heat-trace panel (tanks)</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6" t="n">
        <v>180</v>
      </c>
      <c r="U2953" s="16" t="n">
        <v>20</v>
      </c>
      <c r="V2953" s="16">
        <f>ROUNDUP((T2953+U2953+2*'Read Me'!$B$13)*(1+'Read Me'!$B$12),-1)</f>
        <v/>
      </c>
      <c r="W2953" s="16">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E-P-0062</t>
        </is>
      </c>
      <c r="B2954" s="12" t="inlineStr">
        <is>
          <t>E</t>
        </is>
      </c>
      <c r="C2954" s="12" t="inlineStr">
        <is>
          <t>Water / utilities</t>
        </is>
      </c>
      <c r="D2954" s="12" t="inlineStr">
        <is>
          <t>Heat-trace circuit 20 (power to the trace junction box)</t>
        </is>
      </c>
      <c r="E2954" s="12" t="inlineStr">
        <is>
          <t>HTP-3</t>
        </is>
      </c>
      <c r="F2954" s="12" t="inlineStr">
        <is>
          <t>HTP-3: heat-trace panel (tanks)</t>
        </is>
      </c>
      <c r="G2954" s="12" t="inlineStr">
        <is>
          <t>HTP-3</t>
        </is>
      </c>
      <c r="H2954" s="12" t="inlineStr">
        <is>
          <t>HTP-3: heat-trace panel (tanks)</t>
        </is>
      </c>
      <c r="I2954" s="12" t="inlineStr">
        <is>
          <t>LV 600 V</t>
        </is>
      </c>
      <c r="J2954" s="12" t="inlineStr">
        <is>
          <t>Type TC-ER 600 V 3/C Cu XHHW-2 + ground, PVC jacket</t>
        </is>
      </c>
      <c r="K2954" s="12" t="inlineStr">
        <is>
          <t>LV|3/C+G|10</t>
        </is>
      </c>
      <c r="L2954" s="12" t="inlineStr">
        <is>
          <t>3/C+G</t>
        </is>
      </c>
      <c r="M2954" s="12" t="inlineStr">
        <is>
          <t>10</t>
        </is>
      </c>
      <c r="N2954" s="12" t="n">
        <v>1</v>
      </c>
      <c r="O2954" s="12" t="n">
        <v>1</v>
      </c>
      <c r="P2954" s="12" t="n">
        <v>480</v>
      </c>
      <c r="Q2954" s="12" t="n">
        <v>4</v>
      </c>
      <c r="R2954" s="12" t="n">
        <v>6</v>
      </c>
      <c r="S2954" s="12" t="inlineStr">
        <is>
          <t>Tray</t>
        </is>
      </c>
      <c r="T2954" s="16" t="n">
        <v>180</v>
      </c>
      <c r="U2954" s="16" t="n">
        <v>20</v>
      </c>
      <c r="V2954" s="16">
        <f>ROUNDUP((T2954+U2954+2*'Read Me'!$B$13)*(1+'Read Me'!$B$12),-1)</f>
        <v/>
      </c>
      <c r="W2954" s="16">
        <f>V2954*N2954*O2954</f>
        <v/>
      </c>
      <c r="X2954" s="12">
        <f>IF(LEFT(I2954,2)="MV",2*N2954*IF(L2954="1/C",O2954,1),0)</f>
        <v/>
      </c>
      <c r="Y2954" s="12">
        <f>IF(OR(LEFT(K2954,4)="LVAX",LEFT(K2954,6)="MV15AX",LEFT(K2954,4)="CTAX",LEFT(K2954,2)="W|"),2*N2954*O2954,0)</f>
        <v/>
      </c>
      <c r="Z2954" s="12" t="inlineStr">
        <is>
          <t>heat-trace cable itself by others</t>
        </is>
      </c>
      <c r="AA2954" s="12">
        <f>N2954*O2954</f>
        <v/>
      </c>
    </row>
    <row r="2955">
      <c r="A2955" s="12" t="inlineStr">
        <is>
          <t>E-P-0063</t>
        </is>
      </c>
      <c r="B2955" s="12" t="inlineStr">
        <is>
          <t>E</t>
        </is>
      </c>
      <c r="C2955" s="12" t="inlineStr">
        <is>
          <t>Water / utilities</t>
        </is>
      </c>
      <c r="D2955" s="12" t="inlineStr">
        <is>
          <t>Heat-trace circuit 21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6" t="n">
        <v>180</v>
      </c>
      <c r="U2955" s="16" t="n">
        <v>20</v>
      </c>
      <c r="V2955" s="16">
        <f>ROUNDUP((T2955+U2955+2*'Read Me'!$B$13)*(1+'Read Me'!$B$12),-1)</f>
        <v/>
      </c>
      <c r="W2955" s="16">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E-P-0064</t>
        </is>
      </c>
      <c r="B2956" s="12" t="inlineStr">
        <is>
          <t>E</t>
        </is>
      </c>
      <c r="C2956" s="12" t="inlineStr">
        <is>
          <t>Water / utilities</t>
        </is>
      </c>
      <c r="D2956" s="12" t="inlineStr">
        <is>
          <t>Heat-trace circuit 22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6" t="n">
        <v>180</v>
      </c>
      <c r="U2956" s="16" t="n">
        <v>20</v>
      </c>
      <c r="V2956" s="16">
        <f>ROUNDUP((T2956+U2956+2*'Read Me'!$B$13)*(1+'Read Me'!$B$12),-1)</f>
        <v/>
      </c>
      <c r="W2956" s="16">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E-P-0065</t>
        </is>
      </c>
      <c r="B2957" s="12" t="inlineStr">
        <is>
          <t>E</t>
        </is>
      </c>
      <c r="C2957" s="12" t="inlineStr">
        <is>
          <t>Water / utilities</t>
        </is>
      </c>
      <c r="D2957" s="12" t="inlineStr">
        <is>
          <t>Heat-trace circuit 23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6" t="n">
        <v>180</v>
      </c>
      <c r="U2957" s="16" t="n">
        <v>20</v>
      </c>
      <c r="V2957" s="16">
        <f>ROUNDUP((T2957+U2957+2*'Read Me'!$B$13)*(1+'Read Me'!$B$12),-1)</f>
        <v/>
      </c>
      <c r="W2957" s="16">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E-P-0066</t>
        </is>
      </c>
      <c r="B2958" s="12" t="inlineStr">
        <is>
          <t>E</t>
        </is>
      </c>
      <c r="C2958" s="12" t="inlineStr">
        <is>
          <t>Water / utilities</t>
        </is>
      </c>
      <c r="D2958" s="12" t="inlineStr">
        <is>
          <t>Heat-trace circuit 24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6" t="n">
        <v>180</v>
      </c>
      <c r="U2958" s="16" t="n">
        <v>20</v>
      </c>
      <c r="V2958" s="16">
        <f>ROUNDUP((T2958+U2958+2*'Read Me'!$B$13)*(1+'Read Me'!$B$12),-1)</f>
        <v/>
      </c>
      <c r="W2958" s="16">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E-P-0067</t>
        </is>
      </c>
      <c r="B2959" s="12" t="inlineStr">
        <is>
          <t>E</t>
        </is>
      </c>
      <c r="C2959" s="12" t="inlineStr">
        <is>
          <t>Water / utilities</t>
        </is>
      </c>
      <c r="D2959" s="12" t="inlineStr">
        <is>
          <t>Motor 1 of 2, 7 kW</t>
        </is>
      </c>
      <c r="E2959" s="12" t="inlineStr">
        <is>
          <t>MCC-C2</t>
        </is>
      </c>
      <c r="F2959" s="12" t="inlineStr">
        <is>
          <t>R1 MCC-C2</t>
        </is>
      </c>
      <c r="G2959" s="12" t="inlineStr"/>
      <c r="H2959" s="12" t="inlineStr">
        <is>
          <t>Oil-water separator</t>
        </is>
      </c>
      <c r="I2959" s="12" t="inlineStr">
        <is>
          <t>LV 600 V</t>
        </is>
      </c>
      <c r="J2959" s="12" t="inlineStr">
        <is>
          <t>Type TC-ER 600 V 3/C Cu XHHW-2 + ground, PVC jacket</t>
        </is>
      </c>
      <c r="K2959" s="12" t="inlineStr">
        <is>
          <t>LV|3/C+G|4</t>
        </is>
      </c>
      <c r="L2959" s="12" t="inlineStr">
        <is>
          <t>3/C+G</t>
        </is>
      </c>
      <c r="M2959" s="12" t="inlineStr">
        <is>
          <t>4</t>
        </is>
      </c>
      <c r="N2959" s="12" t="n">
        <v>1</v>
      </c>
      <c r="O2959" s="12" t="n">
        <v>1</v>
      </c>
      <c r="P2959" s="12" t="n">
        <v>480</v>
      </c>
      <c r="Q2959" s="12" t="n">
        <v>7</v>
      </c>
      <c r="R2959" s="12" t="n">
        <v>9.9</v>
      </c>
      <c r="S2959" s="12" t="inlineStr">
        <is>
          <t>Duct bank</t>
        </is>
      </c>
      <c r="T2959" s="16" t="n">
        <v>2002</v>
      </c>
      <c r="U2959" s="16" t="n">
        <v>347</v>
      </c>
      <c r="V2959" s="16">
        <f>ROUNDUP((T2959+U2959+2*'Read Me'!$B$13)*(1+'Read Me'!$B$12),-1)</f>
        <v/>
      </c>
      <c r="W2959" s="16">
        <f>V2959*N2959*O2959</f>
        <v/>
      </c>
      <c r="X2959" s="12">
        <f>IF(LEFT(I2959,2)="MV",2*N2959*IF(L2959="1/C",O2959,1),0)</f>
        <v/>
      </c>
      <c r="Y2959" s="12">
        <f>IF(OR(LEFT(K2959,4)="LVAX",LEFT(K2959,6)="MV15AX",LEFT(K2959,4)="CTAX",LEFT(K2959,2)="W|"),2*N2959*O2959,0)</f>
        <v/>
      </c>
      <c r="Z2959" s="12" t="inlineStr">
        <is>
          <t>VD 2.8 %</t>
        </is>
      </c>
      <c r="AA2959" s="12">
        <f>N2959*O2959</f>
        <v/>
      </c>
    </row>
    <row r="2960">
      <c r="A2960" s="12" t="inlineStr">
        <is>
          <t>E-P-0068</t>
        </is>
      </c>
      <c r="B2960" s="12" t="inlineStr">
        <is>
          <t>E</t>
        </is>
      </c>
      <c r="C2960" s="12" t="inlineStr">
        <is>
          <t>Water / utilities</t>
        </is>
      </c>
      <c r="D2960" s="12" t="inlineStr">
        <is>
          <t>Motor 2 of 2, 7 kW</t>
        </is>
      </c>
      <c r="E2960" s="12" t="inlineStr">
        <is>
          <t>MCC-C2</t>
        </is>
      </c>
      <c r="F2960" s="12" t="inlineStr">
        <is>
          <t>R1 MCC-C2</t>
        </is>
      </c>
      <c r="G2960" s="12" t="inlineStr"/>
      <c r="H2960" s="12" t="inlineStr">
        <is>
          <t>Oil-water separator</t>
        </is>
      </c>
      <c r="I2960" s="12" t="inlineStr">
        <is>
          <t>LV 600 V</t>
        </is>
      </c>
      <c r="J2960" s="12" t="inlineStr">
        <is>
          <t>Type TC-ER 600 V 3/C Cu XHHW-2 + ground, PVC jacket</t>
        </is>
      </c>
      <c r="K2960" s="12" t="inlineStr">
        <is>
          <t>LV|3/C+G|4</t>
        </is>
      </c>
      <c r="L2960" s="12" t="inlineStr">
        <is>
          <t>3/C+G</t>
        </is>
      </c>
      <c r="M2960" s="12" t="inlineStr">
        <is>
          <t>4</t>
        </is>
      </c>
      <c r="N2960" s="12" t="n">
        <v>1</v>
      </c>
      <c r="O2960" s="12" t="n">
        <v>1</v>
      </c>
      <c r="P2960" s="12" t="n">
        <v>480</v>
      </c>
      <c r="Q2960" s="12" t="n">
        <v>7</v>
      </c>
      <c r="R2960" s="12" t="n">
        <v>9.9</v>
      </c>
      <c r="S2960" s="12" t="inlineStr">
        <is>
          <t>Duct bank</t>
        </is>
      </c>
      <c r="T2960" s="16" t="n">
        <v>2002</v>
      </c>
      <c r="U2960" s="16" t="n">
        <v>347</v>
      </c>
      <c r="V2960" s="16">
        <f>ROUNDUP((T2960+U2960+2*'Read Me'!$B$13)*(1+'Read Me'!$B$12),-1)</f>
        <v/>
      </c>
      <c r="W2960" s="16">
        <f>V2960*N2960*O2960</f>
        <v/>
      </c>
      <c r="X2960" s="12">
        <f>IF(LEFT(I2960,2)="MV",2*N2960*IF(L2960="1/C",O2960,1),0)</f>
        <v/>
      </c>
      <c r="Y2960" s="12">
        <f>IF(OR(LEFT(K2960,4)="LVAX",LEFT(K2960,6)="MV15AX",LEFT(K2960,4)="CTAX",LEFT(K2960,2)="W|"),2*N2960*O2960,0)</f>
        <v/>
      </c>
      <c r="Z2960" s="12" t="inlineStr">
        <is>
          <t>VD 2.8 %</t>
        </is>
      </c>
      <c r="AA2960" s="12">
        <f>N2960*O2960</f>
        <v/>
      </c>
    </row>
    <row r="2961">
      <c r="A2961" s="12" t="inlineStr">
        <is>
          <t>E-P-0069</t>
        </is>
      </c>
      <c r="B2961" s="12" t="inlineStr">
        <is>
          <t>E</t>
        </is>
      </c>
      <c r="C2961" s="12" t="inlineStr">
        <is>
          <t>Water / utilities</t>
        </is>
      </c>
      <c r="D2961" s="12" t="inlineStr">
        <is>
          <t>LV power feeder</t>
        </is>
      </c>
      <c r="E2961" s="12" t="inlineStr">
        <is>
          <t>MCC-C2</t>
        </is>
      </c>
      <c r="F2961" s="12" t="inlineStr">
        <is>
          <t>R1 MCC-C2</t>
        </is>
      </c>
      <c r="G2961" s="12" t="inlineStr"/>
      <c r="H2961" s="12" t="inlineStr">
        <is>
          <t>Raw water tank</t>
        </is>
      </c>
      <c r="I2961" s="12" t="inlineStr">
        <is>
          <t>LV 600 V</t>
        </is>
      </c>
      <c r="J2961" s="12" t="inlineStr">
        <is>
          <t>Type TC-ER 600 V 3/C Cu XHHW-2 + ground, PVC jacket</t>
        </is>
      </c>
      <c r="K2961" s="12" t="inlineStr">
        <is>
          <t>LV|3/C+G|2</t>
        </is>
      </c>
      <c r="L2961" s="12" t="inlineStr">
        <is>
          <t>3/C+G</t>
        </is>
      </c>
      <c r="M2961" s="12" t="inlineStr">
        <is>
          <t>2</t>
        </is>
      </c>
      <c r="N2961" s="12" t="n">
        <v>1</v>
      </c>
      <c r="O2961" s="12" t="n">
        <v>1</v>
      </c>
      <c r="P2961" s="12" t="n">
        <v>480</v>
      </c>
      <c r="Q2961" s="12" t="n">
        <v>10</v>
      </c>
      <c r="R2961" s="12" t="n">
        <v>14.2</v>
      </c>
      <c r="S2961" s="12" t="inlineStr">
        <is>
          <t>Duct bank</t>
        </is>
      </c>
      <c r="T2961" s="16" t="n">
        <v>1754</v>
      </c>
      <c r="U2961" s="16" t="n">
        <v>145</v>
      </c>
      <c r="V2961" s="16">
        <f>ROUNDUP((T2961+U2961+2*'Read Me'!$B$13)*(1+'Read Me'!$B$12),-1)</f>
        <v/>
      </c>
      <c r="W2961" s="16">
        <f>V2961*N2961*O2961</f>
        <v/>
      </c>
      <c r="X2961" s="12">
        <f>IF(LEFT(I2961,2)="MV",2*N2961*IF(L2961="1/C",O2961,1),0)</f>
        <v/>
      </c>
      <c r="Y2961" s="12">
        <f>IF(OR(LEFT(K2961,4)="LVAX",LEFT(K2961,6)="MV15AX",LEFT(K2961,4)="CTAX",LEFT(K2961,2)="W|"),2*N2961*O2961,0)</f>
        <v/>
      </c>
      <c r="Z2961" s="12" t="inlineStr">
        <is>
          <t>VD 2.1 %</t>
        </is>
      </c>
      <c r="AA2961" s="12">
        <f>N2961*O2961</f>
        <v/>
      </c>
    </row>
    <row r="2962">
      <c r="A2962" s="12" t="inlineStr">
        <is>
          <t>E-P-0070</t>
        </is>
      </c>
      <c r="B2962" s="12" t="inlineStr">
        <is>
          <t>E</t>
        </is>
      </c>
      <c r="C2962" s="12" t="inlineStr">
        <is>
          <t>Water / utilities</t>
        </is>
      </c>
      <c r="D2962" s="12" t="inlineStr">
        <is>
          <t>Motor 1 of 8, 15 kW</t>
        </is>
      </c>
      <c r="E2962" s="12" t="inlineStr">
        <is>
          <t>MCC-C2</t>
        </is>
      </c>
      <c r="F2962" s="12" t="inlineStr">
        <is>
          <t>R1 MCC-C2</t>
        </is>
      </c>
      <c r="G2962" s="12" t="inlineStr"/>
      <c r="H2962" s="12" t="inlineStr">
        <is>
          <t>Wastewater treatment</t>
        </is>
      </c>
      <c r="I2962" s="12" t="inlineStr">
        <is>
          <t>LV 600 V</t>
        </is>
      </c>
      <c r="J2962" s="12" t="inlineStr">
        <is>
          <t>Type TC-ER 600 V 3/C Cu XHHW-2 + ground, PVC jacket</t>
        </is>
      </c>
      <c r="K2962" s="12" t="inlineStr">
        <is>
          <t>LV|3/C+G|1</t>
        </is>
      </c>
      <c r="L2962" s="12" t="inlineStr">
        <is>
          <t>3/C+G</t>
        </is>
      </c>
      <c r="M2962" s="12" t="inlineStr">
        <is>
          <t>1</t>
        </is>
      </c>
      <c r="N2962" s="12" t="n">
        <v>1</v>
      </c>
      <c r="O2962" s="12" t="n">
        <v>1</v>
      </c>
      <c r="P2962" s="12" t="n">
        <v>480</v>
      </c>
      <c r="Q2962" s="12" t="n">
        <v>15</v>
      </c>
      <c r="R2962" s="12" t="n">
        <v>21.2</v>
      </c>
      <c r="S2962" s="12" t="inlineStr">
        <is>
          <t>Duct bank</t>
        </is>
      </c>
      <c r="T2962" s="16" t="n">
        <v>1859</v>
      </c>
      <c r="U2962" s="16" t="n">
        <v>212</v>
      </c>
      <c r="V2962" s="16">
        <f>ROUNDUP((T2962+U2962+2*'Read Me'!$B$13)*(1+'Read Me'!$B$12),-1)</f>
        <v/>
      </c>
      <c r="W2962" s="16">
        <f>V2962*N2962*O2962</f>
        <v/>
      </c>
      <c r="X2962" s="12">
        <f>IF(LEFT(I2962,2)="MV",2*N2962*IF(L2962="1/C",O2962,1),0)</f>
        <v/>
      </c>
      <c r="Y2962" s="12">
        <f>IF(OR(LEFT(K2962,4)="LVAX",LEFT(K2962,6)="MV15AX",LEFT(K2962,4)="CTAX",LEFT(K2962,2)="W|"),2*N2962*O2962,0)</f>
        <v/>
      </c>
      <c r="Z2962" s="12" t="inlineStr">
        <is>
          <t>VD 2.7 %</t>
        </is>
      </c>
      <c r="AA2962" s="12">
        <f>N2962*O2962</f>
        <v/>
      </c>
    </row>
    <row r="2963">
      <c r="A2963" s="12" t="inlineStr">
        <is>
          <t>E-P-0071</t>
        </is>
      </c>
      <c r="B2963" s="12" t="inlineStr">
        <is>
          <t>E</t>
        </is>
      </c>
      <c r="C2963" s="12" t="inlineStr">
        <is>
          <t>Water / utilities</t>
        </is>
      </c>
      <c r="D2963" s="12" t="inlineStr">
        <is>
          <t>Motor 2 of 8, 15 kW</t>
        </is>
      </c>
      <c r="E2963" s="12" t="inlineStr">
        <is>
          <t>MCC-C2</t>
        </is>
      </c>
      <c r="F2963" s="12" t="inlineStr">
        <is>
          <t>R1 MCC-C2</t>
        </is>
      </c>
      <c r="G2963" s="12" t="inlineStr"/>
      <c r="H2963" s="12" t="inlineStr">
        <is>
          <t>Wastewater treatment</t>
        </is>
      </c>
      <c r="I2963" s="12" t="inlineStr">
        <is>
          <t>LV 600 V</t>
        </is>
      </c>
      <c r="J2963" s="12" t="inlineStr">
        <is>
          <t>Type TC-ER 600 V 3/C Cu XHHW-2 + ground, PVC jacket</t>
        </is>
      </c>
      <c r="K2963" s="12" t="inlineStr">
        <is>
          <t>LV|3/C+G|1</t>
        </is>
      </c>
      <c r="L2963" s="12" t="inlineStr">
        <is>
          <t>3/C+G</t>
        </is>
      </c>
      <c r="M2963" s="12" t="inlineStr">
        <is>
          <t>1</t>
        </is>
      </c>
      <c r="N2963" s="12" t="n">
        <v>1</v>
      </c>
      <c r="O2963" s="12" t="n">
        <v>1</v>
      </c>
      <c r="P2963" s="12" t="n">
        <v>480</v>
      </c>
      <c r="Q2963" s="12" t="n">
        <v>15</v>
      </c>
      <c r="R2963" s="12" t="n">
        <v>21.2</v>
      </c>
      <c r="S2963" s="12" t="inlineStr">
        <is>
          <t>Duct bank</t>
        </is>
      </c>
      <c r="T2963" s="16" t="n">
        <v>1859</v>
      </c>
      <c r="U2963" s="16" t="n">
        <v>212</v>
      </c>
      <c r="V2963" s="16">
        <f>ROUNDUP((T2963+U2963+2*'Read Me'!$B$13)*(1+'Read Me'!$B$12),-1)</f>
        <v/>
      </c>
      <c r="W2963" s="16">
        <f>V2963*N2963*O2963</f>
        <v/>
      </c>
      <c r="X2963" s="12">
        <f>IF(LEFT(I2963,2)="MV",2*N2963*IF(L2963="1/C",O2963,1),0)</f>
        <v/>
      </c>
      <c r="Y2963" s="12">
        <f>IF(OR(LEFT(K2963,4)="LVAX",LEFT(K2963,6)="MV15AX",LEFT(K2963,4)="CTAX",LEFT(K2963,2)="W|"),2*N2963*O2963,0)</f>
        <v/>
      </c>
      <c r="Z2963" s="12" t="inlineStr">
        <is>
          <t>VD 2.7 %</t>
        </is>
      </c>
      <c r="AA2963" s="12">
        <f>N2963*O2963</f>
        <v/>
      </c>
    </row>
    <row r="2964">
      <c r="A2964" s="12" t="inlineStr">
        <is>
          <t>E-P-0072</t>
        </is>
      </c>
      <c r="B2964" s="12" t="inlineStr">
        <is>
          <t>E</t>
        </is>
      </c>
      <c r="C2964" s="12" t="inlineStr">
        <is>
          <t>Water / utilities</t>
        </is>
      </c>
      <c r="D2964" s="12" t="inlineStr">
        <is>
          <t>Motor 3 of 8, 15 kW</t>
        </is>
      </c>
      <c r="E2964" s="12" t="inlineStr">
        <is>
          <t>MCC-C2</t>
        </is>
      </c>
      <c r="F2964" s="12" t="inlineStr">
        <is>
          <t>R1 MCC-C2</t>
        </is>
      </c>
      <c r="G2964" s="12" t="inlineStr"/>
      <c r="H2964" s="12" t="inlineStr">
        <is>
          <t>Wastewater treatment</t>
        </is>
      </c>
      <c r="I2964" s="12" t="inlineStr">
        <is>
          <t>LV 600 V</t>
        </is>
      </c>
      <c r="J2964" s="12" t="inlineStr">
        <is>
          <t>Type TC-ER 600 V 3/C Cu XHHW-2 + ground, PVC jacket</t>
        </is>
      </c>
      <c r="K2964" s="12" t="inlineStr">
        <is>
          <t>LV|3/C+G|1</t>
        </is>
      </c>
      <c r="L2964" s="12" t="inlineStr">
        <is>
          <t>3/C+G</t>
        </is>
      </c>
      <c r="M2964" s="12" t="inlineStr">
        <is>
          <t>1</t>
        </is>
      </c>
      <c r="N2964" s="12" t="n">
        <v>1</v>
      </c>
      <c r="O2964" s="12" t="n">
        <v>1</v>
      </c>
      <c r="P2964" s="12" t="n">
        <v>480</v>
      </c>
      <c r="Q2964" s="12" t="n">
        <v>15</v>
      </c>
      <c r="R2964" s="12" t="n">
        <v>21.2</v>
      </c>
      <c r="S2964" s="12" t="inlineStr">
        <is>
          <t>Duct bank</t>
        </is>
      </c>
      <c r="T2964" s="16" t="n">
        <v>1859</v>
      </c>
      <c r="U2964" s="16" t="n">
        <v>212</v>
      </c>
      <c r="V2964" s="16">
        <f>ROUNDUP((T2964+U2964+2*'Read Me'!$B$13)*(1+'Read Me'!$B$12),-1)</f>
        <v/>
      </c>
      <c r="W2964" s="16">
        <f>V2964*N2964*O2964</f>
        <v/>
      </c>
      <c r="X2964" s="12">
        <f>IF(LEFT(I2964,2)="MV",2*N2964*IF(L2964="1/C",O2964,1),0)</f>
        <v/>
      </c>
      <c r="Y2964" s="12">
        <f>IF(OR(LEFT(K2964,4)="LVAX",LEFT(K2964,6)="MV15AX",LEFT(K2964,4)="CTAX",LEFT(K2964,2)="W|"),2*N2964*O2964,0)</f>
        <v/>
      </c>
      <c r="Z2964" s="12" t="inlineStr">
        <is>
          <t>VD 2.7 %</t>
        </is>
      </c>
      <c r="AA2964" s="12">
        <f>N2964*O2964</f>
        <v/>
      </c>
    </row>
    <row r="2965">
      <c r="A2965" s="12" t="inlineStr">
        <is>
          <t>E-P-0073</t>
        </is>
      </c>
      <c r="B2965" s="12" t="inlineStr">
        <is>
          <t>E</t>
        </is>
      </c>
      <c r="C2965" s="12" t="inlineStr">
        <is>
          <t>Water / utilities</t>
        </is>
      </c>
      <c r="D2965" s="12" t="inlineStr">
        <is>
          <t>Motor 4 of 8, 15 kW</t>
        </is>
      </c>
      <c r="E2965" s="12" t="inlineStr">
        <is>
          <t>MCC-C2</t>
        </is>
      </c>
      <c r="F2965" s="12" t="inlineStr">
        <is>
          <t>R1 MCC-C2</t>
        </is>
      </c>
      <c r="G2965" s="12" t="inlineStr"/>
      <c r="H2965" s="12" t="inlineStr">
        <is>
          <t>Wastewater treatment</t>
        </is>
      </c>
      <c r="I2965" s="12" t="inlineStr">
        <is>
          <t>LV 600 V</t>
        </is>
      </c>
      <c r="J2965" s="12" t="inlineStr">
        <is>
          <t>Type TC-ER 600 V 3/C Cu XHHW-2 + ground, PVC jacket</t>
        </is>
      </c>
      <c r="K2965" s="12" t="inlineStr">
        <is>
          <t>LV|3/C+G|1</t>
        </is>
      </c>
      <c r="L2965" s="12" t="inlineStr">
        <is>
          <t>3/C+G</t>
        </is>
      </c>
      <c r="M2965" s="12" t="inlineStr">
        <is>
          <t>1</t>
        </is>
      </c>
      <c r="N2965" s="12" t="n">
        <v>1</v>
      </c>
      <c r="O2965" s="12" t="n">
        <v>1</v>
      </c>
      <c r="P2965" s="12" t="n">
        <v>480</v>
      </c>
      <c r="Q2965" s="12" t="n">
        <v>15</v>
      </c>
      <c r="R2965" s="12" t="n">
        <v>21.2</v>
      </c>
      <c r="S2965" s="12" t="inlineStr">
        <is>
          <t>Duct bank</t>
        </is>
      </c>
      <c r="T2965" s="16" t="n">
        <v>1859</v>
      </c>
      <c r="U2965" s="16" t="n">
        <v>212</v>
      </c>
      <c r="V2965" s="16">
        <f>ROUNDUP((T2965+U2965+2*'Read Me'!$B$13)*(1+'Read Me'!$B$12),-1)</f>
        <v/>
      </c>
      <c r="W2965" s="16">
        <f>V2965*N2965*O2965</f>
        <v/>
      </c>
      <c r="X2965" s="12">
        <f>IF(LEFT(I2965,2)="MV",2*N2965*IF(L2965="1/C",O2965,1),0)</f>
        <v/>
      </c>
      <c r="Y2965" s="12">
        <f>IF(OR(LEFT(K2965,4)="LVAX",LEFT(K2965,6)="MV15AX",LEFT(K2965,4)="CTAX",LEFT(K2965,2)="W|"),2*N2965*O2965,0)</f>
        <v/>
      </c>
      <c r="Z2965" s="12" t="inlineStr">
        <is>
          <t>VD 2.7 %</t>
        </is>
      </c>
      <c r="AA2965" s="12">
        <f>N2965*O2965</f>
        <v/>
      </c>
    </row>
    <row r="2966">
      <c r="A2966" s="12" t="inlineStr">
        <is>
          <t>E-P-0074</t>
        </is>
      </c>
      <c r="B2966" s="12" t="inlineStr">
        <is>
          <t>E</t>
        </is>
      </c>
      <c r="C2966" s="12" t="inlineStr">
        <is>
          <t>Water / utilities</t>
        </is>
      </c>
      <c r="D2966" s="12" t="inlineStr">
        <is>
          <t>Motor 5 of 8, 15 kW</t>
        </is>
      </c>
      <c r="E2966" s="12" t="inlineStr">
        <is>
          <t>MCC-C2</t>
        </is>
      </c>
      <c r="F2966" s="12" t="inlineStr">
        <is>
          <t>R1 MCC-C2</t>
        </is>
      </c>
      <c r="G2966" s="12" t="inlineStr"/>
      <c r="H2966" s="12" t="inlineStr">
        <is>
          <t>Wastewater treatment</t>
        </is>
      </c>
      <c r="I2966" s="12" t="inlineStr">
        <is>
          <t>LV 600 V</t>
        </is>
      </c>
      <c r="J2966" s="12" t="inlineStr">
        <is>
          <t>Type TC-ER 600 V 3/C Cu XHHW-2 + ground, PVC jacket</t>
        </is>
      </c>
      <c r="K2966" s="12" t="inlineStr">
        <is>
          <t>LV|3/C+G|1</t>
        </is>
      </c>
      <c r="L2966" s="12" t="inlineStr">
        <is>
          <t>3/C+G</t>
        </is>
      </c>
      <c r="M2966" s="12" t="inlineStr">
        <is>
          <t>1</t>
        </is>
      </c>
      <c r="N2966" s="12" t="n">
        <v>1</v>
      </c>
      <c r="O2966" s="12" t="n">
        <v>1</v>
      </c>
      <c r="P2966" s="12" t="n">
        <v>480</v>
      </c>
      <c r="Q2966" s="12" t="n">
        <v>15</v>
      </c>
      <c r="R2966" s="12" t="n">
        <v>21.2</v>
      </c>
      <c r="S2966" s="12" t="inlineStr">
        <is>
          <t>Duct bank</t>
        </is>
      </c>
      <c r="T2966" s="16" t="n">
        <v>1859</v>
      </c>
      <c r="U2966" s="16" t="n">
        <v>212</v>
      </c>
      <c r="V2966" s="16">
        <f>ROUNDUP((T2966+U2966+2*'Read Me'!$B$13)*(1+'Read Me'!$B$12),-1)</f>
        <v/>
      </c>
      <c r="W2966" s="16">
        <f>V2966*N2966*O2966</f>
        <v/>
      </c>
      <c r="X2966" s="12">
        <f>IF(LEFT(I2966,2)="MV",2*N2966*IF(L2966="1/C",O2966,1),0)</f>
        <v/>
      </c>
      <c r="Y2966" s="12">
        <f>IF(OR(LEFT(K2966,4)="LVAX",LEFT(K2966,6)="MV15AX",LEFT(K2966,4)="CTAX",LEFT(K2966,2)="W|"),2*N2966*O2966,0)</f>
        <v/>
      </c>
      <c r="Z2966" s="12" t="inlineStr">
        <is>
          <t>VD 2.7 %</t>
        </is>
      </c>
      <c r="AA2966" s="12">
        <f>N2966*O2966</f>
        <v/>
      </c>
    </row>
    <row r="2967">
      <c r="A2967" s="12" t="inlineStr">
        <is>
          <t>E-P-0075</t>
        </is>
      </c>
      <c r="B2967" s="12" t="inlineStr">
        <is>
          <t>E</t>
        </is>
      </c>
      <c r="C2967" s="12" t="inlineStr">
        <is>
          <t>Water / utilities</t>
        </is>
      </c>
      <c r="D2967" s="12" t="inlineStr">
        <is>
          <t>Motor 6 of 8, 15 kW</t>
        </is>
      </c>
      <c r="E2967" s="12" t="inlineStr">
        <is>
          <t>MCC-C2</t>
        </is>
      </c>
      <c r="F2967" s="12" t="inlineStr">
        <is>
          <t>R1 MCC-C2</t>
        </is>
      </c>
      <c r="G2967" s="12" t="inlineStr"/>
      <c r="H2967" s="12" t="inlineStr">
        <is>
          <t>Wastewater treatment</t>
        </is>
      </c>
      <c r="I2967" s="12" t="inlineStr">
        <is>
          <t>LV 600 V</t>
        </is>
      </c>
      <c r="J2967" s="12" t="inlineStr">
        <is>
          <t>Type TC-ER 600 V 3/C Cu XHHW-2 + ground, PVC jacket</t>
        </is>
      </c>
      <c r="K2967" s="12" t="inlineStr">
        <is>
          <t>LV|3/C+G|1</t>
        </is>
      </c>
      <c r="L2967" s="12" t="inlineStr">
        <is>
          <t>3/C+G</t>
        </is>
      </c>
      <c r="M2967" s="12" t="inlineStr">
        <is>
          <t>1</t>
        </is>
      </c>
      <c r="N2967" s="12" t="n">
        <v>1</v>
      </c>
      <c r="O2967" s="12" t="n">
        <v>1</v>
      </c>
      <c r="P2967" s="12" t="n">
        <v>480</v>
      </c>
      <c r="Q2967" s="12" t="n">
        <v>15</v>
      </c>
      <c r="R2967" s="12" t="n">
        <v>21.2</v>
      </c>
      <c r="S2967" s="12" t="inlineStr">
        <is>
          <t>Duct bank</t>
        </is>
      </c>
      <c r="T2967" s="16" t="n">
        <v>1859</v>
      </c>
      <c r="U2967" s="16" t="n">
        <v>212</v>
      </c>
      <c r="V2967" s="16">
        <f>ROUNDUP((T2967+U2967+2*'Read Me'!$B$13)*(1+'Read Me'!$B$12),-1)</f>
        <v/>
      </c>
      <c r="W2967" s="16">
        <f>V2967*N2967*O2967</f>
        <v/>
      </c>
      <c r="X2967" s="12">
        <f>IF(LEFT(I2967,2)="MV",2*N2967*IF(L2967="1/C",O2967,1),0)</f>
        <v/>
      </c>
      <c r="Y2967" s="12">
        <f>IF(OR(LEFT(K2967,4)="LVAX",LEFT(K2967,6)="MV15AX",LEFT(K2967,4)="CTAX",LEFT(K2967,2)="W|"),2*N2967*O2967,0)</f>
        <v/>
      </c>
      <c r="Z2967" s="12" t="inlineStr">
        <is>
          <t>VD 2.7 %</t>
        </is>
      </c>
      <c r="AA2967" s="12">
        <f>N2967*O2967</f>
        <v/>
      </c>
    </row>
    <row r="2968">
      <c r="A2968" s="12" t="inlineStr">
        <is>
          <t>E-P-0076</t>
        </is>
      </c>
      <c r="B2968" s="12" t="inlineStr">
        <is>
          <t>E</t>
        </is>
      </c>
      <c r="C2968" s="12" t="inlineStr">
        <is>
          <t>Water / utilities</t>
        </is>
      </c>
      <c r="D2968" s="12" t="inlineStr">
        <is>
          <t>Motor 7 of 8, 15 kW</t>
        </is>
      </c>
      <c r="E2968" s="12" t="inlineStr">
        <is>
          <t>MCC-C2</t>
        </is>
      </c>
      <c r="F2968" s="12" t="inlineStr">
        <is>
          <t>R1 MCC-C2</t>
        </is>
      </c>
      <c r="G2968" s="12" t="inlineStr"/>
      <c r="H2968" s="12" t="inlineStr">
        <is>
          <t>Wastewater treatment</t>
        </is>
      </c>
      <c r="I2968" s="12" t="inlineStr">
        <is>
          <t>LV 600 V</t>
        </is>
      </c>
      <c r="J2968" s="12" t="inlineStr">
        <is>
          <t>Type TC-ER 600 V 3/C Cu XHHW-2 + ground, PVC jacket</t>
        </is>
      </c>
      <c r="K2968" s="12" t="inlineStr">
        <is>
          <t>LV|3/C+G|1</t>
        </is>
      </c>
      <c r="L2968" s="12" t="inlineStr">
        <is>
          <t>3/C+G</t>
        </is>
      </c>
      <c r="M2968" s="12" t="inlineStr">
        <is>
          <t>1</t>
        </is>
      </c>
      <c r="N2968" s="12" t="n">
        <v>1</v>
      </c>
      <c r="O2968" s="12" t="n">
        <v>1</v>
      </c>
      <c r="P2968" s="12" t="n">
        <v>480</v>
      </c>
      <c r="Q2968" s="12" t="n">
        <v>15</v>
      </c>
      <c r="R2968" s="12" t="n">
        <v>21.2</v>
      </c>
      <c r="S2968" s="12" t="inlineStr">
        <is>
          <t>Duct bank</t>
        </is>
      </c>
      <c r="T2968" s="16" t="n">
        <v>1859</v>
      </c>
      <c r="U2968" s="16" t="n">
        <v>212</v>
      </c>
      <c r="V2968" s="16">
        <f>ROUNDUP((T2968+U2968+2*'Read Me'!$B$13)*(1+'Read Me'!$B$12),-1)</f>
        <v/>
      </c>
      <c r="W2968" s="16">
        <f>V2968*N2968*O2968</f>
        <v/>
      </c>
      <c r="X2968" s="12">
        <f>IF(LEFT(I2968,2)="MV",2*N2968*IF(L2968="1/C",O2968,1),0)</f>
        <v/>
      </c>
      <c r="Y2968" s="12">
        <f>IF(OR(LEFT(K2968,4)="LVAX",LEFT(K2968,6)="MV15AX",LEFT(K2968,4)="CTAX",LEFT(K2968,2)="W|"),2*N2968*O2968,0)</f>
        <v/>
      </c>
      <c r="Z2968" s="12" t="inlineStr">
        <is>
          <t>VD 2.7 %</t>
        </is>
      </c>
      <c r="AA2968" s="12">
        <f>N2968*O2968</f>
        <v/>
      </c>
    </row>
    <row r="2969">
      <c r="A2969" s="12" t="inlineStr">
        <is>
          <t>E-P-0077</t>
        </is>
      </c>
      <c r="B2969" s="12" t="inlineStr">
        <is>
          <t>E</t>
        </is>
      </c>
      <c r="C2969" s="12" t="inlineStr">
        <is>
          <t>Water / utilities</t>
        </is>
      </c>
      <c r="D2969" s="12" t="inlineStr">
        <is>
          <t>Motor 8 of 8, 15 kW</t>
        </is>
      </c>
      <c r="E2969" s="12" t="inlineStr">
        <is>
          <t>MCC-C2</t>
        </is>
      </c>
      <c r="F2969" s="12" t="inlineStr">
        <is>
          <t>R1 MCC-C2</t>
        </is>
      </c>
      <c r="G2969" s="12" t="inlineStr"/>
      <c r="H2969" s="12" t="inlineStr">
        <is>
          <t>Wastewater treatment</t>
        </is>
      </c>
      <c r="I2969" s="12" t="inlineStr">
        <is>
          <t>LV 600 V</t>
        </is>
      </c>
      <c r="J2969" s="12" t="inlineStr">
        <is>
          <t>Type TC-ER 600 V 3/C Cu XHHW-2 + ground, PVC jacket</t>
        </is>
      </c>
      <c r="K2969" s="12" t="inlineStr">
        <is>
          <t>LV|3/C+G|1</t>
        </is>
      </c>
      <c r="L2969" s="12" t="inlineStr">
        <is>
          <t>3/C+G</t>
        </is>
      </c>
      <c r="M2969" s="12" t="inlineStr">
        <is>
          <t>1</t>
        </is>
      </c>
      <c r="N2969" s="12" t="n">
        <v>1</v>
      </c>
      <c r="O2969" s="12" t="n">
        <v>1</v>
      </c>
      <c r="P2969" s="12" t="n">
        <v>480</v>
      </c>
      <c r="Q2969" s="12" t="n">
        <v>15</v>
      </c>
      <c r="R2969" s="12" t="n">
        <v>21.2</v>
      </c>
      <c r="S2969" s="12" t="inlineStr">
        <is>
          <t>Duct bank</t>
        </is>
      </c>
      <c r="T2969" s="16" t="n">
        <v>1859</v>
      </c>
      <c r="U2969" s="16" t="n">
        <v>212</v>
      </c>
      <c r="V2969" s="16">
        <f>ROUNDUP((T2969+U2969+2*'Read Me'!$B$13)*(1+'Read Me'!$B$12),-1)</f>
        <v/>
      </c>
      <c r="W2969" s="16">
        <f>V2969*N2969*O2969</f>
        <v/>
      </c>
      <c r="X2969" s="12">
        <f>IF(LEFT(I2969,2)="MV",2*N2969*IF(L2969="1/C",O2969,1),0)</f>
        <v/>
      </c>
      <c r="Y2969" s="12">
        <f>IF(OR(LEFT(K2969,4)="LVAX",LEFT(K2969,6)="MV15AX",LEFT(K2969,4)="CTAX",LEFT(K2969,2)="W|"),2*N2969*O2969,0)</f>
        <v/>
      </c>
      <c r="Z2969" s="12" t="inlineStr">
        <is>
          <t>VD 2.7 %</t>
        </is>
      </c>
      <c r="AA2969" s="12">
        <f>N2969*O2969</f>
        <v/>
      </c>
    </row>
    <row r="2970">
      <c r="A2970" s="12" t="inlineStr">
        <is>
          <t>E-P-0078</t>
        </is>
      </c>
      <c r="B2970" s="12" t="inlineStr">
        <is>
          <t>E</t>
        </is>
      </c>
      <c r="C2970" s="12" t="inlineStr">
        <is>
          <t>Water / utilities</t>
        </is>
      </c>
      <c r="D2970" s="12" t="inlineStr">
        <is>
          <t>Motor 1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E-P-0079</t>
        </is>
      </c>
      <c r="B2971" s="12" t="inlineStr">
        <is>
          <t>E</t>
        </is>
      </c>
      <c r="C2971" s="12" t="inlineStr">
        <is>
          <t>Water / utilities</t>
        </is>
      </c>
      <c r="D2971" s="12" t="inlineStr">
        <is>
          <t>Motor 2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E-P-0080</t>
        </is>
      </c>
      <c r="B2972" s="12" t="inlineStr">
        <is>
          <t>E</t>
        </is>
      </c>
      <c r="C2972" s="12" t="inlineStr">
        <is>
          <t>Water / utilities</t>
        </is>
      </c>
      <c r="D2972" s="12" t="inlineStr">
        <is>
          <t>Motor 3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E-P-0081</t>
        </is>
      </c>
      <c r="B2973" s="12" t="inlineStr">
        <is>
          <t>E</t>
        </is>
      </c>
      <c r="C2973" s="12" t="inlineStr">
        <is>
          <t>Water / utilities</t>
        </is>
      </c>
      <c r="D2973" s="12" t="inlineStr">
        <is>
          <t>Motor 4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E-P-0082</t>
        </is>
      </c>
      <c r="B2974" s="12" t="inlineStr">
        <is>
          <t>E</t>
        </is>
      </c>
      <c r="C2974" s="12" t="inlineStr">
        <is>
          <t>Water / utilities</t>
        </is>
      </c>
      <c r="D2974" s="12" t="inlineStr">
        <is>
          <t>Motor 5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E-P-0083</t>
        </is>
      </c>
      <c r="B2975" s="12" t="inlineStr">
        <is>
          <t>E</t>
        </is>
      </c>
      <c r="C2975" s="12" t="inlineStr">
        <is>
          <t>Water / utilities</t>
        </is>
      </c>
      <c r="D2975" s="12" t="inlineStr">
        <is>
          <t>Motor 6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E-P-0084</t>
        </is>
      </c>
      <c r="B2976" s="12" t="inlineStr">
        <is>
          <t>E</t>
        </is>
      </c>
      <c r="C2976" s="12" t="inlineStr">
        <is>
          <t>Water / utilities</t>
        </is>
      </c>
      <c r="D2976" s="12" t="inlineStr">
        <is>
          <t>Motor 7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E-P-0085</t>
        </is>
      </c>
      <c r="B2977" s="12" t="inlineStr">
        <is>
          <t>E</t>
        </is>
      </c>
      <c r="C2977" s="12" t="inlineStr">
        <is>
          <t>Water / utilities</t>
        </is>
      </c>
      <c r="D2977" s="12" t="inlineStr">
        <is>
          <t>Motor 8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E-P-0086</t>
        </is>
      </c>
      <c r="B2978" s="12" t="inlineStr">
        <is>
          <t>E</t>
        </is>
      </c>
      <c r="C2978" s="12" t="inlineStr">
        <is>
          <t>Water / utilities</t>
        </is>
      </c>
      <c r="D2978" s="12" t="inlineStr">
        <is>
          <t>Motor 9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E-P-0087</t>
        </is>
      </c>
      <c r="B2979" s="12" t="inlineStr">
        <is>
          <t>E</t>
        </is>
      </c>
      <c r="C2979" s="12" t="inlineStr">
        <is>
          <t>Water / utilities</t>
        </is>
      </c>
      <c r="D2979" s="12" t="inlineStr">
        <is>
          <t>Motor 10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E-P-0088</t>
        </is>
      </c>
      <c r="B2980" s="12" t="inlineStr">
        <is>
          <t>E</t>
        </is>
      </c>
      <c r="C2980" s="12" t="inlineStr">
        <is>
          <t>Water / utilities</t>
        </is>
      </c>
      <c r="D2980" s="12" t="inlineStr">
        <is>
          <t>Motor 11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E-P-0089</t>
        </is>
      </c>
      <c r="B2981" s="12" t="inlineStr">
        <is>
          <t>E</t>
        </is>
      </c>
      <c r="C2981" s="12" t="inlineStr">
        <is>
          <t>Water / utilities</t>
        </is>
      </c>
      <c r="D2981" s="12" t="inlineStr">
        <is>
          <t>Motor 12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E-P-0090</t>
        </is>
      </c>
      <c r="B2982" s="12" t="inlineStr">
        <is>
          <t>E</t>
        </is>
      </c>
      <c r="C2982" s="12" t="inlineStr">
        <is>
          <t>Water / utilities</t>
        </is>
      </c>
      <c r="D2982" s="12" t="inlineStr">
        <is>
          <t>Motor 13 of 20, 15 kW</t>
        </is>
      </c>
      <c r="E2982" s="12" t="inlineStr">
        <is>
          <t>MCC-C2</t>
        </is>
      </c>
      <c r="F2982" s="12" t="inlineStr">
        <is>
          <t>R1 MCC-C2</t>
        </is>
      </c>
      <c r="G2982" s="12" t="inlineStr">
        <is>
          <t>R-WT</t>
        </is>
      </c>
      <c r="H2982" s="12" t="inlineStr">
        <is>
          <t>Water treatment building (incl. R-WT electrical room)</t>
        </is>
      </c>
      <c r="I2982" s="12" t="inlineStr">
        <is>
          <t>LV 600 V</t>
        </is>
      </c>
      <c r="J2982" s="12" t="inlineStr">
        <is>
          <t>Type TC-ER 600 V 3/C Cu XHHW-2 + ground, PVC jacket</t>
        </is>
      </c>
      <c r="K2982" s="12" t="inlineStr">
        <is>
          <t>LV|3/C+G|2</t>
        </is>
      </c>
      <c r="L2982" s="12" t="inlineStr">
        <is>
          <t>3/C+G</t>
        </is>
      </c>
      <c r="M2982" s="12" t="inlineStr">
        <is>
          <t>2</t>
        </is>
      </c>
      <c r="N2982" s="12" t="n">
        <v>1</v>
      </c>
      <c r="O2982" s="12" t="n">
        <v>1</v>
      </c>
      <c r="P2982" s="12" t="n">
        <v>480</v>
      </c>
      <c r="Q2982" s="12" t="n">
        <v>15</v>
      </c>
      <c r="R2982" s="12" t="n">
        <v>21.2</v>
      </c>
      <c r="S2982" s="12" t="inlineStr">
        <is>
          <t>Duct bank</t>
        </is>
      </c>
      <c r="T2982" s="16" t="n">
        <v>1629</v>
      </c>
      <c r="U2982" s="16" t="n">
        <v>145</v>
      </c>
      <c r="V2982" s="16">
        <f>ROUNDUP((T2982+U2982+2*'Read Me'!$B$13)*(1+'Read Me'!$B$12),-1)</f>
        <v/>
      </c>
      <c r="W2982" s="16">
        <f>V2982*N2982*O2982</f>
        <v/>
      </c>
      <c r="X2982" s="12">
        <f>IF(LEFT(I2982,2)="MV",2*N2982*IF(L2982="1/C",O2982,1),0)</f>
        <v/>
      </c>
      <c r="Y2982" s="12">
        <f>IF(OR(LEFT(K2982,4)="LVAX",LEFT(K2982,6)="MV15AX",LEFT(K2982,4)="CTAX",LEFT(K2982,2)="W|"),2*N2982*O2982,0)</f>
        <v/>
      </c>
      <c r="Z2982" s="12" t="inlineStr">
        <is>
          <t>VD 2.9 %</t>
        </is>
      </c>
      <c r="AA2982" s="12">
        <f>N2982*O2982</f>
        <v/>
      </c>
    </row>
    <row r="2983">
      <c r="A2983" s="12" t="inlineStr">
        <is>
          <t>E-P-0091</t>
        </is>
      </c>
      <c r="B2983" s="12" t="inlineStr">
        <is>
          <t>E</t>
        </is>
      </c>
      <c r="C2983" s="12" t="inlineStr">
        <is>
          <t>Water / utilities</t>
        </is>
      </c>
      <c r="D2983" s="12" t="inlineStr">
        <is>
          <t>Motor 14 of 20, 15 kW</t>
        </is>
      </c>
      <c r="E2983" s="12" t="inlineStr">
        <is>
          <t>MCC-C2</t>
        </is>
      </c>
      <c r="F2983" s="12" t="inlineStr">
        <is>
          <t>R1 MCC-C2</t>
        </is>
      </c>
      <c r="G2983" s="12" t="inlineStr">
        <is>
          <t>R-WT</t>
        </is>
      </c>
      <c r="H2983" s="12" t="inlineStr">
        <is>
          <t>Water treatment building (incl. R-WT electrical room)</t>
        </is>
      </c>
      <c r="I2983" s="12" t="inlineStr">
        <is>
          <t>LV 600 V</t>
        </is>
      </c>
      <c r="J2983" s="12" t="inlineStr">
        <is>
          <t>Type TC-ER 600 V 3/C Cu XHHW-2 + ground, PVC jacket</t>
        </is>
      </c>
      <c r="K2983" s="12" t="inlineStr">
        <is>
          <t>LV|3/C+G|2</t>
        </is>
      </c>
      <c r="L2983" s="12" t="inlineStr">
        <is>
          <t>3/C+G</t>
        </is>
      </c>
      <c r="M2983" s="12" t="inlineStr">
        <is>
          <t>2</t>
        </is>
      </c>
      <c r="N2983" s="12" t="n">
        <v>1</v>
      </c>
      <c r="O2983" s="12" t="n">
        <v>1</v>
      </c>
      <c r="P2983" s="12" t="n">
        <v>480</v>
      </c>
      <c r="Q2983" s="12" t="n">
        <v>15</v>
      </c>
      <c r="R2983" s="12" t="n">
        <v>21.2</v>
      </c>
      <c r="S2983" s="12" t="inlineStr">
        <is>
          <t>Duct bank</t>
        </is>
      </c>
      <c r="T2983" s="16" t="n">
        <v>1629</v>
      </c>
      <c r="U2983" s="16" t="n">
        <v>145</v>
      </c>
      <c r="V2983" s="16">
        <f>ROUNDUP((T2983+U2983+2*'Read Me'!$B$13)*(1+'Read Me'!$B$12),-1)</f>
        <v/>
      </c>
      <c r="W2983" s="16">
        <f>V2983*N2983*O2983</f>
        <v/>
      </c>
      <c r="X2983" s="12">
        <f>IF(LEFT(I2983,2)="MV",2*N2983*IF(L2983="1/C",O2983,1),0)</f>
        <v/>
      </c>
      <c r="Y2983" s="12">
        <f>IF(OR(LEFT(K2983,4)="LVAX",LEFT(K2983,6)="MV15AX",LEFT(K2983,4)="CTAX",LEFT(K2983,2)="W|"),2*N2983*O2983,0)</f>
        <v/>
      </c>
      <c r="Z2983" s="12" t="inlineStr">
        <is>
          <t>VD 2.9 %</t>
        </is>
      </c>
      <c r="AA2983" s="12">
        <f>N2983*O2983</f>
        <v/>
      </c>
    </row>
    <row r="2984">
      <c r="A2984" s="12" t="inlineStr">
        <is>
          <t>E-P-0092</t>
        </is>
      </c>
      <c r="B2984" s="12" t="inlineStr">
        <is>
          <t>E</t>
        </is>
      </c>
      <c r="C2984" s="12" t="inlineStr">
        <is>
          <t>Water / utilities</t>
        </is>
      </c>
      <c r="D2984" s="12" t="inlineStr">
        <is>
          <t>Motor 15 of 20, 15 kW</t>
        </is>
      </c>
      <c r="E2984" s="12" t="inlineStr">
        <is>
          <t>MCC-C2</t>
        </is>
      </c>
      <c r="F2984" s="12" t="inlineStr">
        <is>
          <t>R1 MCC-C2</t>
        </is>
      </c>
      <c r="G2984" s="12" t="inlineStr">
        <is>
          <t>R-WT</t>
        </is>
      </c>
      <c r="H2984" s="12" t="inlineStr">
        <is>
          <t>Water treatment building (incl. R-WT electrical room)</t>
        </is>
      </c>
      <c r="I2984" s="12" t="inlineStr">
        <is>
          <t>LV 600 V</t>
        </is>
      </c>
      <c r="J2984" s="12" t="inlineStr">
        <is>
          <t>Type TC-ER 600 V 3/C Cu XHHW-2 + ground, PVC jacket</t>
        </is>
      </c>
      <c r="K2984" s="12" t="inlineStr">
        <is>
          <t>LV|3/C+G|2</t>
        </is>
      </c>
      <c r="L2984" s="12" t="inlineStr">
        <is>
          <t>3/C+G</t>
        </is>
      </c>
      <c r="M2984" s="12" t="inlineStr">
        <is>
          <t>2</t>
        </is>
      </c>
      <c r="N2984" s="12" t="n">
        <v>1</v>
      </c>
      <c r="O2984" s="12" t="n">
        <v>1</v>
      </c>
      <c r="P2984" s="12" t="n">
        <v>480</v>
      </c>
      <c r="Q2984" s="12" t="n">
        <v>15</v>
      </c>
      <c r="R2984" s="12" t="n">
        <v>21.2</v>
      </c>
      <c r="S2984" s="12" t="inlineStr">
        <is>
          <t>Duct bank</t>
        </is>
      </c>
      <c r="T2984" s="16" t="n">
        <v>1629</v>
      </c>
      <c r="U2984" s="16" t="n">
        <v>145</v>
      </c>
      <c r="V2984" s="16">
        <f>ROUNDUP((T2984+U2984+2*'Read Me'!$B$13)*(1+'Read Me'!$B$12),-1)</f>
        <v/>
      </c>
      <c r="W2984" s="16">
        <f>V2984*N2984*O2984</f>
        <v/>
      </c>
      <c r="X2984" s="12">
        <f>IF(LEFT(I2984,2)="MV",2*N2984*IF(L2984="1/C",O2984,1),0)</f>
        <v/>
      </c>
      <c r="Y2984" s="12">
        <f>IF(OR(LEFT(K2984,4)="LVAX",LEFT(K2984,6)="MV15AX",LEFT(K2984,4)="CTAX",LEFT(K2984,2)="W|"),2*N2984*O2984,0)</f>
        <v/>
      </c>
      <c r="Z2984" s="12" t="inlineStr">
        <is>
          <t>VD 2.9 %</t>
        </is>
      </c>
      <c r="AA2984" s="12">
        <f>N2984*O2984</f>
        <v/>
      </c>
    </row>
    <row r="2985">
      <c r="A2985" s="12" t="inlineStr">
        <is>
          <t>E-P-0093</t>
        </is>
      </c>
      <c r="B2985" s="12" t="inlineStr">
        <is>
          <t>E</t>
        </is>
      </c>
      <c r="C2985" s="12" t="inlineStr">
        <is>
          <t>Water / utilities</t>
        </is>
      </c>
      <c r="D2985" s="12" t="inlineStr">
        <is>
          <t>Motor 16 of 20, 15 kW</t>
        </is>
      </c>
      <c r="E2985" s="12" t="inlineStr">
        <is>
          <t>MCC-C2</t>
        </is>
      </c>
      <c r="F2985" s="12" t="inlineStr">
        <is>
          <t>R1 MCC-C2</t>
        </is>
      </c>
      <c r="G2985" s="12" t="inlineStr">
        <is>
          <t>R-WT</t>
        </is>
      </c>
      <c r="H2985" s="12" t="inlineStr">
        <is>
          <t>Water treatment building (incl. R-WT electrical room)</t>
        </is>
      </c>
      <c r="I2985" s="12" t="inlineStr">
        <is>
          <t>LV 600 V</t>
        </is>
      </c>
      <c r="J2985" s="12" t="inlineStr">
        <is>
          <t>Type TC-ER 600 V 3/C Cu XHHW-2 + ground, PVC jacket</t>
        </is>
      </c>
      <c r="K2985" s="12" t="inlineStr">
        <is>
          <t>LV|3/C+G|2</t>
        </is>
      </c>
      <c r="L2985" s="12" t="inlineStr">
        <is>
          <t>3/C+G</t>
        </is>
      </c>
      <c r="M2985" s="12" t="inlineStr">
        <is>
          <t>2</t>
        </is>
      </c>
      <c r="N2985" s="12" t="n">
        <v>1</v>
      </c>
      <c r="O2985" s="12" t="n">
        <v>1</v>
      </c>
      <c r="P2985" s="12" t="n">
        <v>480</v>
      </c>
      <c r="Q2985" s="12" t="n">
        <v>15</v>
      </c>
      <c r="R2985" s="12" t="n">
        <v>21.2</v>
      </c>
      <c r="S2985" s="12" t="inlineStr">
        <is>
          <t>Duct bank</t>
        </is>
      </c>
      <c r="T2985" s="16" t="n">
        <v>1629</v>
      </c>
      <c r="U2985" s="16" t="n">
        <v>145</v>
      </c>
      <c r="V2985" s="16">
        <f>ROUNDUP((T2985+U2985+2*'Read Me'!$B$13)*(1+'Read Me'!$B$12),-1)</f>
        <v/>
      </c>
      <c r="W2985" s="16">
        <f>V2985*N2985*O2985</f>
        <v/>
      </c>
      <c r="X2985" s="12">
        <f>IF(LEFT(I2985,2)="MV",2*N2985*IF(L2985="1/C",O2985,1),0)</f>
        <v/>
      </c>
      <c r="Y2985" s="12">
        <f>IF(OR(LEFT(K2985,4)="LVAX",LEFT(K2985,6)="MV15AX",LEFT(K2985,4)="CTAX",LEFT(K2985,2)="W|"),2*N2985*O2985,0)</f>
        <v/>
      </c>
      <c r="Z2985" s="12" t="inlineStr">
        <is>
          <t>VD 2.9 %</t>
        </is>
      </c>
      <c r="AA2985" s="12">
        <f>N2985*O2985</f>
        <v/>
      </c>
    </row>
    <row r="2986">
      <c r="A2986" s="12" t="inlineStr">
        <is>
          <t>E-P-0094</t>
        </is>
      </c>
      <c r="B2986" s="12" t="inlineStr">
        <is>
          <t>E</t>
        </is>
      </c>
      <c r="C2986" s="12" t="inlineStr">
        <is>
          <t>Water / utilities</t>
        </is>
      </c>
      <c r="D2986" s="12" t="inlineStr">
        <is>
          <t>Motor 17 of 20, 15 kW</t>
        </is>
      </c>
      <c r="E2986" s="12" t="inlineStr">
        <is>
          <t>MCC-C2</t>
        </is>
      </c>
      <c r="F2986" s="12" t="inlineStr">
        <is>
          <t>R1 MCC-C2</t>
        </is>
      </c>
      <c r="G2986" s="12" t="inlineStr">
        <is>
          <t>R-WT</t>
        </is>
      </c>
      <c r="H2986" s="12" t="inlineStr">
        <is>
          <t>Water treatment building (incl. R-WT electrical room)</t>
        </is>
      </c>
      <c r="I2986" s="12" t="inlineStr">
        <is>
          <t>LV 600 V</t>
        </is>
      </c>
      <c r="J2986" s="12" t="inlineStr">
        <is>
          <t>Type TC-ER 600 V 3/C Cu XHHW-2 + ground, PVC jacket</t>
        </is>
      </c>
      <c r="K2986" s="12" t="inlineStr">
        <is>
          <t>LV|3/C+G|2</t>
        </is>
      </c>
      <c r="L2986" s="12" t="inlineStr">
        <is>
          <t>3/C+G</t>
        </is>
      </c>
      <c r="M2986" s="12" t="inlineStr">
        <is>
          <t>2</t>
        </is>
      </c>
      <c r="N2986" s="12" t="n">
        <v>1</v>
      </c>
      <c r="O2986" s="12" t="n">
        <v>1</v>
      </c>
      <c r="P2986" s="12" t="n">
        <v>480</v>
      </c>
      <c r="Q2986" s="12" t="n">
        <v>15</v>
      </c>
      <c r="R2986" s="12" t="n">
        <v>21.2</v>
      </c>
      <c r="S2986" s="12" t="inlineStr">
        <is>
          <t>Duct bank</t>
        </is>
      </c>
      <c r="T2986" s="16" t="n">
        <v>1629</v>
      </c>
      <c r="U2986" s="16" t="n">
        <v>145</v>
      </c>
      <c r="V2986" s="16">
        <f>ROUNDUP((T2986+U2986+2*'Read Me'!$B$13)*(1+'Read Me'!$B$12),-1)</f>
        <v/>
      </c>
      <c r="W2986" s="16">
        <f>V2986*N2986*O2986</f>
        <v/>
      </c>
      <c r="X2986" s="12">
        <f>IF(LEFT(I2986,2)="MV",2*N2986*IF(L2986="1/C",O2986,1),0)</f>
        <v/>
      </c>
      <c r="Y2986" s="12">
        <f>IF(OR(LEFT(K2986,4)="LVAX",LEFT(K2986,6)="MV15AX",LEFT(K2986,4)="CTAX",LEFT(K2986,2)="W|"),2*N2986*O2986,0)</f>
        <v/>
      </c>
      <c r="Z2986" s="12" t="inlineStr">
        <is>
          <t>VD 2.9 %</t>
        </is>
      </c>
      <c r="AA2986" s="12">
        <f>N2986*O2986</f>
        <v/>
      </c>
    </row>
    <row r="2987">
      <c r="A2987" s="12" t="inlineStr">
        <is>
          <t>E-P-0095</t>
        </is>
      </c>
      <c r="B2987" s="12" t="inlineStr">
        <is>
          <t>E</t>
        </is>
      </c>
      <c r="C2987" s="12" t="inlineStr">
        <is>
          <t>Water / utilities</t>
        </is>
      </c>
      <c r="D2987" s="12" t="inlineStr">
        <is>
          <t>Motor 18 of 20, 15 kW</t>
        </is>
      </c>
      <c r="E2987" s="12" t="inlineStr">
        <is>
          <t>MCC-C2</t>
        </is>
      </c>
      <c r="F2987" s="12" t="inlineStr">
        <is>
          <t>R1 MCC-C2</t>
        </is>
      </c>
      <c r="G2987" s="12" t="inlineStr">
        <is>
          <t>R-WT</t>
        </is>
      </c>
      <c r="H2987" s="12" t="inlineStr">
        <is>
          <t>Water treatment building (incl. R-WT electrical room)</t>
        </is>
      </c>
      <c r="I2987" s="12" t="inlineStr">
        <is>
          <t>LV 600 V</t>
        </is>
      </c>
      <c r="J2987" s="12" t="inlineStr">
        <is>
          <t>Type TC-ER 600 V 3/C Cu XHHW-2 + ground, PVC jacket</t>
        </is>
      </c>
      <c r="K2987" s="12" t="inlineStr">
        <is>
          <t>LV|3/C+G|2</t>
        </is>
      </c>
      <c r="L2987" s="12" t="inlineStr">
        <is>
          <t>3/C+G</t>
        </is>
      </c>
      <c r="M2987" s="12" t="inlineStr">
        <is>
          <t>2</t>
        </is>
      </c>
      <c r="N2987" s="12" t="n">
        <v>1</v>
      </c>
      <c r="O2987" s="12" t="n">
        <v>1</v>
      </c>
      <c r="P2987" s="12" t="n">
        <v>480</v>
      </c>
      <c r="Q2987" s="12" t="n">
        <v>15</v>
      </c>
      <c r="R2987" s="12" t="n">
        <v>21.2</v>
      </c>
      <c r="S2987" s="12" t="inlineStr">
        <is>
          <t>Duct bank</t>
        </is>
      </c>
      <c r="T2987" s="16" t="n">
        <v>1629</v>
      </c>
      <c r="U2987" s="16" t="n">
        <v>145</v>
      </c>
      <c r="V2987" s="16">
        <f>ROUNDUP((T2987+U2987+2*'Read Me'!$B$13)*(1+'Read Me'!$B$12),-1)</f>
        <v/>
      </c>
      <c r="W2987" s="16">
        <f>V2987*N2987*O2987</f>
        <v/>
      </c>
      <c r="X2987" s="12">
        <f>IF(LEFT(I2987,2)="MV",2*N2987*IF(L2987="1/C",O2987,1),0)</f>
        <v/>
      </c>
      <c r="Y2987" s="12">
        <f>IF(OR(LEFT(K2987,4)="LVAX",LEFT(K2987,6)="MV15AX",LEFT(K2987,4)="CTAX",LEFT(K2987,2)="W|"),2*N2987*O2987,0)</f>
        <v/>
      </c>
      <c r="Z2987" s="12" t="inlineStr">
        <is>
          <t>VD 2.9 %</t>
        </is>
      </c>
      <c r="AA2987" s="12">
        <f>N2987*O2987</f>
        <v/>
      </c>
    </row>
    <row r="2988">
      <c r="A2988" s="12" t="inlineStr">
        <is>
          <t>E-P-0096</t>
        </is>
      </c>
      <c r="B2988" s="12" t="inlineStr">
        <is>
          <t>E</t>
        </is>
      </c>
      <c r="C2988" s="12" t="inlineStr">
        <is>
          <t>Water / utilities</t>
        </is>
      </c>
      <c r="D2988" s="12" t="inlineStr">
        <is>
          <t>Motor 19 of 20, 15 kW</t>
        </is>
      </c>
      <c r="E2988" s="12" t="inlineStr">
        <is>
          <t>MCC-C2</t>
        </is>
      </c>
      <c r="F2988" s="12" t="inlineStr">
        <is>
          <t>R1 MCC-C2</t>
        </is>
      </c>
      <c r="G2988" s="12" t="inlineStr">
        <is>
          <t>R-WT</t>
        </is>
      </c>
      <c r="H2988" s="12" t="inlineStr">
        <is>
          <t>Water treatment building (incl. R-WT electrical room)</t>
        </is>
      </c>
      <c r="I2988" s="12" t="inlineStr">
        <is>
          <t>LV 600 V</t>
        </is>
      </c>
      <c r="J2988" s="12" t="inlineStr">
        <is>
          <t>Type TC-ER 600 V 3/C Cu XHHW-2 + ground, PVC jacket</t>
        </is>
      </c>
      <c r="K2988" s="12" t="inlineStr">
        <is>
          <t>LV|3/C+G|2</t>
        </is>
      </c>
      <c r="L2988" s="12" t="inlineStr">
        <is>
          <t>3/C+G</t>
        </is>
      </c>
      <c r="M2988" s="12" t="inlineStr">
        <is>
          <t>2</t>
        </is>
      </c>
      <c r="N2988" s="12" t="n">
        <v>1</v>
      </c>
      <c r="O2988" s="12" t="n">
        <v>1</v>
      </c>
      <c r="P2988" s="12" t="n">
        <v>480</v>
      </c>
      <c r="Q2988" s="12" t="n">
        <v>15</v>
      </c>
      <c r="R2988" s="12" t="n">
        <v>21.2</v>
      </c>
      <c r="S2988" s="12" t="inlineStr">
        <is>
          <t>Duct bank</t>
        </is>
      </c>
      <c r="T2988" s="16" t="n">
        <v>1629</v>
      </c>
      <c r="U2988" s="16" t="n">
        <v>145</v>
      </c>
      <c r="V2988" s="16">
        <f>ROUNDUP((T2988+U2988+2*'Read Me'!$B$13)*(1+'Read Me'!$B$12),-1)</f>
        <v/>
      </c>
      <c r="W2988" s="16">
        <f>V2988*N2988*O2988</f>
        <v/>
      </c>
      <c r="X2988" s="12">
        <f>IF(LEFT(I2988,2)="MV",2*N2988*IF(L2988="1/C",O2988,1),0)</f>
        <v/>
      </c>
      <c r="Y2988" s="12">
        <f>IF(OR(LEFT(K2988,4)="LVAX",LEFT(K2988,6)="MV15AX",LEFT(K2988,4)="CTAX",LEFT(K2988,2)="W|"),2*N2988*O2988,0)</f>
        <v/>
      </c>
      <c r="Z2988" s="12" t="inlineStr">
        <is>
          <t>VD 2.9 %</t>
        </is>
      </c>
      <c r="AA2988" s="12">
        <f>N2988*O2988</f>
        <v/>
      </c>
    </row>
    <row r="2989">
      <c r="A2989" s="12" t="inlineStr">
        <is>
          <t>E-P-0097</t>
        </is>
      </c>
      <c r="B2989" s="12" t="inlineStr">
        <is>
          <t>E</t>
        </is>
      </c>
      <c r="C2989" s="12" t="inlineStr">
        <is>
          <t>Water / utilities</t>
        </is>
      </c>
      <c r="D2989" s="12" t="inlineStr">
        <is>
          <t>Motor 20 of 20, 15 kW</t>
        </is>
      </c>
      <c r="E2989" s="12" t="inlineStr">
        <is>
          <t>MCC-C2</t>
        </is>
      </c>
      <c r="F2989" s="12" t="inlineStr">
        <is>
          <t>R1 MCC-C2</t>
        </is>
      </c>
      <c r="G2989" s="12" t="inlineStr">
        <is>
          <t>R-WT</t>
        </is>
      </c>
      <c r="H2989" s="12" t="inlineStr">
        <is>
          <t>Water treatment building (incl. R-WT electrical room)</t>
        </is>
      </c>
      <c r="I2989" s="12" t="inlineStr">
        <is>
          <t>LV 600 V</t>
        </is>
      </c>
      <c r="J2989" s="12" t="inlineStr">
        <is>
          <t>Type TC-ER 600 V 3/C Cu XHHW-2 + ground, PVC jacket</t>
        </is>
      </c>
      <c r="K2989" s="12" t="inlineStr">
        <is>
          <t>LV|3/C+G|2</t>
        </is>
      </c>
      <c r="L2989" s="12" t="inlineStr">
        <is>
          <t>3/C+G</t>
        </is>
      </c>
      <c r="M2989" s="12" t="inlineStr">
        <is>
          <t>2</t>
        </is>
      </c>
      <c r="N2989" s="12" t="n">
        <v>1</v>
      </c>
      <c r="O2989" s="12" t="n">
        <v>1</v>
      </c>
      <c r="P2989" s="12" t="n">
        <v>480</v>
      </c>
      <c r="Q2989" s="12" t="n">
        <v>15</v>
      </c>
      <c r="R2989" s="12" t="n">
        <v>21.2</v>
      </c>
      <c r="S2989" s="12" t="inlineStr">
        <is>
          <t>Duct bank</t>
        </is>
      </c>
      <c r="T2989" s="16" t="n">
        <v>1629</v>
      </c>
      <c r="U2989" s="16" t="n">
        <v>145</v>
      </c>
      <c r="V2989" s="16">
        <f>ROUNDUP((T2989+U2989+2*'Read Me'!$B$13)*(1+'Read Me'!$B$12),-1)</f>
        <v/>
      </c>
      <c r="W2989" s="16">
        <f>V2989*N2989*O2989</f>
        <v/>
      </c>
      <c r="X2989" s="12">
        <f>IF(LEFT(I2989,2)="MV",2*N2989*IF(L2989="1/C",O2989,1),0)</f>
        <v/>
      </c>
      <c r="Y2989" s="12">
        <f>IF(OR(LEFT(K2989,4)="LVAX",LEFT(K2989,6)="MV15AX",LEFT(K2989,4)="CTAX",LEFT(K2989,2)="W|"),2*N2989*O2989,0)</f>
        <v/>
      </c>
      <c r="Z2989" s="12" t="inlineStr">
        <is>
          <t>VD 2.9 %</t>
        </is>
      </c>
      <c r="AA2989" s="12">
        <f>N2989*O2989</f>
        <v/>
      </c>
    </row>
    <row r="2990">
      <c r="A2990" s="12" t="inlineStr">
        <is>
          <t>F-L-0001</t>
        </is>
      </c>
      <c r="B2990" s="12" t="inlineStr">
        <is>
          <t>F</t>
        </is>
      </c>
      <c r="C2990" s="12" t="inlineStr">
        <is>
          <t>Controls / service</t>
        </is>
      </c>
      <c r="D2990" s="12" t="inlineStr">
        <is>
          <t>UPS-1 to EP-1 (control-room critical loads), THHN in EMT</t>
        </is>
      </c>
      <c r="E2990" s="12" t="inlineStr">
        <is>
          <t>UPS-1</t>
        </is>
      </c>
      <c r="F2990" s="12" t="inlineStr">
        <is>
          <t>Control / admin building: UPS-1</t>
        </is>
      </c>
      <c r="G2990" s="12" t="inlineStr">
        <is>
          <t>EP-1</t>
        </is>
      </c>
      <c r="H2990" s="12" t="inlineStr">
        <is>
          <t>Control / admin building: EP-1</t>
        </is>
      </c>
      <c r="I2990" s="12" t="inlineStr">
        <is>
          <t>Building wire</t>
        </is>
      </c>
      <c r="J2990" s="12" t="inlineStr">
        <is>
          <t>SIMpull THHN/THWN-2 600 V 1/C Cu (lighting, receptacles, small power)</t>
        </is>
      </c>
      <c r="K2990" s="12" t="inlineStr">
        <is>
          <t>THHN|1/C|2</t>
        </is>
      </c>
      <c r="L2990" s="12" t="inlineStr">
        <is>
          <t>1/C</t>
        </is>
      </c>
      <c r="M2990" s="12" t="inlineStr">
        <is>
          <t>2</t>
        </is>
      </c>
      <c r="N2990" s="12" t="n">
        <v>1</v>
      </c>
      <c r="O2990" s="12" t="n">
        <v>4</v>
      </c>
      <c r="P2990" s="12" t="n">
        <v>208</v>
      </c>
      <c r="Q2990" s="12" t="n"/>
      <c r="R2990" s="12" t="n">
        <v>110</v>
      </c>
      <c r="S2990" s="12" t="inlineStr">
        <is>
          <t>Conduit</t>
        </is>
      </c>
      <c r="T2990" s="16" t="n">
        <v>30</v>
      </c>
      <c r="U2990" s="16" t="n">
        <v>16</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F-L-0002</t>
        </is>
      </c>
      <c r="B2991" s="12" t="inlineStr">
        <is>
          <t>F</t>
        </is>
      </c>
      <c r="C2991" s="12" t="inlineStr">
        <is>
          <t>Controls / service</t>
        </is>
      </c>
      <c r="D2991" s="12" t="inlineStr">
        <is>
          <t>MDP to LP-1 277/480 V lighting, THHN in EMT</t>
        </is>
      </c>
      <c r="E2991" s="12" t="inlineStr">
        <is>
          <t>MDP 480 V</t>
        </is>
      </c>
      <c r="F2991" s="12" t="inlineStr">
        <is>
          <t>Control / admin building: MDP 480 V</t>
        </is>
      </c>
      <c r="G2991" s="12" t="inlineStr">
        <is>
          <t>LP-1</t>
        </is>
      </c>
      <c r="H2991" s="12" t="inlineStr">
        <is>
          <t>Control / admin building: LP-1</t>
        </is>
      </c>
      <c r="I2991" s="12" t="inlineStr">
        <is>
          <t>Building wire</t>
        </is>
      </c>
      <c r="J2991" s="12" t="inlineStr">
        <is>
          <t>SIMpull THHN/THWN-2 600 V 1/C Cu (lighting, receptacles, small power)</t>
        </is>
      </c>
      <c r="K2991" s="12" t="inlineStr">
        <is>
          <t>THHN|1/C|1</t>
        </is>
      </c>
      <c r="L2991" s="12" t="inlineStr">
        <is>
          <t>1/C</t>
        </is>
      </c>
      <c r="M2991" s="12" t="inlineStr">
        <is>
          <t>1</t>
        </is>
      </c>
      <c r="N2991" s="12" t="n">
        <v>1</v>
      </c>
      <c r="O2991" s="12" t="n">
        <v>4</v>
      </c>
      <c r="P2991" s="12" t="n">
        <v>480</v>
      </c>
      <c r="Q2991" s="12" t="n"/>
      <c r="R2991" s="12" t="n">
        <v>100</v>
      </c>
      <c r="S2991" s="12" t="inlineStr">
        <is>
          <t>Conduit</t>
        </is>
      </c>
      <c r="T2991" s="16" t="n">
        <v>12</v>
      </c>
      <c r="U2991" s="16" t="n">
        <v>16</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F-L-0003</t>
        </is>
      </c>
      <c r="B2992" s="12" t="inlineStr">
        <is>
          <t>F</t>
        </is>
      </c>
      <c r="C2992" s="12" t="inlineStr">
        <is>
          <t>Controls / service</t>
        </is>
      </c>
      <c r="D2992" s="12" t="inlineStr">
        <is>
          <t>Console power whips (6 positions, 2 circuits each)</t>
        </is>
      </c>
      <c r="E2992" s="12" t="inlineStr">
        <is>
          <t>EP-1</t>
        </is>
      </c>
      <c r="F2992" s="12" t="inlineStr">
        <is>
          <t>Control / admin building: EP-1</t>
        </is>
      </c>
      <c r="G2992" s="12" t="inlineStr">
        <is>
          <t>MCR console floor boxes</t>
        </is>
      </c>
      <c r="H2992" s="12" t="inlineStr">
        <is>
          <t>Control / admin building: MCR console floor boxes</t>
        </is>
      </c>
      <c r="I2992" s="12" t="inlineStr">
        <is>
          <t>Building wire</t>
        </is>
      </c>
      <c r="J2992" s="12" t="inlineStr">
        <is>
          <t>Southwire MC 600 V, Cu THHN, Al interlocked armour (branch circuits)</t>
        </is>
      </c>
      <c r="K2992" s="12" t="inlineStr">
        <is>
          <t>MC|3/C+G|12</t>
        </is>
      </c>
      <c r="L2992" s="12" t="inlineStr">
        <is>
          <t>3/C+G</t>
        </is>
      </c>
      <c r="M2992" s="12" t="inlineStr">
        <is>
          <t>12</t>
        </is>
      </c>
      <c r="N2992" s="12" t="n">
        <v>1</v>
      </c>
      <c r="O2992" s="12" t="n">
        <v>1</v>
      </c>
      <c r="P2992" s="12" t="n">
        <v>120</v>
      </c>
      <c r="Q2992" s="12" t="n"/>
      <c r="R2992" s="12" t="n">
        <v>16</v>
      </c>
      <c r="S2992" s="12" t="inlineStr">
        <is>
          <t>Under floor</t>
        </is>
      </c>
      <c r="T2992" s="16" t="n">
        <v>1080</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F-L-0004</t>
        </is>
      </c>
      <c r="B2993" s="12" t="inlineStr">
        <is>
          <t>F</t>
        </is>
      </c>
      <c r="C2993" s="12" t="inlineStr">
        <is>
          <t>Controls / service</t>
        </is>
      </c>
      <c r="D2993" s="12" t="inlineStr">
        <is>
          <t>T-1 to RP-1 120/208 V, THHN in EMT</t>
        </is>
      </c>
      <c r="E2993" s="12" t="inlineStr">
        <is>
          <t>T-1 75 kVA</t>
        </is>
      </c>
      <c r="F2993" s="12" t="inlineStr">
        <is>
          <t>Control / admin building: T-1 75 kVA</t>
        </is>
      </c>
      <c r="G2993" s="12" t="inlineStr">
        <is>
          <t>RP-1</t>
        </is>
      </c>
      <c r="H2993" s="12" t="inlineStr">
        <is>
          <t>Control / admin building: RP-1</t>
        </is>
      </c>
      <c r="I2993" s="12" t="inlineStr">
        <is>
          <t>Building wire</t>
        </is>
      </c>
      <c r="J2993" s="12" t="inlineStr">
        <is>
          <t>SIMpull THHN/THWN-2 600 V 1/C Cu (lighting, receptacles, small power)</t>
        </is>
      </c>
      <c r="K2993" s="12" t="inlineStr">
        <is>
          <t>THHN|1/C|4/0</t>
        </is>
      </c>
      <c r="L2993" s="12" t="inlineStr">
        <is>
          <t>1/C</t>
        </is>
      </c>
      <c r="M2993" s="12" t="inlineStr">
        <is>
          <t>4/0</t>
        </is>
      </c>
      <c r="N2993" s="12" t="n">
        <v>1</v>
      </c>
      <c r="O2993" s="12" t="n">
        <v>4</v>
      </c>
      <c r="P2993" s="12" t="n">
        <v>208</v>
      </c>
      <c r="Q2993" s="12" t="n"/>
      <c r="R2993" s="12" t="n">
        <v>200</v>
      </c>
      <c r="S2993" s="12" t="inlineStr">
        <is>
          <t>Conduit</t>
        </is>
      </c>
      <c r="T2993" s="16" t="n">
        <v>10</v>
      </c>
      <c r="U2993" s="16" t="n">
        <v>16</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F-L-0005</t>
        </is>
      </c>
      <c r="B2994" s="12" t="inlineStr">
        <is>
          <t>F</t>
        </is>
      </c>
      <c r="C2994" s="12" t="inlineStr">
        <is>
          <t>Controls / service</t>
        </is>
      </c>
      <c r="D2994" s="12" t="inlineStr">
        <is>
          <t>T-1 to RP-2 120/208 V, THHN in EMT</t>
        </is>
      </c>
      <c r="E2994" s="12" t="inlineStr">
        <is>
          <t>T-1 75 kVA</t>
        </is>
      </c>
      <c r="F2994" s="12" t="inlineStr">
        <is>
          <t>Control / admin building: T-1 75 kVA</t>
        </is>
      </c>
      <c r="G2994" s="12" t="inlineStr">
        <is>
          <t>RP-2</t>
        </is>
      </c>
      <c r="H2994" s="12" t="inlineStr">
        <is>
          <t>Control / admin building: RP-2</t>
        </is>
      </c>
      <c r="I2994" s="12" t="inlineStr">
        <is>
          <t>Building wire</t>
        </is>
      </c>
      <c r="J2994" s="12" t="inlineStr">
        <is>
          <t>SIMpull THHN/THWN-2 600 V 1/C Cu (lighting, receptacles, small power)</t>
        </is>
      </c>
      <c r="K2994" s="12" t="inlineStr">
        <is>
          <t>THHN|1/C|4/0</t>
        </is>
      </c>
      <c r="L2994" s="12" t="inlineStr">
        <is>
          <t>1/C</t>
        </is>
      </c>
      <c r="M2994" s="12" t="inlineStr">
        <is>
          <t>4/0</t>
        </is>
      </c>
      <c r="N2994" s="12" t="n">
        <v>1</v>
      </c>
      <c r="O2994" s="12" t="n">
        <v>4</v>
      </c>
      <c r="P2994" s="12" t="n">
        <v>208</v>
      </c>
      <c r="Q2994" s="12" t="n"/>
      <c r="R2994" s="12" t="n">
        <v>200</v>
      </c>
      <c r="S2994" s="12" t="inlineStr">
        <is>
          <t>Conduit</t>
        </is>
      </c>
      <c r="T2994" s="16" t="n">
        <v>10</v>
      </c>
      <c r="U2994" s="16" t="n">
        <v>16</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F-L-0006</t>
        </is>
      </c>
      <c r="B2995" s="12" t="inlineStr">
        <is>
          <t>F</t>
        </is>
      </c>
      <c r="C2995" s="12" t="inlineStr">
        <is>
          <t>Controls / service</t>
        </is>
      </c>
      <c r="D2995" s="12" t="inlineStr">
        <is>
          <t>MDP to T-1 primary, THHN in EMT</t>
        </is>
      </c>
      <c r="E2995" s="12" t="inlineStr">
        <is>
          <t>MDP 480 V</t>
        </is>
      </c>
      <c r="F2995" s="12" t="inlineStr">
        <is>
          <t>Control / admin building: MDP 480 V</t>
        </is>
      </c>
      <c r="G2995" s="12" t="inlineStr">
        <is>
          <t>T-1 75 kVA</t>
        </is>
      </c>
      <c r="H2995" s="12" t="inlineStr">
        <is>
          <t>Control / admin building: T-1 75 kVA</t>
        </is>
      </c>
      <c r="I2995" s="12" t="inlineStr">
        <is>
          <t>Building wire</t>
        </is>
      </c>
      <c r="J2995" s="12" t="inlineStr">
        <is>
          <t>SIMpull THHN/THWN-2 600 V 1/C Cu (lighting, receptacles, small power)</t>
        </is>
      </c>
      <c r="K2995" s="12" t="inlineStr">
        <is>
          <t>THHN|1/C|3</t>
        </is>
      </c>
      <c r="L2995" s="12" t="inlineStr">
        <is>
          <t>1/C</t>
        </is>
      </c>
      <c r="M2995" s="12" t="inlineStr">
        <is>
          <t>3</t>
        </is>
      </c>
      <c r="N2995" s="12" t="n">
        <v>1</v>
      </c>
      <c r="O2995" s="12" t="n">
        <v>3</v>
      </c>
      <c r="P2995" s="12" t="n">
        <v>480</v>
      </c>
      <c r="Q2995" s="12" t="n"/>
      <c r="R2995" s="12" t="n">
        <v>90</v>
      </c>
      <c r="S2995" s="12" t="inlineStr">
        <is>
          <t>Conduit</t>
        </is>
      </c>
      <c r="T2995" s="16" t="n">
        <v>12</v>
      </c>
      <c r="U2995" s="16" t="n">
        <v>16</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F-L-0007</t>
        </is>
      </c>
      <c r="B2996" s="12" t="inlineStr">
        <is>
          <t>F</t>
        </is>
      </c>
      <c r="C2996" s="12" t="inlineStr">
        <is>
          <t>Controls / service</t>
        </is>
      </c>
      <c r="D2996" s="12" t="inlineStr">
        <is>
          <t>MDP to UPS-1 (feeds EP-1), THHN in EMT</t>
        </is>
      </c>
      <c r="E2996" s="12" t="inlineStr">
        <is>
          <t>MDP 480 V</t>
        </is>
      </c>
      <c r="F2996" s="12" t="inlineStr">
        <is>
          <t>Control / admin building: MDP 480 V</t>
        </is>
      </c>
      <c r="G2996" s="12" t="inlineStr">
        <is>
          <t>UPS-1</t>
        </is>
      </c>
      <c r="H2996" s="12" t="inlineStr">
        <is>
          <t>Control / admin building: UPS-1</t>
        </is>
      </c>
      <c r="I2996" s="12" t="inlineStr">
        <is>
          <t>Building wire</t>
        </is>
      </c>
      <c r="J2996" s="12" t="inlineStr">
        <is>
          <t>SIMpull THHN/THWN-2 600 V 1/C Cu (lighting, receptacles, small power)</t>
        </is>
      </c>
      <c r="K2996" s="12" t="inlineStr">
        <is>
          <t>THHN|1/C|4</t>
        </is>
      </c>
      <c r="L2996" s="12" t="inlineStr">
        <is>
          <t>1/C</t>
        </is>
      </c>
      <c r="M2996" s="12" t="inlineStr">
        <is>
          <t>4</t>
        </is>
      </c>
      <c r="N2996" s="12" t="n">
        <v>1</v>
      </c>
      <c r="O2996" s="12" t="n">
        <v>3</v>
      </c>
      <c r="P2996" s="12" t="n">
        <v>480</v>
      </c>
      <c r="Q2996" s="12" t="n"/>
      <c r="R2996" s="12" t="n">
        <v>60</v>
      </c>
      <c r="S2996" s="12" t="inlineStr">
        <is>
          <t>Conduit</t>
        </is>
      </c>
      <c r="T2996" s="16" t="n">
        <v>12</v>
      </c>
      <c r="U2996" s="16" t="n">
        <v>16</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F-L-0008</t>
        </is>
      </c>
      <c r="B2997" s="12" t="inlineStr">
        <is>
          <t>F</t>
        </is>
      </c>
      <c r="C2997" s="12" t="inlineStr">
        <is>
          <t>Controls / service</t>
        </is>
      </c>
      <c r="D2997" s="12" t="inlineStr">
        <is>
          <t>Lighting branch circuits, 18 home runs + fixture whips</t>
        </is>
      </c>
      <c r="E2997" s="12" t="inlineStr">
        <is>
          <t>LP-1</t>
        </is>
      </c>
      <c r="F2997" s="12" t="inlineStr">
        <is>
          <t>Control / admin building: LP-1</t>
        </is>
      </c>
      <c r="G2997" s="12" t="inlineStr">
        <is>
          <t>lighting, all rooms</t>
        </is>
      </c>
      <c r="H2997" s="12" t="inlineStr">
        <is>
          <t>Control / admin building: lighting, all rooms</t>
        </is>
      </c>
      <c r="I2997" s="12" t="inlineStr">
        <is>
          <t>Building wire</t>
        </is>
      </c>
      <c r="J2997" s="12" t="inlineStr">
        <is>
          <t>Southwire MC 600 V, Cu THHN, Al interlocked armour (branch circuits)</t>
        </is>
      </c>
      <c r="K2997" s="12" t="inlineStr">
        <is>
          <t>MC|2/C+G|12</t>
        </is>
      </c>
      <c r="L2997" s="12" t="inlineStr">
        <is>
          <t>2/C+G</t>
        </is>
      </c>
      <c r="M2997" s="12" t="inlineStr">
        <is>
          <t>12</t>
        </is>
      </c>
      <c r="N2997" s="12" t="n">
        <v>1</v>
      </c>
      <c r="O2997" s="12" t="n">
        <v>1</v>
      </c>
      <c r="P2997" s="12" t="n">
        <v>277</v>
      </c>
      <c r="Q2997" s="12" t="n"/>
      <c r="R2997" s="12" t="n">
        <v>16</v>
      </c>
      <c r="S2997" s="12" t="inlineStr">
        <is>
          <t>Above ceiling</t>
        </is>
      </c>
      <c r="T2997" s="16" t="n">
        <v>2235</v>
      </c>
      <c r="U2997" s="16" t="n">
        <v>0</v>
      </c>
      <c r="V2997" s="16">
        <f>ROUNDUP((T2997+U2997+2*'Read Me'!$B$13)*(1+'Read Me'!$B$12),-1)</f>
        <v/>
      </c>
      <c r="W2997" s="16">
        <f>V2997*N2997*O2997</f>
        <v/>
      </c>
      <c r="X2997" s="12">
        <f>IF(LEFT(I2997,2)="MV",2*N2997*IF(L2997="1/C",O2997,1),0)</f>
        <v/>
      </c>
      <c r="Y2997" s="12">
        <f>IF(OR(LEFT(K2997,4)="LVAX",LEFT(K2997,6)="MV15AX",LEFT(K2997,4)="CTAX",LEFT(K2997,2)="W|"),2*N2997*O2997,0)</f>
        <v/>
      </c>
      <c r="Z2997" s="12" t="inlineStr">
        <is>
          <t>MC 12/2, measured home runs</t>
        </is>
      </c>
      <c r="AA2997" s="12">
        <f>N2997*O2997</f>
        <v/>
      </c>
    </row>
    <row r="2998">
      <c r="A2998" s="12" t="inlineStr">
        <is>
          <t>F-L-0009</t>
        </is>
      </c>
      <c r="B2998" s="12" t="inlineStr">
        <is>
          <t>F</t>
        </is>
      </c>
      <c r="C2998" s="12" t="inlineStr">
        <is>
          <t>Controls / service</t>
        </is>
      </c>
      <c r="D2998" s="12" t="inlineStr">
        <is>
          <t>Receptacle branch circuits, 19 home runs</t>
        </is>
      </c>
      <c r="E2998" s="12" t="inlineStr">
        <is>
          <t>RP-1 / RP-2</t>
        </is>
      </c>
      <c r="F2998" s="12" t="inlineStr">
        <is>
          <t>Control / admin building: RP-1 / RP-2</t>
        </is>
      </c>
      <c r="G2998" s="12" t="inlineStr">
        <is>
          <t>receptacles, all rooms</t>
        </is>
      </c>
      <c r="H2998" s="12" t="inlineStr">
        <is>
          <t>Control / admin building: receptacles, all rooms</t>
        </is>
      </c>
      <c r="I2998" s="12" t="inlineStr">
        <is>
          <t>Building wire</t>
        </is>
      </c>
      <c r="J2998" s="12" t="inlineStr">
        <is>
          <t>Southwire MC 600 V, Cu THHN, Al interlocked armour (branch circuits)</t>
        </is>
      </c>
      <c r="K2998" s="12" t="inlineStr">
        <is>
          <t>MC|3/C+G|12</t>
        </is>
      </c>
      <c r="L2998" s="12" t="inlineStr">
        <is>
          <t>3/C+G</t>
        </is>
      </c>
      <c r="M2998" s="12" t="inlineStr">
        <is>
          <t>12</t>
        </is>
      </c>
      <c r="N2998" s="12" t="n">
        <v>1</v>
      </c>
      <c r="O2998" s="12" t="n">
        <v>1</v>
      </c>
      <c r="P2998" s="12" t="n">
        <v>120</v>
      </c>
      <c r="Q2998" s="12" t="n"/>
      <c r="R2998" s="12" t="n">
        <v>16</v>
      </c>
      <c r="S2998" s="12" t="inlineStr">
        <is>
          <t>Above ceiling</t>
        </is>
      </c>
      <c r="T2998" s="16" t="n">
        <v>3236</v>
      </c>
      <c r="U2998" s="16" t="n">
        <v>0</v>
      </c>
      <c r="V2998" s="16">
        <f>ROUNDUP((T2998+U2998+2*'Read Me'!$B$13)*(1+'Read Me'!$B$12),-1)</f>
        <v/>
      </c>
      <c r="W2998" s="16">
        <f>V2998*N2998*O2998</f>
        <v/>
      </c>
      <c r="X2998" s="12">
        <f>IF(LEFT(I2998,2)="MV",2*N2998*IF(L2998="1/C",O2998,1),0)</f>
        <v/>
      </c>
      <c r="Y2998" s="12">
        <f>IF(OR(LEFT(K2998,4)="LVAX",LEFT(K2998,6)="MV15AX",LEFT(K2998,4)="CTAX",LEFT(K2998,2)="W|"),2*N2998*O2998,0)</f>
        <v/>
      </c>
      <c r="Z2998" s="12" t="inlineStr">
        <is>
          <t>MC 12/3, measured home runs</t>
        </is>
      </c>
      <c r="AA2998" s="12">
        <f>N2998*O2998</f>
        <v/>
      </c>
    </row>
    <row r="2999">
      <c r="A2999" s="12" t="inlineStr">
        <is>
          <t>F-L-0010</t>
        </is>
      </c>
      <c r="B2999" s="12" t="inlineStr">
        <is>
          <t>F</t>
        </is>
      </c>
      <c r="C2999" s="12" t="inlineStr">
        <is>
          <t>Controls / service</t>
        </is>
      </c>
      <c r="D2999" s="12" t="inlineStr">
        <is>
          <t>Lighting, receptacles and small power branch circuits (allowance)</t>
        </is>
      </c>
      <c r="E2999" s="12" t="inlineStr"/>
      <c r="F2999" s="12" t="inlineStr">
        <is>
          <t>Gatehouse</t>
        </is>
      </c>
      <c r="G2999" s="12" t="inlineStr"/>
      <c r="H2999" s="12" t="inlineStr">
        <is>
          <t>Gatehouse</t>
        </is>
      </c>
      <c r="I2999" s="12" t="inlineStr">
        <is>
          <t>Building wire</t>
        </is>
      </c>
      <c r="J2999" s="12" t="inlineStr">
        <is>
          <t>SIMpull THHN/THWN-2 600 V 1/C Cu (lighting, receptacles, small power)</t>
        </is>
      </c>
      <c r="K2999" s="12" t="inlineStr">
        <is>
          <t>THHN|1/C|12</t>
        </is>
      </c>
      <c r="L2999" s="12" t="inlineStr">
        <is>
          <t>1/C</t>
        </is>
      </c>
      <c r="M2999" s="12" t="inlineStr">
        <is>
          <t>12</t>
        </is>
      </c>
      <c r="N2999" s="12" t="n">
        <v>1</v>
      </c>
      <c r="O2999" s="12" t="n">
        <v>1</v>
      </c>
      <c r="P2999" s="12" t="n">
        <v>277</v>
      </c>
      <c r="Q2999" s="12" t="n"/>
      <c r="R2999" s="12" t="n"/>
      <c r="S2999" s="12" t="inlineStr">
        <is>
          <t>Conduit</t>
        </is>
      </c>
      <c r="T2999" s="16" t="n">
        <v>736</v>
      </c>
      <c r="U2999" s="16" t="n">
        <v>0</v>
      </c>
      <c r="V2999" s="16">
        <f>ROUNDUP((T2999+U2999+2*'Read Me'!$B$13)*(1+'Read Me'!$B$12),-1)</f>
        <v/>
      </c>
      <c r="W2999" s="16">
        <f>V2999*N2999*O2999</f>
        <v/>
      </c>
      <c r="X2999" s="12">
        <f>IF(LEFT(I2999,2)="MV",2*N2999*IF(L2999="1/C",O2999,1),0)</f>
        <v/>
      </c>
      <c r="Y2999" s="12">
        <f>IF(OR(LEFT(K2999,4)="LVAX",LEFT(K2999,6)="MV15AX",LEFT(K2999,4)="CTAX",LEFT(K2999,2)="W|"),2*N2999*O2999,0)</f>
        <v/>
      </c>
      <c r="Z2999" s="12" t="inlineStr">
        <is>
          <t>allowance: 1.6 ft of conductor per ft2 of floor</t>
        </is>
      </c>
      <c r="AA2999" s="12">
        <f>N2999*O2999</f>
        <v/>
      </c>
    </row>
    <row r="3000">
      <c r="A3000" s="12" t="inlineStr">
        <is>
          <t>F-L-0011</t>
        </is>
      </c>
      <c r="B3000" s="12" t="inlineStr">
        <is>
          <t>F</t>
        </is>
      </c>
      <c r="C3000" s="12" t="inlineStr">
        <is>
          <t>Controls / service</t>
        </is>
      </c>
      <c r="D3000" s="12" t="inlineStr">
        <is>
          <t>Lighting, receptacles and small power branch circuits (allowance)</t>
        </is>
      </c>
      <c r="E3000" s="12" t="inlineStr"/>
      <c r="F3000" s="12" t="inlineStr">
        <is>
          <t>Maintenance building / workshop</t>
        </is>
      </c>
      <c r="G3000" s="12" t="inlineStr"/>
      <c r="H3000" s="12" t="inlineStr">
        <is>
          <t>Maintenance building / workshop</t>
        </is>
      </c>
      <c r="I3000" s="12" t="inlineStr">
        <is>
          <t>Building wire</t>
        </is>
      </c>
      <c r="J3000" s="12" t="inlineStr">
        <is>
          <t>SIMpull THHN/THWN-2 600 V 1/C Cu (lighting, receptacles, small power)</t>
        </is>
      </c>
      <c r="K3000" s="12" t="inlineStr">
        <is>
          <t>THHN|1/C|12</t>
        </is>
      </c>
      <c r="L3000" s="12" t="inlineStr">
        <is>
          <t>1/C</t>
        </is>
      </c>
      <c r="M3000" s="12" t="inlineStr">
        <is>
          <t>12</t>
        </is>
      </c>
      <c r="N3000" s="12" t="n">
        <v>1</v>
      </c>
      <c r="O3000" s="12" t="n">
        <v>1</v>
      </c>
      <c r="P3000" s="12" t="n">
        <v>277</v>
      </c>
      <c r="Q3000" s="12" t="n"/>
      <c r="R3000" s="12" t="n"/>
      <c r="S3000" s="12" t="inlineStr">
        <is>
          <t>Conduit</t>
        </is>
      </c>
      <c r="T3000" s="16" t="n">
        <v>8003</v>
      </c>
      <c r="U3000" s="16" t="n">
        <v>0</v>
      </c>
      <c r="V3000" s="16">
        <f>ROUNDUP((T3000+U3000+2*'Read Me'!$B$13)*(1+'Read Me'!$B$12),-1)</f>
        <v/>
      </c>
      <c r="W3000" s="16">
        <f>V3000*N3000*O3000</f>
        <v/>
      </c>
      <c r="X3000" s="12">
        <f>IF(LEFT(I3000,2)="MV",2*N3000*IF(L3000="1/C",O3000,1),0)</f>
        <v/>
      </c>
      <c r="Y3000" s="12">
        <f>IF(OR(LEFT(K3000,4)="LVAX",LEFT(K3000,6)="MV15AX",LEFT(K3000,4)="CTAX",LEFT(K3000,2)="W|"),2*N3000*O3000,0)</f>
        <v/>
      </c>
      <c r="Z3000" s="12" t="inlineStr">
        <is>
          <t>allowance: 1.6 ft of conductor per ft2 of floor</t>
        </is>
      </c>
      <c r="AA3000" s="12">
        <f>N3000*O3000</f>
        <v/>
      </c>
    </row>
    <row r="3001">
      <c r="A3001" s="12" t="inlineStr">
        <is>
          <t>F-L-0012</t>
        </is>
      </c>
      <c r="B3001" s="12" t="inlineStr">
        <is>
          <t>F</t>
        </is>
      </c>
      <c r="C3001" s="12" t="inlineStr">
        <is>
          <t>Controls / service</t>
        </is>
      </c>
      <c r="D3001" s="12" t="inlineStr">
        <is>
          <t>Lighting, receptacles and small power branch circuits (allowance)</t>
        </is>
      </c>
      <c r="E3001" s="12" t="inlineStr"/>
      <c r="F3001" s="12" t="inlineStr">
        <is>
          <t>Warehouse</t>
        </is>
      </c>
      <c r="G3001" s="12" t="inlineStr"/>
      <c r="H3001" s="12" t="inlineStr">
        <is>
          <t>Warehouse</t>
        </is>
      </c>
      <c r="I3001" s="12" t="inlineStr">
        <is>
          <t>Building wire</t>
        </is>
      </c>
      <c r="J3001" s="12" t="inlineStr">
        <is>
          <t>SIMpull THHN/THWN-2 600 V 1/C Cu (lighting, receptacles, small power)</t>
        </is>
      </c>
      <c r="K3001" s="12" t="inlineStr">
        <is>
          <t>THHN|1/C|12</t>
        </is>
      </c>
      <c r="L3001" s="12" t="inlineStr">
        <is>
          <t>1/C</t>
        </is>
      </c>
      <c r="M3001" s="12" t="inlineStr">
        <is>
          <t>12</t>
        </is>
      </c>
      <c r="N3001" s="12" t="n">
        <v>1</v>
      </c>
      <c r="O3001" s="12" t="n">
        <v>1</v>
      </c>
      <c r="P3001" s="12" t="n">
        <v>277</v>
      </c>
      <c r="Q3001" s="12" t="n"/>
      <c r="R3001" s="12" t="n"/>
      <c r="S3001" s="12" t="inlineStr">
        <is>
          <t>Conduit</t>
        </is>
      </c>
      <c r="T3001" s="16" t="n">
        <v>27227</v>
      </c>
      <c r="U3001" s="16" t="n">
        <v>0</v>
      </c>
      <c r="V3001" s="16">
        <f>ROUNDUP((T3001+U3001+2*'Read Me'!$B$13)*(1+'Read Me'!$B$12),-1)</f>
        <v/>
      </c>
      <c r="W3001" s="16">
        <f>V3001*N3001*O3001</f>
        <v/>
      </c>
      <c r="X3001" s="12">
        <f>IF(LEFT(I3001,2)="MV",2*N3001*IF(L3001="1/C",O3001,1),0)</f>
        <v/>
      </c>
      <c r="Y3001" s="12">
        <f>IF(OR(LEFT(K3001,4)="LVAX",LEFT(K3001,6)="MV15AX",LEFT(K3001,4)="CTAX",LEFT(K3001,2)="W|"),2*N3001*O3001,0)</f>
        <v/>
      </c>
      <c r="Z3001" s="12" t="inlineStr">
        <is>
          <t>allowance: 1.6 ft of conductor per ft2 of floor</t>
        </is>
      </c>
      <c r="AA3001" s="12">
        <f>N3001*O3001</f>
        <v/>
      </c>
    </row>
    <row r="3002">
      <c r="A3002" s="12" t="inlineStr">
        <is>
          <t>F-C-0001</t>
        </is>
      </c>
      <c r="B3002" s="12" t="inlineStr">
        <is>
          <t>F</t>
        </is>
      </c>
      <c r="C3002" s="12" t="inlineStr">
        <is>
          <t>Controls / service</t>
        </is>
      </c>
      <c r="D3002" s="12" t="inlineStr">
        <is>
          <t>Control</t>
        </is>
      </c>
      <c r="E3002" s="12" t="inlineStr">
        <is>
          <t>CR</t>
        </is>
      </c>
      <c r="F3002" s="12" t="inlineStr">
        <is>
          <t>Control / admin building (main control room)</t>
        </is>
      </c>
      <c r="G3002" s="12" t="inlineStr">
        <is>
          <t>CR</t>
        </is>
      </c>
      <c r="H3002" s="12" t="inlineStr">
        <is>
          <t>Control / admin building (main control room)</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Tray</t>
        </is>
      </c>
      <c r="T3002" s="16" t="n">
        <v>0</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F-C-0002</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Control / admin building wiring: power, lighting, fire alarm, data; 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Tray</t>
        </is>
      </c>
      <c r="T3003" s="16" t="n">
        <v>0</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F-C-0003</t>
        </is>
      </c>
      <c r="B3004" s="12" t="inlineStr">
        <is>
          <t>F</t>
        </is>
      </c>
      <c r="C3004" s="12" t="inlineStr">
        <is>
          <t>Controls / service</t>
        </is>
      </c>
      <c r="D3004" s="12" t="inlineStr">
        <is>
          <t>Control</t>
        </is>
      </c>
      <c r="E3004" s="12" t="inlineStr">
        <is>
          <t>CR</t>
        </is>
      </c>
      <c r="F3004" s="12" t="inlineStr">
        <is>
          <t>Control / admin building (main control room)</t>
        </is>
      </c>
      <c r="G3004" s="12" t="inlineStr">
        <is>
          <t>EDG-1</t>
        </is>
      </c>
      <c r="H3004" s="12" t="inlineStr">
        <is>
          <t>EDG-1: 3 MW emergency diesel generator (480 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626</v>
      </c>
      <c r="U3004" s="16" t="n">
        <v>62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F-C-0004</t>
        </is>
      </c>
      <c r="B3005" s="12" t="inlineStr">
        <is>
          <t>F</t>
        </is>
      </c>
      <c r="C3005" s="12" t="inlineStr">
        <is>
          <t>Controls / service</t>
        </is>
      </c>
      <c r="D3005" s="12" t="inlineStr">
        <is>
          <t>Control</t>
        </is>
      </c>
      <c r="E3005" s="12" t="inlineStr">
        <is>
          <t>CR</t>
        </is>
      </c>
      <c r="F3005" s="12" t="inlineStr">
        <is>
          <t>Control / admin building (main control room)</t>
        </is>
      </c>
      <c r="G3005" s="12" t="inlineStr">
        <is>
          <t>EDG-2</t>
        </is>
      </c>
      <c r="H3005" s="12" t="inlineStr">
        <is>
          <t>EDG-2: 3 MW emergency diesel generator (480 V)</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661</v>
      </c>
      <c r="U3005" s="16" t="n">
        <v>65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F-C-0005</t>
        </is>
      </c>
      <c r="B3006" s="12" t="inlineStr">
        <is>
          <t>F</t>
        </is>
      </c>
      <c r="C3006" s="12" t="inlineStr">
        <is>
          <t>Controls / service</t>
        </is>
      </c>
      <c r="D3006" s="12" t="inlineStr">
        <is>
          <t>Control</t>
        </is>
      </c>
      <c r="E3006" s="12" t="inlineStr">
        <is>
          <t>CR</t>
        </is>
      </c>
      <c r="F3006" s="12" t="inlineStr">
        <is>
          <t>Control / admin building (main control room)</t>
        </is>
      </c>
      <c r="G3006" s="12" t="inlineStr"/>
      <c r="H3006" s="12" t="inlineStr">
        <is>
          <t>Gatehouse</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38</v>
      </c>
      <c r="U3006" s="16" t="n">
        <v>32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F-C-0006</t>
        </is>
      </c>
      <c r="B3007" s="12" t="inlineStr">
        <is>
          <t>F</t>
        </is>
      </c>
      <c r="C3007" s="12" t="inlineStr">
        <is>
          <t>Controls / service</t>
        </is>
      </c>
      <c r="D3007" s="12" t="inlineStr">
        <is>
          <t>Motor 1 of 2: control / local station</t>
        </is>
      </c>
      <c r="E3007" s="12" t="inlineStr">
        <is>
          <t>MCC-C2</t>
        </is>
      </c>
      <c r="F3007" s="12" t="inlineStr">
        <is>
          <t>R1 MCC-C2</t>
        </is>
      </c>
      <c r="G3007" s="12" t="inlineStr">
        <is>
          <t>LS-1</t>
        </is>
      </c>
      <c r="H3007" s="12" t="inlineStr">
        <is>
          <t>LS-1: sanitary lift station (packaged duplex)</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744</v>
      </c>
      <c r="U3007" s="16" t="n">
        <v>173</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F-C-0007</t>
        </is>
      </c>
      <c r="B3008" s="12" t="inlineStr">
        <is>
          <t>F</t>
        </is>
      </c>
      <c r="C3008" s="12" t="inlineStr">
        <is>
          <t>Controls / service</t>
        </is>
      </c>
      <c r="D3008" s="12" t="inlineStr">
        <is>
          <t>Motor 2 of 2: control / local station</t>
        </is>
      </c>
      <c r="E3008" s="12" t="inlineStr">
        <is>
          <t>MCC-C2</t>
        </is>
      </c>
      <c r="F3008" s="12" t="inlineStr">
        <is>
          <t>R1 MCC-C2</t>
        </is>
      </c>
      <c r="G3008" s="12" t="inlineStr">
        <is>
          <t>LS-1</t>
        </is>
      </c>
      <c r="H3008" s="12" t="inlineStr">
        <is>
          <t>LS-1: sanitary lift station (packaged duplex)</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744</v>
      </c>
      <c r="U3008" s="16" t="n">
        <v>173</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F-C-0008</t>
        </is>
      </c>
      <c r="B3009" s="12" t="inlineStr">
        <is>
          <t>F</t>
        </is>
      </c>
      <c r="C3009" s="12" t="inlineStr">
        <is>
          <t>Controls / service</t>
        </is>
      </c>
      <c r="D3009" s="12" t="inlineStr">
        <is>
          <t>Control</t>
        </is>
      </c>
      <c r="E3009" s="12" t="inlineStr">
        <is>
          <t>CR</t>
        </is>
      </c>
      <c r="F3009" s="12" t="inlineStr">
        <is>
          <t>Control / admin building (main control room)</t>
        </is>
      </c>
      <c r="G3009" s="12" t="inlineStr"/>
      <c r="H3009" s="12" t="inlineStr">
        <is>
          <t xml:space="preserve">Main gate checkpoint: islands, access-control devices, CCTV and their </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33</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F-C-0009</t>
        </is>
      </c>
      <c r="B3010" s="12" t="inlineStr">
        <is>
          <t>F</t>
        </is>
      </c>
      <c r="C3010" s="12" t="inlineStr">
        <is>
          <t>Controls / service</t>
        </is>
      </c>
      <c r="D3010" s="12" t="inlineStr">
        <is>
          <t>Control</t>
        </is>
      </c>
      <c r="E3010" s="12" t="inlineStr">
        <is>
          <t>RH</t>
        </is>
      </c>
      <c r="F3010" s="12" t="inlineStr">
        <is>
          <t>RH: switchyard relay / control house (52 x 70 ft)</t>
        </is>
      </c>
      <c r="G3010" s="12" t="inlineStr"/>
      <c r="H3010" s="12" t="inlineStr">
        <is>
          <t>Main gate: sliding gate, barrier arms, card readers, entrance sign</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6" t="n">
        <v>900</v>
      </c>
      <c r="U3010" s="16" t="n">
        <v>237</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F-C-0010</t>
        </is>
      </c>
      <c r="B3011" s="12" t="inlineStr">
        <is>
          <t>F</t>
        </is>
      </c>
      <c r="C3011" s="12" t="inlineStr">
        <is>
          <t>Controls / service</t>
        </is>
      </c>
      <c r="D3011" s="12" t="inlineStr">
        <is>
          <t>Control</t>
        </is>
      </c>
      <c r="E3011" s="12" t="inlineStr">
        <is>
          <t>CR</t>
        </is>
      </c>
      <c r="F3011" s="12" t="inlineStr">
        <is>
          <t>Control / admin building (main control room)</t>
        </is>
      </c>
      <c r="G3011" s="12" t="inlineStr"/>
      <c r="H3011" s="12" t="inlineStr">
        <is>
          <t>Maintenance building / workshop</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6" t="n">
        <v>356</v>
      </c>
      <c r="U3011" s="16" t="n">
        <v>32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F-C-0011</t>
        </is>
      </c>
      <c r="B3012" s="12" t="inlineStr">
        <is>
          <t>F</t>
        </is>
      </c>
      <c r="C3012" s="12" t="inlineStr">
        <is>
          <t>Controls / service</t>
        </is>
      </c>
      <c r="D3012" s="12" t="inlineStr">
        <is>
          <t>Control</t>
        </is>
      </c>
      <c r="E3012" s="12" t="inlineStr">
        <is>
          <t>CR</t>
        </is>
      </c>
      <c r="F3012" s="12" t="inlineStr">
        <is>
          <t>Control / admin building (main control room)</t>
        </is>
      </c>
      <c r="G3012" s="12" t="inlineStr"/>
      <c r="H3012" s="12" t="inlineStr">
        <is>
          <t>Perimeter fence barbed-wire arms and CCTV cameras</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2486</v>
      </c>
      <c r="U3012" s="16" t="n">
        <v>264</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F-C-0012</t>
        </is>
      </c>
      <c r="B3013" s="12" t="inlineStr">
        <is>
          <t>F</t>
        </is>
      </c>
      <c r="C3013" s="12" t="inlineStr">
        <is>
          <t>Controls / service</t>
        </is>
      </c>
      <c r="D3013" s="12" t="inlineStr">
        <is>
          <t>Motor 1 of 2: control / local station</t>
        </is>
      </c>
      <c r="E3013" s="12" t="inlineStr">
        <is>
          <t>MCC-C2</t>
        </is>
      </c>
      <c r="F3013" s="12" t="inlineStr">
        <is>
          <t>R1 MCC-C2</t>
        </is>
      </c>
      <c r="G3013" s="12" t="inlineStr"/>
      <c r="H3013" s="12" t="inlineStr">
        <is>
          <t>Stormwater pump station (2 x 100% submersible pumps)</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6" t="n">
        <v>1832</v>
      </c>
      <c r="U3013" s="16" t="n">
        <v>145</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F-C-0013</t>
        </is>
      </c>
      <c r="B3014" s="12" t="inlineStr">
        <is>
          <t>F</t>
        </is>
      </c>
      <c r="C3014" s="12" t="inlineStr">
        <is>
          <t>Controls / service</t>
        </is>
      </c>
      <c r="D3014" s="12" t="inlineStr">
        <is>
          <t>Motor 2 of 2: control / local station</t>
        </is>
      </c>
      <c r="E3014" s="12" t="inlineStr">
        <is>
          <t>MCC-C2</t>
        </is>
      </c>
      <c r="F3014" s="12" t="inlineStr">
        <is>
          <t>R1 MCC-C2</t>
        </is>
      </c>
      <c r="G3014" s="12" t="inlineStr"/>
      <c r="H3014" s="12" t="inlineStr">
        <is>
          <t>Stormwater pump station (2 x 100% submersible pumps)</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6" t="n">
        <v>1832</v>
      </c>
      <c r="U3014" s="16" t="n">
        <v>145</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F-C-0014</t>
        </is>
      </c>
      <c r="B3015" s="12" t="inlineStr">
        <is>
          <t>F</t>
        </is>
      </c>
      <c r="C3015" s="12" t="inlineStr">
        <is>
          <t>Controls / service</t>
        </is>
      </c>
      <c r="D3015" s="12" t="inlineStr">
        <is>
          <t>Control</t>
        </is>
      </c>
      <c r="E3015" s="12" t="inlineStr">
        <is>
          <t>CR</t>
        </is>
      </c>
      <c r="F3015" s="12" t="inlineStr">
        <is>
          <t>Control / admin building (main control room)</t>
        </is>
      </c>
      <c r="G3015" s="12" t="inlineStr"/>
      <c r="H3015" s="12" t="inlineStr">
        <is>
          <t>Warehouse</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F-F-0001</t>
        </is>
      </c>
      <c r="B3016" s="12" t="inlineStr">
        <is>
          <t>F</t>
        </is>
      </c>
      <c r="C3016" s="12" t="inlineStr">
        <is>
          <t>Controls / service</t>
        </is>
      </c>
      <c r="D3016" s="12" t="inlineStr">
        <is>
          <t>Plant network / DCS fibre</t>
        </is>
      </c>
      <c r="E3016" s="12" t="inlineStr">
        <is>
          <t>CR</t>
        </is>
      </c>
      <c r="F3016" s="12" t="inlineStr">
        <is>
          <t>Control / admin building (main control room)</t>
        </is>
      </c>
      <c r="G3016" s="12" t="inlineStr">
        <is>
          <t>CR</t>
        </is>
      </c>
      <c r="H3016" s="12" t="inlineStr">
        <is>
          <t>Control / admin building (main control room)</t>
        </is>
      </c>
      <c r="I3016" s="12" t="inlineStr">
        <is>
          <t>Fibre / data</t>
        </is>
      </c>
      <c r="J3016" s="12" t="inlineStr">
        <is>
          <t>Fibre optic, single-mode, 12-fibre, armored, orange jacket</t>
        </is>
      </c>
      <c r="K3016" s="12" t="inlineStr">
        <is>
          <t>FO|12 SM|-</t>
        </is>
      </c>
      <c r="L3016" s="12" t="inlineStr">
        <is>
          <t>12 SM</t>
        </is>
      </c>
      <c r="M3016" s="12" t="inlineStr">
        <is>
          <t>-</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F-F-0002</t>
        </is>
      </c>
      <c r="B3017" s="12" t="inlineStr">
        <is>
          <t>F</t>
        </is>
      </c>
      <c r="C3017" s="12" t="inlineStr">
        <is>
          <t>Controls / service</t>
        </is>
      </c>
      <c r="D3017" s="12" t="inlineStr">
        <is>
          <t>Plant network / DCS fibre</t>
        </is>
      </c>
      <c r="E3017" s="12" t="inlineStr">
        <is>
          <t>CR</t>
        </is>
      </c>
      <c r="F3017" s="12" t="inlineStr">
        <is>
          <t>Control / admin building (main control room)</t>
        </is>
      </c>
      <c r="G3017" s="12" t="inlineStr"/>
      <c r="H3017" s="12" t="inlineStr">
        <is>
          <t>Control / admin building wiring: power, lighting, fire alarm, data; op</t>
        </is>
      </c>
      <c r="I3017" s="12" t="inlineStr">
        <is>
          <t>Fibre / data</t>
        </is>
      </c>
      <c r="J3017" s="12" t="inlineStr">
        <is>
          <t>Fibre optic, single-mode, 12-fibre, armored, orange jacket</t>
        </is>
      </c>
      <c r="K3017" s="12" t="inlineStr">
        <is>
          <t>FO|12 SM|-</t>
        </is>
      </c>
      <c r="L3017" s="12" t="inlineStr">
        <is>
          <t>12 SM</t>
        </is>
      </c>
      <c r="M3017" s="12" t="inlineStr">
        <is>
          <t>-</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F-F-0003</t>
        </is>
      </c>
      <c r="B3018" s="12" t="inlineStr">
        <is>
          <t>F</t>
        </is>
      </c>
      <c r="C3018" s="12" t="inlineStr">
        <is>
          <t>Controls / service</t>
        </is>
      </c>
      <c r="D3018" s="12" t="inlineStr">
        <is>
          <t>Single-mode fibre MDF to MCR consoles / video wall</t>
        </is>
      </c>
      <c r="E3018" s="12" t="inlineStr">
        <is>
          <t>MDF</t>
        </is>
      </c>
      <c r="F3018" s="12" t="inlineStr">
        <is>
          <t>Control / admin building: MDF</t>
        </is>
      </c>
      <c r="G3018" s="12" t="inlineStr">
        <is>
          <t>MCR consoles / video wall</t>
        </is>
      </c>
      <c r="H3018" s="12" t="inlineStr">
        <is>
          <t>Control / admin building: MCR consoles / video wall</t>
        </is>
      </c>
      <c r="I3018" s="12" t="inlineStr">
        <is>
          <t>Fibre / data</t>
        </is>
      </c>
      <c r="J3018" s="12" t="inlineStr">
        <is>
          <t>Fibre optic, single-mode, 12-fibre, armored, orange jacket</t>
        </is>
      </c>
      <c r="K3018" s="12" t="inlineStr">
        <is>
          <t>FO|12 SM|-</t>
        </is>
      </c>
      <c r="L3018" s="12" t="inlineStr">
        <is>
          <t>12 SM</t>
        </is>
      </c>
      <c r="M3018" s="12" t="inlineStr">
        <is>
          <t>-</t>
        </is>
      </c>
      <c r="N3018" s="12" t="n">
        <v>1</v>
      </c>
      <c r="O3018" s="12" t="n">
        <v>1</v>
      </c>
      <c r="P3018" s="12" t="n"/>
      <c r="Q3018" s="12" t="n"/>
      <c r="R3018" s="12" t="n"/>
      <c r="S3018" s="12" t="inlineStr">
        <is>
          <t>Basket tray</t>
        </is>
      </c>
      <c r="T3018" s="16" t="n">
        <v>121</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in innerduct</t>
        </is>
      </c>
      <c r="AA3018" s="12">
        <f>N3018*O3018</f>
        <v/>
      </c>
    </row>
    <row r="3019">
      <c r="A3019" s="12" t="inlineStr">
        <is>
          <t>F-F-0004</t>
        </is>
      </c>
      <c r="B3019" s="12" t="inlineStr">
        <is>
          <t>F</t>
        </is>
      </c>
      <c r="C3019" s="12" t="inlineStr">
        <is>
          <t>Controls / service</t>
        </is>
      </c>
      <c r="D3019" s="12" t="inlineStr">
        <is>
          <t>Cat 6A data drops (116 + 48 server-room links)</t>
        </is>
      </c>
      <c r="E3019" s="12" t="inlineStr">
        <is>
          <t>MDF</t>
        </is>
      </c>
      <c r="F3019" s="12" t="inlineStr">
        <is>
          <t>Control / admin building: MDF</t>
        </is>
      </c>
      <c r="G3019" s="12" t="inlineStr">
        <is>
          <t>data drops</t>
        </is>
      </c>
      <c r="H3019" s="12" t="inlineStr">
        <is>
          <t>Control / admin building: data drops</t>
        </is>
      </c>
      <c r="I3019" s="12" t="inlineStr">
        <is>
          <t>Fibre / data</t>
        </is>
      </c>
      <c r="J3019" s="12" t="inlineStr">
        <is>
          <t>Cat 6A U/FTP 4-pair 23 AWG, plenum CMP (data drops)</t>
        </is>
      </c>
      <c r="K3019" s="12" t="inlineStr">
        <is>
          <t>CAT6|4-pr|23</t>
        </is>
      </c>
      <c r="L3019" s="12" t="inlineStr">
        <is>
          <t>4-pr</t>
        </is>
      </c>
      <c r="M3019" s="12" t="inlineStr">
        <is>
          <t>23</t>
        </is>
      </c>
      <c r="N3019" s="12" t="n">
        <v>1</v>
      </c>
      <c r="O3019" s="12" t="n">
        <v>1</v>
      </c>
      <c r="P3019" s="12" t="n"/>
      <c r="Q3019" s="12" t="n"/>
      <c r="R3019" s="12" t="n"/>
      <c r="S3019" s="12" t="inlineStr">
        <is>
          <t>Basket tray</t>
        </is>
      </c>
      <c r="T3019" s="16" t="n">
        <v>17332</v>
      </c>
      <c r="U3019" s="16" t="n">
        <v>0</v>
      </c>
      <c r="V3019" s="16">
        <f>ROUNDUP((T3019+U3019+2*'Read Me'!$B$13)*(1+'Read Me'!$B$12),-1)</f>
        <v/>
      </c>
      <c r="W3019" s="16">
        <f>V3019*N3019*O3019</f>
        <v/>
      </c>
      <c r="X3019" s="12">
        <f>IF(LEFT(I3019,2)="MV",2*N3019*IF(L3019="1/C",O3019,1),0)</f>
        <v/>
      </c>
      <c r="Y3019" s="12">
        <f>IF(OR(LEFT(K3019,4)="LVAX",LEFT(K3019,6)="MV15AX",LEFT(K3019,4)="CTAX",LEFT(K3019,2)="W|"),2*N3019*O3019,0)</f>
        <v/>
      </c>
      <c r="Z3019" s="12" t="inlineStr">
        <is>
          <t>basket tray + J-hooks, measured</t>
        </is>
      </c>
      <c r="AA3019" s="12">
        <f>N3019*O3019</f>
        <v/>
      </c>
    </row>
    <row r="3020">
      <c r="A3020" s="12" t="inlineStr">
        <is>
          <t>F-F-0005</t>
        </is>
      </c>
      <c r="B3020" s="12" t="inlineStr">
        <is>
          <t>F</t>
        </is>
      </c>
      <c r="C3020" s="12" t="inlineStr">
        <is>
          <t>Controls / service</t>
        </is>
      </c>
      <c r="D3020" s="12" t="inlineStr">
        <is>
          <t>Single-mode fibre MDF to server room</t>
        </is>
      </c>
      <c r="E3020" s="12" t="inlineStr">
        <is>
          <t>MDF</t>
        </is>
      </c>
      <c r="F3020" s="12" t="inlineStr">
        <is>
          <t>Control / admin building: MDF</t>
        </is>
      </c>
      <c r="G3020" s="12" t="inlineStr">
        <is>
          <t>server room</t>
        </is>
      </c>
      <c r="H3020" s="12" t="inlineStr">
        <is>
          <t>Control / admin building: server room</t>
        </is>
      </c>
      <c r="I3020" s="12" t="inlineStr">
        <is>
          <t>Fibre / data</t>
        </is>
      </c>
      <c r="J3020" s="12" t="inlineStr">
        <is>
          <t>Fibre optic, single-mode, 12-fibre, armored, orange jacket</t>
        </is>
      </c>
      <c r="K3020" s="12" t="inlineStr">
        <is>
          <t>FO|12 SM|-</t>
        </is>
      </c>
      <c r="L3020" s="12" t="inlineStr">
        <is>
          <t>12 SM</t>
        </is>
      </c>
      <c r="M3020" s="12" t="inlineStr">
        <is>
          <t>-</t>
        </is>
      </c>
      <c r="N3020" s="12" t="n">
        <v>1</v>
      </c>
      <c r="O3020" s="12" t="n">
        <v>1</v>
      </c>
      <c r="P3020" s="12" t="n"/>
      <c r="Q3020" s="12" t="n"/>
      <c r="R3020" s="12" t="n"/>
      <c r="S3020" s="12" t="inlineStr">
        <is>
          <t>Basket tray</t>
        </is>
      </c>
      <c r="T3020" s="16" t="n">
        <v>63</v>
      </c>
      <c r="U3020" s="16" t="n">
        <v>0</v>
      </c>
      <c r="V3020" s="16">
        <f>ROUNDUP((T3020+U3020+2*'Read Me'!$B$13)*(1+'Read Me'!$B$12),-1)</f>
        <v/>
      </c>
      <c r="W3020" s="16">
        <f>V3020*N3020*O3020</f>
        <v/>
      </c>
      <c r="X3020" s="12">
        <f>IF(LEFT(I3020,2)="MV",2*N3020*IF(L3020="1/C",O3020,1),0)</f>
        <v/>
      </c>
      <c r="Y3020" s="12">
        <f>IF(OR(LEFT(K3020,4)="LVAX",LEFT(K3020,6)="MV15AX",LEFT(K3020,4)="CTAX",LEFT(K3020,2)="W|"),2*N3020*O3020,0)</f>
        <v/>
      </c>
      <c r="Z3020" s="12" t="inlineStr">
        <is>
          <t>in innerduct</t>
        </is>
      </c>
      <c r="AA3020" s="12">
        <f>N3020*O3020</f>
        <v/>
      </c>
    </row>
    <row r="3021">
      <c r="A3021" s="12" t="inlineStr">
        <is>
          <t>F-F-0006</t>
        </is>
      </c>
      <c r="B3021" s="12" t="inlineStr">
        <is>
          <t>F</t>
        </is>
      </c>
      <c r="C3021" s="12" t="inlineStr">
        <is>
          <t>Controls / service</t>
        </is>
      </c>
      <c r="D3021" s="12" t="inlineStr">
        <is>
          <t>Plant network / DCS fibre</t>
        </is>
      </c>
      <c r="E3021" s="12" t="inlineStr">
        <is>
          <t>CR</t>
        </is>
      </c>
      <c r="F3021" s="12" t="inlineStr">
        <is>
          <t>Control / admin building (main control room)</t>
        </is>
      </c>
      <c r="G3021" s="12" t="inlineStr"/>
      <c r="H3021" s="12" t="inlineStr">
        <is>
          <t>Gatehouse</t>
        </is>
      </c>
      <c r="I3021" s="12" t="inlineStr">
        <is>
          <t>Fibre / data</t>
        </is>
      </c>
      <c r="J3021" s="12" t="inlineStr">
        <is>
          <t>Fibre optic, single-mode, 12-fibre, armored, orange jacket</t>
        </is>
      </c>
      <c r="K3021" s="12" t="inlineStr">
        <is>
          <t>FO|12 SM|-</t>
        </is>
      </c>
      <c r="L3021" s="12" t="inlineStr">
        <is>
          <t>12 SM</t>
        </is>
      </c>
      <c r="M3021" s="12" t="inlineStr">
        <is>
          <t>-</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F-F-0007</t>
        </is>
      </c>
      <c r="B3022" s="12" t="inlineStr">
        <is>
          <t>F</t>
        </is>
      </c>
      <c r="C3022" s="12" t="inlineStr">
        <is>
          <t>Controls / service</t>
        </is>
      </c>
      <c r="D3022" s="12" t="inlineStr">
        <is>
          <t>Plant network / DCS fibre</t>
        </is>
      </c>
      <c r="E3022" s="12" t="inlineStr">
        <is>
          <t>CR</t>
        </is>
      </c>
      <c r="F3022" s="12" t="inlineStr">
        <is>
          <t>Control / admin building (main control room)</t>
        </is>
      </c>
      <c r="G3022" s="12" t="inlineStr"/>
      <c r="H3022" s="12" t="inlineStr">
        <is>
          <t>Maintenance building / workshop</t>
        </is>
      </c>
      <c r="I3022" s="12" t="inlineStr">
        <is>
          <t>Fibre / data</t>
        </is>
      </c>
      <c r="J3022" s="12" t="inlineStr">
        <is>
          <t>Fibre optic, single-mode, 12-fibre, armored, orange jacket</t>
        </is>
      </c>
      <c r="K3022" s="12" t="inlineStr">
        <is>
          <t>FO|12 SM|-</t>
        </is>
      </c>
      <c r="L3022" s="12" t="inlineStr">
        <is>
          <t>12 SM</t>
        </is>
      </c>
      <c r="M3022" s="12" t="inlineStr">
        <is>
          <t>-</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F-F-0008</t>
        </is>
      </c>
      <c r="B3023" s="12" t="inlineStr">
        <is>
          <t>F</t>
        </is>
      </c>
      <c r="C3023" s="12" t="inlineStr">
        <is>
          <t>Controls / service</t>
        </is>
      </c>
      <c r="D3023" s="12" t="inlineStr">
        <is>
          <t>Plant network / DCS fibre</t>
        </is>
      </c>
      <c r="E3023" s="12" t="inlineStr">
        <is>
          <t>CR</t>
        </is>
      </c>
      <c r="F3023" s="12" t="inlineStr">
        <is>
          <t>Control / admin building (main control room)</t>
        </is>
      </c>
      <c r="G3023" s="12" t="inlineStr"/>
      <c r="H3023" s="12" t="inlineStr">
        <is>
          <t>Warehouse</t>
        </is>
      </c>
      <c r="I3023" s="12" t="inlineStr">
        <is>
          <t>Fibre / data</t>
        </is>
      </c>
      <c r="J3023" s="12" t="inlineStr">
        <is>
          <t>Fibre optic, single-mode, 12-fibre, armored, orange jacket</t>
        </is>
      </c>
      <c r="K3023" s="12" t="inlineStr">
        <is>
          <t>FO|12 SM|-</t>
        </is>
      </c>
      <c r="L3023" s="12" t="inlineStr">
        <is>
          <t>12 SM</t>
        </is>
      </c>
      <c r="M3023" s="12" t="inlineStr">
        <is>
          <t>-</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F-FA-0001</t>
        </is>
      </c>
      <c r="B3024" s="12" t="inlineStr">
        <is>
          <t>F</t>
        </is>
      </c>
      <c r="C3024" s="12" t="inlineStr">
        <is>
          <t>Controls / service</t>
        </is>
      </c>
      <c r="D3024" s="12" t="inlineStr">
        <is>
          <t>Fire alarm / F&amp;G loop (to the local FACP / F&amp;G node)</t>
        </is>
      </c>
      <c r="E3024" s="12" t="inlineStr">
        <is>
          <t>CR</t>
        </is>
      </c>
      <c r="F3024" s="12" t="inlineStr">
        <is>
          <t>Control / admin building (main control room)</t>
        </is>
      </c>
      <c r="G3024" s="12" t="inlineStr">
        <is>
          <t>CR</t>
        </is>
      </c>
      <c r="H3024" s="12" t="inlineStr">
        <is>
          <t>Control / admin building (main control room)</t>
        </is>
      </c>
      <c r="I3024" s="12" t="inlineStr">
        <is>
          <t>Fire alarm</t>
        </is>
      </c>
      <c r="J3024" s="12" t="inlineStr">
        <is>
          <t>Fire alarm FPLR 2/C #14 shielded, red jacket (NEC 760)</t>
        </is>
      </c>
      <c r="K3024" s="12" t="inlineStr">
        <is>
          <t>FA|2/C|14</t>
        </is>
      </c>
      <c r="L3024" s="12" t="inlineStr">
        <is>
          <t>2/C</t>
        </is>
      </c>
      <c r="M3024" s="12" t="inlineStr">
        <is>
          <t>14</t>
        </is>
      </c>
      <c r="N3024" s="12" t="n">
        <v>1</v>
      </c>
      <c r="O3024" s="12" t="n">
        <v>1</v>
      </c>
      <c r="P3024" s="12" t="n"/>
      <c r="Q3024" s="12" t="n"/>
      <c r="R3024" s="12" t="n"/>
      <c r="S3024" s="12" t="inlineStr">
        <is>
          <t>Tray</t>
        </is>
      </c>
      <c r="T3024" s="16" t="n">
        <v>0</v>
      </c>
      <c r="U3024" s="16" t="n">
        <v>32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F-FA-0002</t>
        </is>
      </c>
      <c r="B3025" s="12" t="inlineStr">
        <is>
          <t>F</t>
        </is>
      </c>
      <c r="C3025" s="12" t="inlineStr">
        <is>
          <t>Controls / service</t>
        </is>
      </c>
      <c r="D3025" s="12" t="inlineStr">
        <is>
          <t>Fire alarm / F&amp;G loop (to the local FACP / F&amp;G node)</t>
        </is>
      </c>
      <c r="E3025" s="12" t="inlineStr">
        <is>
          <t>CR</t>
        </is>
      </c>
      <c r="F3025" s="12" t="inlineStr">
        <is>
          <t>Control / admin building (main control room)</t>
        </is>
      </c>
      <c r="G3025" s="12" t="inlineStr"/>
      <c r="H3025" s="12" t="inlineStr">
        <is>
          <t>Control / admin building wiring: power, lighting, fire alarm, data; op</t>
        </is>
      </c>
      <c r="I3025" s="12" t="inlineStr">
        <is>
          <t>Fire alarm</t>
        </is>
      </c>
      <c r="J3025" s="12" t="inlineStr">
        <is>
          <t>Fire alarm FPLR 2/C #14 shielded, red jacket (NEC 760)</t>
        </is>
      </c>
      <c r="K3025" s="12" t="inlineStr">
        <is>
          <t>FA|2/C|14</t>
        </is>
      </c>
      <c r="L3025" s="12" t="inlineStr">
        <is>
          <t>2/C</t>
        </is>
      </c>
      <c r="M3025" s="12" t="inlineStr">
        <is>
          <t>14</t>
        </is>
      </c>
      <c r="N3025" s="12" t="n">
        <v>1</v>
      </c>
      <c r="O3025" s="12" t="n">
        <v>1</v>
      </c>
      <c r="P3025" s="12" t="n"/>
      <c r="Q3025" s="12" t="n"/>
      <c r="R3025" s="12" t="n"/>
      <c r="S3025" s="12" t="inlineStr">
        <is>
          <t>Tray</t>
        </is>
      </c>
      <c r="T3025" s="16" t="n">
        <v>0</v>
      </c>
      <c r="U3025" s="16" t="n">
        <v>32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F-FA-0003</t>
        </is>
      </c>
      <c r="B3026" s="12" t="inlineStr">
        <is>
          <t>F</t>
        </is>
      </c>
      <c r="C3026" s="12" t="inlineStr">
        <is>
          <t>Controls / service</t>
        </is>
      </c>
      <c r="D3026" s="12" t="inlineStr">
        <is>
          <t>Fire-alarm SLC / NAC loop: detectors, horn / strobes, pull stations</t>
        </is>
      </c>
      <c r="E3026" s="12" t="inlineStr">
        <is>
          <t>FACP (MCR)</t>
        </is>
      </c>
      <c r="F3026" s="12" t="inlineStr">
        <is>
          <t>Control / admin building: FACP (MCR)</t>
        </is>
      </c>
      <c r="G3026" s="12" t="inlineStr">
        <is>
          <t>fire-alarm loop</t>
        </is>
      </c>
      <c r="H3026" s="12" t="inlineStr">
        <is>
          <t>Control / admin building: fire-alarm loop</t>
        </is>
      </c>
      <c r="I3026" s="12" t="inlineStr">
        <is>
          <t>Fire alarm</t>
        </is>
      </c>
      <c r="J3026" s="12" t="inlineStr">
        <is>
          <t>Fire alarm FPLR 2/C #14 shielded, red jacket (NEC 760)</t>
        </is>
      </c>
      <c r="K3026" s="12" t="inlineStr">
        <is>
          <t>FA|2/C|14</t>
        </is>
      </c>
      <c r="L3026" s="12" t="inlineStr">
        <is>
          <t>2/C</t>
        </is>
      </c>
      <c r="M3026" s="12" t="inlineStr">
        <is>
          <t>14</t>
        </is>
      </c>
      <c r="N3026" s="12" t="n">
        <v>1</v>
      </c>
      <c r="O3026" s="12" t="n">
        <v>1</v>
      </c>
      <c r="P3026" s="12" t="n">
        <v>24</v>
      </c>
      <c r="Q3026" s="12" t="n"/>
      <c r="R3026" s="12" t="n"/>
      <c r="S3026" s="12" t="inlineStr">
        <is>
          <t>J-hooks</t>
        </is>
      </c>
      <c r="T3026" s="16" t="n">
        <v>830</v>
      </c>
      <c r="U3026" s="16" t="n">
        <v>0</v>
      </c>
      <c r="V3026" s="16">
        <f>ROUNDUP((T3026+U3026+2*'Read Me'!$B$13)*(1+'Read Me'!$B$12),-1)</f>
        <v/>
      </c>
      <c r="W3026" s="16">
        <f>V3026*N3026*O3026</f>
        <v/>
      </c>
      <c r="X3026" s="12">
        <f>IF(LEFT(I3026,2)="MV",2*N3026*IF(L3026="1/C",O3026,1),0)</f>
        <v/>
      </c>
      <c r="Y3026" s="12">
        <f>IF(OR(LEFT(K3026,4)="LVAX",LEFT(K3026,6)="MV15AX",LEFT(K3026,4)="CTAX",LEFT(K3026,2)="W|"),2*N3026*O3026,0)</f>
        <v/>
      </c>
      <c r="Z3026" s="12" t="inlineStr">
        <is>
          <t>FPLR on J-hooks, measured</t>
        </is>
      </c>
      <c r="AA3026" s="12">
        <f>N3026*O3026</f>
        <v/>
      </c>
    </row>
    <row r="3027">
      <c r="A3027" s="12" t="inlineStr">
        <is>
          <t>F-FA-0004</t>
        </is>
      </c>
      <c r="B3027" s="12" t="inlineStr">
        <is>
          <t>F</t>
        </is>
      </c>
      <c r="C3027" s="12" t="inlineStr">
        <is>
          <t>Controls / service</t>
        </is>
      </c>
      <c r="D3027" s="12" t="inlineStr">
        <is>
          <t>Fire alarm / F&amp;G loop (to the local FACP / F&amp;G node)</t>
        </is>
      </c>
      <c r="E3027" s="12" t="inlineStr">
        <is>
          <t>CR</t>
        </is>
      </c>
      <c r="F3027" s="12" t="inlineStr">
        <is>
          <t>Control / admin building (main control room)</t>
        </is>
      </c>
      <c r="G3027" s="12" t="inlineStr">
        <is>
          <t>EDG-1</t>
        </is>
      </c>
      <c r="H3027" s="12" t="inlineStr">
        <is>
          <t>EDG-1: 3 MW emergency diesel generator (480 V)</t>
        </is>
      </c>
      <c r="I3027" s="12" t="inlineStr">
        <is>
          <t>Fire alarm</t>
        </is>
      </c>
      <c r="J3027" s="12" t="inlineStr">
        <is>
          <t>Fire alarm FPLR 2/C #14 shielded, red jacket (NEC 760)</t>
        </is>
      </c>
      <c r="K3027" s="12" t="inlineStr">
        <is>
          <t>FA|2/C|14</t>
        </is>
      </c>
      <c r="L3027" s="12" t="inlineStr">
        <is>
          <t>2/C</t>
        </is>
      </c>
      <c r="M3027" s="12" t="inlineStr">
        <is>
          <t>14</t>
        </is>
      </c>
      <c r="N3027" s="12" t="n">
        <v>1</v>
      </c>
      <c r="O3027" s="12" t="n">
        <v>1</v>
      </c>
      <c r="P3027" s="12" t="n"/>
      <c r="Q3027" s="12" t="n"/>
      <c r="R3027" s="12" t="n"/>
      <c r="S3027" s="12" t="inlineStr">
        <is>
          <t>Duct bank</t>
        </is>
      </c>
      <c r="T3027" s="16" t="n">
        <v>626</v>
      </c>
      <c r="U3027" s="16" t="n">
        <v>62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F-FA-0005</t>
        </is>
      </c>
      <c r="B3028" s="12" t="inlineStr">
        <is>
          <t>F</t>
        </is>
      </c>
      <c r="C3028" s="12" t="inlineStr">
        <is>
          <t>Controls / service</t>
        </is>
      </c>
      <c r="D3028" s="12" t="inlineStr">
        <is>
          <t>Fire alarm / F&amp;G loop (to the local FACP / F&amp;G node)</t>
        </is>
      </c>
      <c r="E3028" s="12" t="inlineStr">
        <is>
          <t>CR</t>
        </is>
      </c>
      <c r="F3028" s="12" t="inlineStr">
        <is>
          <t>Control / admin building (main control room)</t>
        </is>
      </c>
      <c r="G3028" s="12" t="inlineStr">
        <is>
          <t>EDG-2</t>
        </is>
      </c>
      <c r="H3028" s="12" t="inlineStr">
        <is>
          <t>EDG-2: 3 MW emergency diesel generator (480 V)</t>
        </is>
      </c>
      <c r="I3028" s="12" t="inlineStr">
        <is>
          <t>Fire alarm</t>
        </is>
      </c>
      <c r="J3028" s="12" t="inlineStr">
        <is>
          <t>Fire alarm FPLR 2/C #14 shielded, red jacket (NEC 760)</t>
        </is>
      </c>
      <c r="K3028" s="12" t="inlineStr">
        <is>
          <t>FA|2/C|14</t>
        </is>
      </c>
      <c r="L3028" s="12" t="inlineStr">
        <is>
          <t>2/C</t>
        </is>
      </c>
      <c r="M3028" s="12" t="inlineStr">
        <is>
          <t>14</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F-FA-0006</t>
        </is>
      </c>
      <c r="B3029" s="12" t="inlineStr">
        <is>
          <t>F</t>
        </is>
      </c>
      <c r="C3029" s="12" t="inlineStr">
        <is>
          <t>Controls / service</t>
        </is>
      </c>
      <c r="D3029" s="12" t="inlineStr">
        <is>
          <t>Fire alarm / F&amp;G loop (to the local FACP / F&amp;G node)</t>
        </is>
      </c>
      <c r="E3029" s="12" t="inlineStr">
        <is>
          <t>CR</t>
        </is>
      </c>
      <c r="F3029" s="12" t="inlineStr">
        <is>
          <t>Control / admin building (main control room)</t>
        </is>
      </c>
      <c r="G3029" s="12" t="inlineStr"/>
      <c r="H3029" s="12" t="inlineStr">
        <is>
          <t>Gatehouse</t>
        </is>
      </c>
      <c r="I3029" s="12" t="inlineStr">
        <is>
          <t>Fire alarm</t>
        </is>
      </c>
      <c r="J3029" s="12" t="inlineStr">
        <is>
          <t>Fire alarm FPLR 2/C #14 shielded, red jacket (NEC 760)</t>
        </is>
      </c>
      <c r="K3029" s="12" t="inlineStr">
        <is>
          <t>FA|2/C|14</t>
        </is>
      </c>
      <c r="L3029" s="12" t="inlineStr">
        <is>
          <t>2/C</t>
        </is>
      </c>
      <c r="M3029" s="12" t="inlineStr">
        <is>
          <t>14</t>
        </is>
      </c>
      <c r="N3029" s="12" t="n">
        <v>1</v>
      </c>
      <c r="O3029" s="12" t="n">
        <v>1</v>
      </c>
      <c r="P3029" s="12" t="n"/>
      <c r="Q3029" s="12" t="n"/>
      <c r="R3029" s="12" t="n"/>
      <c r="S3029" s="12" t="inlineStr">
        <is>
          <t>Duct bank</t>
        </is>
      </c>
      <c r="T3029" s="16" t="n">
        <v>38</v>
      </c>
      <c r="U3029" s="16" t="n">
        <v>32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F-FA-0007</t>
        </is>
      </c>
      <c r="B3030" s="12" t="inlineStr">
        <is>
          <t>F</t>
        </is>
      </c>
      <c r="C3030" s="12" t="inlineStr">
        <is>
          <t>Controls / service</t>
        </is>
      </c>
      <c r="D3030" s="12" t="inlineStr">
        <is>
          <t>Fire alarm / F&amp;G loop (to the local FACP / F&amp;G node)</t>
        </is>
      </c>
      <c r="E3030" s="12" t="inlineStr">
        <is>
          <t>CR</t>
        </is>
      </c>
      <c r="F3030" s="12" t="inlineStr">
        <is>
          <t>Control / admin building (main control room)</t>
        </is>
      </c>
      <c r="G3030" s="12" t="inlineStr"/>
      <c r="H3030" s="12" t="inlineStr">
        <is>
          <t>Maintenance building / workshop</t>
        </is>
      </c>
      <c r="I3030" s="12" t="inlineStr">
        <is>
          <t>Fire alarm</t>
        </is>
      </c>
      <c r="J3030" s="12" t="inlineStr">
        <is>
          <t>Fire alarm FPLR 2/C #14 shielded, red jacket (NEC 760)</t>
        </is>
      </c>
      <c r="K3030" s="12" t="inlineStr">
        <is>
          <t>FA|2/C|14</t>
        </is>
      </c>
      <c r="L3030" s="12" t="inlineStr">
        <is>
          <t>2/C</t>
        </is>
      </c>
      <c r="M3030" s="12" t="inlineStr">
        <is>
          <t>14</t>
        </is>
      </c>
      <c r="N3030" s="12" t="n">
        <v>1</v>
      </c>
      <c r="O3030" s="12" t="n">
        <v>1</v>
      </c>
      <c r="P3030" s="12" t="n"/>
      <c r="Q3030" s="12" t="n"/>
      <c r="R3030" s="12" t="n"/>
      <c r="S3030" s="12" t="inlineStr">
        <is>
          <t>Duct bank</t>
        </is>
      </c>
      <c r="T3030" s="16" t="n">
        <v>356</v>
      </c>
      <c r="U3030" s="16" t="n">
        <v>32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F-FA-0008</t>
        </is>
      </c>
      <c r="B3031" s="12" t="inlineStr">
        <is>
          <t>F</t>
        </is>
      </c>
      <c r="C3031" s="12" t="inlineStr">
        <is>
          <t>Controls / service</t>
        </is>
      </c>
      <c r="D3031" s="12" t="inlineStr">
        <is>
          <t>Fire alarm / F&amp;G loop (to the local FACP / F&amp;G node)</t>
        </is>
      </c>
      <c r="E3031" s="12" t="inlineStr">
        <is>
          <t>CR</t>
        </is>
      </c>
      <c r="F3031" s="12" t="inlineStr">
        <is>
          <t>Control / admin building (main control room)</t>
        </is>
      </c>
      <c r="G3031" s="12" t="inlineStr"/>
      <c r="H3031" s="12" t="inlineStr">
        <is>
          <t>Warehouse</t>
        </is>
      </c>
      <c r="I3031" s="12" t="inlineStr">
        <is>
          <t>Fire alarm</t>
        </is>
      </c>
      <c r="J3031" s="12" t="inlineStr">
        <is>
          <t>Fire alarm FPLR 2/C #14 shielded, red jacket (NEC 760)</t>
        </is>
      </c>
      <c r="K3031" s="12" t="inlineStr">
        <is>
          <t>FA|2/C|14</t>
        </is>
      </c>
      <c r="L3031" s="12" t="inlineStr">
        <is>
          <t>2/C</t>
        </is>
      </c>
      <c r="M3031" s="12" t="inlineStr">
        <is>
          <t>14</t>
        </is>
      </c>
      <c r="N3031" s="12" t="n">
        <v>1</v>
      </c>
      <c r="O3031" s="12" t="n">
        <v>1</v>
      </c>
      <c r="P3031" s="12" t="n"/>
      <c r="Q3031" s="12" t="n"/>
      <c r="R3031" s="12" t="n"/>
      <c r="S3031" s="12" t="inlineStr">
        <is>
          <t>Tray</t>
        </is>
      </c>
      <c r="T3031" s="16" t="n">
        <v>37</v>
      </c>
      <c r="U3031" s="16" t="n">
        <v>109</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F-I-0001</t>
        </is>
      </c>
      <c r="B3032" s="12" t="inlineStr">
        <is>
          <t>F</t>
        </is>
      </c>
      <c r="C3032" s="12" t="inlineStr">
        <is>
          <t>Controls / service</t>
        </is>
      </c>
      <c r="D3032" s="12" t="inlineStr">
        <is>
          <t>Instrumentation</t>
        </is>
      </c>
      <c r="E3032" s="12" t="inlineStr">
        <is>
          <t>CR</t>
        </is>
      </c>
      <c r="F3032" s="12" t="inlineStr">
        <is>
          <t>Control / admin building (main control room)</t>
        </is>
      </c>
      <c r="G3032" s="12" t="inlineStr">
        <is>
          <t>EDG-1</t>
        </is>
      </c>
      <c r="H3032" s="12" t="inlineStr">
        <is>
          <t>EDG-1: 3 MW emergency diesel generator (480 V)</t>
        </is>
      </c>
      <c r="I3032" s="12" t="inlineStr">
        <is>
          <t>Instrumentation</t>
        </is>
      </c>
      <c r="J3032" s="12" t="inlineStr">
        <is>
          <t>Instrumentation PLTC / TC-ER 300 V, #18 twisted shielded pairs, overall shield</t>
        </is>
      </c>
      <c r="K3032" s="12" t="inlineStr">
        <is>
          <t>PLTC|4 pr|18</t>
        </is>
      </c>
      <c r="L3032" s="12" t="inlineStr">
        <is>
          <t>4 pr</t>
        </is>
      </c>
      <c r="M3032" s="12" t="inlineStr">
        <is>
          <t>18</t>
        </is>
      </c>
      <c r="N3032" s="12" t="n">
        <v>1</v>
      </c>
      <c r="O3032" s="12" t="n">
        <v>1</v>
      </c>
      <c r="P3032" s="12" t="n"/>
      <c r="Q3032" s="12" t="n"/>
      <c r="R3032" s="12" t="n"/>
      <c r="S3032" s="12" t="inlineStr">
        <is>
          <t>Duct bank</t>
        </is>
      </c>
      <c r="T3032" s="16" t="n">
        <v>626</v>
      </c>
      <c r="U3032" s="16" t="n">
        <v>62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F-I-0002</t>
        </is>
      </c>
      <c r="B3033" s="12" t="inlineStr">
        <is>
          <t>F</t>
        </is>
      </c>
      <c r="C3033" s="12" t="inlineStr">
        <is>
          <t>Controls / service</t>
        </is>
      </c>
      <c r="D3033" s="12" t="inlineStr">
        <is>
          <t>Thermocouples</t>
        </is>
      </c>
      <c r="E3033" s="12" t="inlineStr">
        <is>
          <t>CR</t>
        </is>
      </c>
      <c r="F3033" s="12" t="inlineStr">
        <is>
          <t>Control / admin building (main control room)</t>
        </is>
      </c>
      <c r="G3033" s="12" t="inlineStr">
        <is>
          <t>EDG-1</t>
        </is>
      </c>
      <c r="H3033" s="12" t="inlineStr">
        <is>
          <t>EDG-1: 3 MW emergency diesel generator (480 V)</t>
        </is>
      </c>
      <c r="I3033" s="12" t="inlineStr">
        <is>
          <t>Instrumentation</t>
        </is>
      </c>
      <c r="J3033" s="12" t="inlineStr">
        <is>
          <t>Thermocouple extension KX, #16 shielded pairs, PLTC</t>
        </is>
      </c>
      <c r="K3033" s="12" t="inlineStr">
        <is>
          <t>TCX|12 pr|16</t>
        </is>
      </c>
      <c r="L3033" s="12" t="inlineStr">
        <is>
          <t>12 pr</t>
        </is>
      </c>
      <c r="M3033" s="12" t="inlineStr">
        <is>
          <t>16</t>
        </is>
      </c>
      <c r="N3033" s="12" t="n">
        <v>1</v>
      </c>
      <c r="O3033" s="12" t="n">
        <v>1</v>
      </c>
      <c r="P3033" s="12" t="n"/>
      <c r="Q3033" s="12" t="n"/>
      <c r="R3033" s="12" t="n"/>
      <c r="S3033" s="12" t="inlineStr">
        <is>
          <t>Duct bank</t>
        </is>
      </c>
      <c r="T3033" s="16" t="n">
        <v>626</v>
      </c>
      <c r="U3033" s="16" t="n">
        <v>62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F-I-0003</t>
        </is>
      </c>
      <c r="B3034" s="12" t="inlineStr">
        <is>
          <t>F</t>
        </is>
      </c>
      <c r="C3034" s="12" t="inlineStr">
        <is>
          <t>Controls / service</t>
        </is>
      </c>
      <c r="D3034" s="12" t="inlineStr">
        <is>
          <t>Thermocouples</t>
        </is>
      </c>
      <c r="E3034" s="12" t="inlineStr">
        <is>
          <t>CR</t>
        </is>
      </c>
      <c r="F3034" s="12" t="inlineStr">
        <is>
          <t>Control / admin building (main control room)</t>
        </is>
      </c>
      <c r="G3034" s="12" t="inlineStr">
        <is>
          <t>EDG-1</t>
        </is>
      </c>
      <c r="H3034" s="12" t="inlineStr">
        <is>
          <t>EDG-1: 3 MW emergency diesel generator (480 V)</t>
        </is>
      </c>
      <c r="I3034" s="12" t="inlineStr">
        <is>
          <t>Instrumentation</t>
        </is>
      </c>
      <c r="J3034" s="12" t="inlineStr">
        <is>
          <t>Thermocouple extension KX, #16 shielded pairs, PLTC</t>
        </is>
      </c>
      <c r="K3034" s="12" t="inlineStr">
        <is>
          <t>TCX|12 pr|16</t>
        </is>
      </c>
      <c r="L3034" s="12" t="inlineStr">
        <is>
          <t>12 pr</t>
        </is>
      </c>
      <c r="M3034" s="12" t="inlineStr">
        <is>
          <t>16</t>
        </is>
      </c>
      <c r="N3034" s="12" t="n">
        <v>1</v>
      </c>
      <c r="O3034" s="12" t="n">
        <v>1</v>
      </c>
      <c r="P3034" s="12" t="n"/>
      <c r="Q3034" s="12" t="n"/>
      <c r="R3034" s="12" t="n"/>
      <c r="S3034" s="12" t="inlineStr">
        <is>
          <t>Duct bank</t>
        </is>
      </c>
      <c r="T3034" s="16" t="n">
        <v>626</v>
      </c>
      <c r="U3034" s="16" t="n">
        <v>62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F-I-0004</t>
        </is>
      </c>
      <c r="B3035" s="12" t="inlineStr">
        <is>
          <t>F</t>
        </is>
      </c>
      <c r="C3035" s="12" t="inlineStr">
        <is>
          <t>Controls / service</t>
        </is>
      </c>
      <c r="D3035" s="12" t="inlineStr">
        <is>
          <t>Instrumentation</t>
        </is>
      </c>
      <c r="E3035" s="12" t="inlineStr">
        <is>
          <t>CR</t>
        </is>
      </c>
      <c r="F3035" s="12" t="inlineStr">
        <is>
          <t>Control / admin building (main control room)</t>
        </is>
      </c>
      <c r="G3035" s="12" t="inlineStr">
        <is>
          <t>EDG-2</t>
        </is>
      </c>
      <c r="H3035" s="12" t="inlineStr">
        <is>
          <t>EDG-2: 3 MW emergency diesel generator (480 V)</t>
        </is>
      </c>
      <c r="I3035" s="12" t="inlineStr">
        <is>
          <t>Instrumentation</t>
        </is>
      </c>
      <c r="J3035" s="12" t="inlineStr">
        <is>
          <t>Instrumentation PLTC / TC-ER 300 V, #18 twisted shielded pairs, overall shield</t>
        </is>
      </c>
      <c r="K3035" s="12" t="inlineStr">
        <is>
          <t>PLTC|4 pr|18</t>
        </is>
      </c>
      <c r="L3035" s="12" t="inlineStr">
        <is>
          <t>4 pr</t>
        </is>
      </c>
      <c r="M3035" s="12" t="inlineStr">
        <is>
          <t>18</t>
        </is>
      </c>
      <c r="N3035" s="12" t="n">
        <v>1</v>
      </c>
      <c r="O3035" s="12" t="n">
        <v>1</v>
      </c>
      <c r="P3035" s="12" t="n"/>
      <c r="Q3035" s="12" t="n"/>
      <c r="R3035" s="12" t="n"/>
      <c r="S3035" s="12" t="inlineStr">
        <is>
          <t>Duct bank</t>
        </is>
      </c>
      <c r="T3035" s="16" t="n">
        <v>661</v>
      </c>
      <c r="U3035" s="16" t="n">
        <v>65</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F-I-0005</t>
        </is>
      </c>
      <c r="B3036" s="12" t="inlineStr">
        <is>
          <t>F</t>
        </is>
      </c>
      <c r="C3036" s="12" t="inlineStr">
        <is>
          <t>Controls / service</t>
        </is>
      </c>
      <c r="D3036" s="12" t="inlineStr">
        <is>
          <t>Thermocouples</t>
        </is>
      </c>
      <c r="E3036" s="12" t="inlineStr">
        <is>
          <t>CR</t>
        </is>
      </c>
      <c r="F3036" s="12" t="inlineStr">
        <is>
          <t>Control / admin building (main control room)</t>
        </is>
      </c>
      <c r="G3036" s="12" t="inlineStr">
        <is>
          <t>EDG-2</t>
        </is>
      </c>
      <c r="H3036" s="12" t="inlineStr">
        <is>
          <t>EDG-2: 3 MW emergency diesel generator (480 V)</t>
        </is>
      </c>
      <c r="I3036" s="12" t="inlineStr">
        <is>
          <t>Instrumentation</t>
        </is>
      </c>
      <c r="J3036" s="12" t="inlineStr">
        <is>
          <t>Thermocouple extension KX, #16 shielded pairs, PLTC</t>
        </is>
      </c>
      <c r="K3036" s="12" t="inlineStr">
        <is>
          <t>TCX|12 pr|16</t>
        </is>
      </c>
      <c r="L3036" s="12" t="inlineStr">
        <is>
          <t>12 pr</t>
        </is>
      </c>
      <c r="M3036" s="12" t="inlineStr">
        <is>
          <t>16</t>
        </is>
      </c>
      <c r="N3036" s="12" t="n">
        <v>1</v>
      </c>
      <c r="O3036" s="12" t="n">
        <v>1</v>
      </c>
      <c r="P3036" s="12" t="n"/>
      <c r="Q3036" s="12" t="n"/>
      <c r="R3036" s="12" t="n"/>
      <c r="S3036" s="12" t="inlineStr">
        <is>
          <t>Duct bank</t>
        </is>
      </c>
      <c r="T3036" s="16" t="n">
        <v>661</v>
      </c>
      <c r="U3036" s="16" t="n">
        <v>65</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F-I-0006</t>
        </is>
      </c>
      <c r="B3037" s="12" t="inlineStr">
        <is>
          <t>F</t>
        </is>
      </c>
      <c r="C3037" s="12" t="inlineStr">
        <is>
          <t>Controls / service</t>
        </is>
      </c>
      <c r="D3037" s="12" t="inlineStr">
        <is>
          <t>Thermocouples</t>
        </is>
      </c>
      <c r="E3037" s="12" t="inlineStr">
        <is>
          <t>CR</t>
        </is>
      </c>
      <c r="F3037" s="12" t="inlineStr">
        <is>
          <t>Control / admin building (main control room)</t>
        </is>
      </c>
      <c r="G3037" s="12" t="inlineStr">
        <is>
          <t>EDG-2</t>
        </is>
      </c>
      <c r="H3037" s="12" t="inlineStr">
        <is>
          <t>EDG-2: 3 MW emergency diesel generator (480 V)</t>
        </is>
      </c>
      <c r="I3037" s="12" t="inlineStr">
        <is>
          <t>Instrumentation</t>
        </is>
      </c>
      <c r="J3037" s="12" t="inlineStr">
        <is>
          <t>Thermocouple extension KX, #16 shielded pairs, PLTC</t>
        </is>
      </c>
      <c r="K3037" s="12" t="inlineStr">
        <is>
          <t>TCX|12 pr|16</t>
        </is>
      </c>
      <c r="L3037" s="12" t="inlineStr">
        <is>
          <t>12 pr</t>
        </is>
      </c>
      <c r="M3037" s="12" t="inlineStr">
        <is>
          <t>16</t>
        </is>
      </c>
      <c r="N3037" s="12" t="n">
        <v>1</v>
      </c>
      <c r="O3037" s="12" t="n">
        <v>1</v>
      </c>
      <c r="P3037" s="12" t="n"/>
      <c r="Q3037" s="12" t="n"/>
      <c r="R3037" s="12" t="n"/>
      <c r="S3037" s="12" t="inlineStr">
        <is>
          <t>Duct bank</t>
        </is>
      </c>
      <c r="T3037" s="16" t="n">
        <v>661</v>
      </c>
      <c r="U3037" s="16" t="n">
        <v>65</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F-I-0007</t>
        </is>
      </c>
      <c r="B3038" s="12" t="inlineStr">
        <is>
          <t>F</t>
        </is>
      </c>
      <c r="C3038" s="12" t="inlineStr">
        <is>
          <t>Controls / service</t>
        </is>
      </c>
      <c r="D3038" s="12" t="inlineStr">
        <is>
          <t>Analog instrument to JB JB-LS-1-AI01: 2 x 1 pr (field cables)</t>
        </is>
      </c>
      <c r="E3038" s="12" t="inlineStr">
        <is>
          <t>LS-1</t>
        </is>
      </c>
      <c r="F3038" s="12" t="inlineStr">
        <is>
          <t>LS-1: sanitary lift station (packaged duplex)</t>
        </is>
      </c>
      <c r="G3038" s="12" t="inlineStr">
        <is>
          <t>JB-LS-1-AI01</t>
        </is>
      </c>
      <c r="H3038" s="12" t="inlineStr">
        <is>
          <t>LS-1: sanitary lift station (packaged duplex)</t>
        </is>
      </c>
      <c r="I3038" s="12" t="inlineStr">
        <is>
          <t>Instrumentation</t>
        </is>
      </c>
      <c r="J3038" s="12" t="inlineStr">
        <is>
          <t>Instrumentation PLTC / TC-ER 300 V, #18 twisted shielded pairs, overall shield</t>
        </is>
      </c>
      <c r="K3038" s="12" t="inlineStr">
        <is>
          <t>PLTC|1 pr|16</t>
        </is>
      </c>
      <c r="L3038" s="12" t="inlineStr">
        <is>
          <t>1 pr</t>
        </is>
      </c>
      <c r="M3038" s="12" t="inlineStr">
        <is>
          <t>16</t>
        </is>
      </c>
      <c r="N3038" s="12" t="n">
        <v>2</v>
      </c>
      <c r="O3038" s="12" t="n">
        <v>1</v>
      </c>
      <c r="P3038" s="12" t="n"/>
      <c r="Q3038" s="12" t="n"/>
      <c r="R3038" s="12" t="n"/>
      <c r="S3038" s="12" t="inlineStr">
        <is>
          <t>Tray / conduit</t>
        </is>
      </c>
      <c r="T3038" s="16" t="n">
        <v>40</v>
      </c>
      <c r="U3038" s="16" t="n">
        <v>10</v>
      </c>
      <c r="V3038" s="16">
        <f>ROUNDUP((T3038+U3038+2*'Read Me'!$B$13)*(1+'Read Me'!$B$12),-1)</f>
        <v/>
      </c>
      <c r="W3038" s="16">
        <f>V3038*N3038*O3038</f>
        <v/>
      </c>
      <c r="X3038" s="12">
        <f>IF(LEFT(I3038,2)="MV",2*N3038*IF(L3038="1/C",O3038,1),0)</f>
        <v/>
      </c>
      <c r="Y3038" s="12">
        <f>IF(OR(LEFT(K3038,4)="LVAX",LEFT(K3038,6)="MV15AX",LEFT(K3038,4)="CTAX",LEFT(K3038,2)="W|"),2*N3038*O3038,0)</f>
        <v/>
      </c>
      <c r="Z3038" s="12" t="inlineStr">
        <is>
          <t>device-to-JB field wiring, one cable per device</t>
        </is>
      </c>
      <c r="AA3038" s="12">
        <f>N3038*O3038</f>
        <v/>
      </c>
    </row>
    <row r="3039">
      <c r="A3039" s="12" t="inlineStr">
        <is>
          <t>F-I-0008</t>
        </is>
      </c>
      <c r="B3039" s="12" t="inlineStr">
        <is>
          <t>F</t>
        </is>
      </c>
      <c r="C3039" s="12" t="inlineStr">
        <is>
          <t>Controls / service</t>
        </is>
      </c>
      <c r="D3039" s="12" t="inlineStr">
        <is>
          <t>Home run JB-LS-1-AI01 to the control / marshalling room</t>
        </is>
      </c>
      <c r="E3039" s="12" t="inlineStr">
        <is>
          <t>CR</t>
        </is>
      </c>
      <c r="F3039" s="12" t="inlineStr">
        <is>
          <t>Control / admin building (main control room)</t>
        </is>
      </c>
      <c r="G3039" s="12" t="inlineStr">
        <is>
          <t>JB-LS-1-AI01</t>
        </is>
      </c>
      <c r="H3039" s="12" t="inlineStr">
        <is>
          <t>LS-1: sanitary lift station (packaged duplex)</t>
        </is>
      </c>
      <c r="I3039" s="12" t="inlineStr">
        <is>
          <t>Instrumentation</t>
        </is>
      </c>
      <c r="J3039" s="12" t="inlineStr">
        <is>
          <t>Instrumentation PLTC / TC-ER 300 V, #18 twisted shielded pairs, overall shield</t>
        </is>
      </c>
      <c r="K3039" s="12" t="inlineStr">
        <is>
          <t>PLTC|24 pr|18</t>
        </is>
      </c>
      <c r="L3039" s="12" t="inlineStr">
        <is>
          <t>24 pr</t>
        </is>
      </c>
      <c r="M3039" s="12" t="inlineStr">
        <is>
          <t>18</t>
        </is>
      </c>
      <c r="N3039" s="12" t="n">
        <v>1</v>
      </c>
      <c r="O3039" s="12" t="n">
        <v>1</v>
      </c>
      <c r="P3039" s="12" t="n"/>
      <c r="Q3039" s="12" t="n"/>
      <c r="R3039" s="12" t="n"/>
      <c r="S3039" s="12" t="inlineStr">
        <is>
          <t>Duct bank</t>
        </is>
      </c>
      <c r="T3039" s="16" t="n">
        <v>366</v>
      </c>
      <c r="U3039" s="16" t="n">
        <v>60</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F-I-0009</t>
        </is>
      </c>
      <c r="B3040" s="12" t="inlineStr">
        <is>
          <t>F</t>
        </is>
      </c>
      <c r="C3040" s="12" t="inlineStr">
        <is>
          <t>Controls / service</t>
        </is>
      </c>
      <c r="D3040" s="12" t="inlineStr">
        <is>
          <t>Discrete device to JB JB-LS-1-DI01: 4 x 1 pr (field cables)</t>
        </is>
      </c>
      <c r="E3040" s="12" t="inlineStr">
        <is>
          <t>LS-1</t>
        </is>
      </c>
      <c r="F3040" s="12" t="inlineStr">
        <is>
          <t>LS-1: sanitary lift station (packaged duplex)</t>
        </is>
      </c>
      <c r="G3040" s="12" t="inlineStr">
        <is>
          <t>JB-LS-1-DI01</t>
        </is>
      </c>
      <c r="H3040" s="12" t="inlineStr">
        <is>
          <t>LS-1: sanitary lift station (packaged duplex)</t>
        </is>
      </c>
      <c r="I3040" s="12" t="inlineStr">
        <is>
          <t>Instrumentation</t>
        </is>
      </c>
      <c r="J3040" s="12" t="inlineStr">
        <is>
          <t>Instrumentation PLTC / TC-ER 300 V, #18 twisted shielded pairs, overall shield</t>
        </is>
      </c>
      <c r="K3040" s="12" t="inlineStr">
        <is>
          <t>PLTC|1 pr|16</t>
        </is>
      </c>
      <c r="L3040" s="12" t="inlineStr">
        <is>
          <t>1 pr</t>
        </is>
      </c>
      <c r="M3040" s="12" t="inlineStr">
        <is>
          <t>16</t>
        </is>
      </c>
      <c r="N3040" s="12" t="n">
        <v>4</v>
      </c>
      <c r="O3040" s="12" t="n">
        <v>1</v>
      </c>
      <c r="P3040" s="12" t="n"/>
      <c r="Q3040" s="12" t="n"/>
      <c r="R3040" s="12" t="n"/>
      <c r="S3040" s="12" t="inlineStr">
        <is>
          <t>Tray / conduit</t>
        </is>
      </c>
      <c r="T3040" s="16" t="n">
        <v>40</v>
      </c>
      <c r="U3040" s="16" t="n">
        <v>10</v>
      </c>
      <c r="V3040" s="16">
        <f>ROUNDUP((T3040+U3040+2*'Read Me'!$B$13)*(1+'Read Me'!$B$12),-1)</f>
        <v/>
      </c>
      <c r="W3040" s="16">
        <f>V3040*N3040*O3040</f>
        <v/>
      </c>
      <c r="X3040" s="12">
        <f>IF(LEFT(I3040,2)="MV",2*N3040*IF(L3040="1/C",O3040,1),0)</f>
        <v/>
      </c>
      <c r="Y3040" s="12">
        <f>IF(OR(LEFT(K3040,4)="LVAX",LEFT(K3040,6)="MV15AX",LEFT(K3040,4)="CTAX",LEFT(K3040,2)="W|"),2*N3040*O3040,0)</f>
        <v/>
      </c>
      <c r="Z3040" s="12" t="inlineStr">
        <is>
          <t>device-to-JB field wiring, one cable per device</t>
        </is>
      </c>
      <c r="AA3040" s="12">
        <f>N3040*O3040</f>
        <v/>
      </c>
    </row>
    <row r="3041">
      <c r="A3041" s="12" t="inlineStr">
        <is>
          <t>F-I-0010</t>
        </is>
      </c>
      <c r="B3041" s="12" t="inlineStr">
        <is>
          <t>F</t>
        </is>
      </c>
      <c r="C3041" s="12" t="inlineStr">
        <is>
          <t>Controls / service</t>
        </is>
      </c>
      <c r="D3041" s="12" t="inlineStr">
        <is>
          <t>Home run JB-LS-1-DI01 to the control / marshalling room</t>
        </is>
      </c>
      <c r="E3041" s="12" t="inlineStr">
        <is>
          <t>CR</t>
        </is>
      </c>
      <c r="F3041" s="12" t="inlineStr">
        <is>
          <t>Control / admin building (main control room)</t>
        </is>
      </c>
      <c r="G3041" s="12" t="inlineStr">
        <is>
          <t>JB-LS-1-DI01</t>
        </is>
      </c>
      <c r="H3041" s="12" t="inlineStr">
        <is>
          <t>LS-1: sanitary lift station (packaged duplex)</t>
        </is>
      </c>
      <c r="I3041" s="12" t="inlineStr">
        <is>
          <t>Instrumentation</t>
        </is>
      </c>
      <c r="J3041" s="12" t="inlineStr">
        <is>
          <t>Instrumentation PLTC / TC-ER 300 V, #18 twisted shielded pairs, overall shield</t>
        </is>
      </c>
      <c r="K3041" s="12" t="inlineStr">
        <is>
          <t>PLTC|24 pr|18</t>
        </is>
      </c>
      <c r="L3041" s="12" t="inlineStr">
        <is>
          <t>24 pr</t>
        </is>
      </c>
      <c r="M3041" s="12" t="inlineStr">
        <is>
          <t>18</t>
        </is>
      </c>
      <c r="N3041" s="12" t="n">
        <v>1</v>
      </c>
      <c r="O3041" s="12" t="n">
        <v>1</v>
      </c>
      <c r="P3041" s="12" t="n"/>
      <c r="Q3041" s="12" t="n"/>
      <c r="R3041" s="12" t="n"/>
      <c r="S3041" s="12" t="inlineStr">
        <is>
          <t>Duct bank</t>
        </is>
      </c>
      <c r="T3041" s="16" t="n">
        <v>366</v>
      </c>
      <c r="U3041" s="16" t="n">
        <v>60</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F-I-0011</t>
        </is>
      </c>
      <c r="B3042" s="12" t="inlineStr">
        <is>
          <t>F</t>
        </is>
      </c>
      <c r="C3042" s="12" t="inlineStr">
        <is>
          <t>Controls / service</t>
        </is>
      </c>
      <c r="D3042" s="12" t="inlineStr">
        <is>
          <t>Analog instrument to JB JB-Stormwater pump st-AI01: 4 x 1 pr (field cables)</t>
        </is>
      </c>
      <c r="E3042" s="12" t="inlineStr"/>
      <c r="F3042" s="12" t="inlineStr">
        <is>
          <t>Stormwater pump station (2 x 100% submersible pumps)</t>
        </is>
      </c>
      <c r="G3042" s="12" t="inlineStr">
        <is>
          <t>JB-Stormwater pump st-AI01</t>
        </is>
      </c>
      <c r="H3042" s="12" t="inlineStr">
        <is>
          <t>Stormwater pump station (2 x 100% submersible pumps)</t>
        </is>
      </c>
      <c r="I3042" s="12" t="inlineStr">
        <is>
          <t>Instrumentation</t>
        </is>
      </c>
      <c r="J3042" s="12" t="inlineStr">
        <is>
          <t>Instrumentation PLTC / TC-ER 300 V, #18 twisted shielded pairs, overall shield</t>
        </is>
      </c>
      <c r="K3042" s="12" t="inlineStr">
        <is>
          <t>PLTC|1 pr|16</t>
        </is>
      </c>
      <c r="L3042" s="12" t="inlineStr">
        <is>
          <t>1 pr</t>
        </is>
      </c>
      <c r="M3042" s="12" t="inlineStr">
        <is>
          <t>16</t>
        </is>
      </c>
      <c r="N3042" s="12" t="n">
        <v>4</v>
      </c>
      <c r="O3042" s="12" t="n">
        <v>1</v>
      </c>
      <c r="P3042" s="12" t="n"/>
      <c r="Q3042" s="12" t="n"/>
      <c r="R3042" s="12" t="n"/>
      <c r="S3042" s="12" t="inlineStr">
        <is>
          <t>Tray / conduit</t>
        </is>
      </c>
      <c r="T3042" s="16" t="n">
        <v>72</v>
      </c>
      <c r="U3042" s="16" t="n">
        <v>10</v>
      </c>
      <c r="V3042" s="16">
        <f>ROUNDUP((T3042+U3042+2*'Read Me'!$B$13)*(1+'Read Me'!$B$12),-1)</f>
        <v/>
      </c>
      <c r="W3042" s="16">
        <f>V3042*N3042*O3042</f>
        <v/>
      </c>
      <c r="X3042" s="12">
        <f>IF(LEFT(I3042,2)="MV",2*N3042*IF(L3042="1/C",O3042,1),0)</f>
        <v/>
      </c>
      <c r="Y3042" s="12">
        <f>IF(OR(LEFT(K3042,4)="LVAX",LEFT(K3042,6)="MV15AX",LEFT(K3042,4)="CTAX",LEFT(K3042,2)="W|"),2*N3042*O3042,0)</f>
        <v/>
      </c>
      <c r="Z3042" s="12" t="inlineStr">
        <is>
          <t>device-to-JB field wiring, one cable per device</t>
        </is>
      </c>
      <c r="AA3042" s="12">
        <f>N3042*O3042</f>
        <v/>
      </c>
    </row>
    <row r="3043">
      <c r="A3043" s="12" t="inlineStr">
        <is>
          <t>F-I-0012</t>
        </is>
      </c>
      <c r="B3043" s="12" t="inlineStr">
        <is>
          <t>F</t>
        </is>
      </c>
      <c r="C3043" s="12" t="inlineStr">
        <is>
          <t>Controls / service</t>
        </is>
      </c>
      <c r="D3043" s="12" t="inlineStr">
        <is>
          <t>Home run JB-Stormwater pump st-AI01 to the control / marshalling room</t>
        </is>
      </c>
      <c r="E3043" s="12" t="inlineStr">
        <is>
          <t>CR</t>
        </is>
      </c>
      <c r="F3043" s="12" t="inlineStr">
        <is>
          <t>Control / admin building (main control room)</t>
        </is>
      </c>
      <c r="G3043" s="12" t="inlineStr">
        <is>
          <t>JB-Stormwater pump st-AI01</t>
        </is>
      </c>
      <c r="H3043" s="12" t="inlineStr">
        <is>
          <t>Stormwater pump station (2 x 100% submersible pumps)</t>
        </is>
      </c>
      <c r="I3043" s="12" t="inlineStr">
        <is>
          <t>Instrumentation</t>
        </is>
      </c>
      <c r="J3043" s="12" t="inlineStr">
        <is>
          <t>Instrumentation PLTC / TC-ER 300 V, #18 twisted shielded pairs, overall shield</t>
        </is>
      </c>
      <c r="K3043" s="12" t="inlineStr">
        <is>
          <t>PLTC|24 pr|18</t>
        </is>
      </c>
      <c r="L3043" s="12" t="inlineStr">
        <is>
          <t>24 pr</t>
        </is>
      </c>
      <c r="M3043" s="12" t="inlineStr">
        <is>
          <t>18</t>
        </is>
      </c>
      <c r="N3043" s="12" t="n">
        <v>1</v>
      </c>
      <c r="O3043" s="12" t="n">
        <v>1</v>
      </c>
      <c r="P3043" s="12" t="n"/>
      <c r="Q3043" s="12" t="n"/>
      <c r="R3043" s="12" t="n"/>
      <c r="S3043" s="12" t="inlineStr">
        <is>
          <t>Duct bank</t>
        </is>
      </c>
      <c r="T3043" s="16" t="n">
        <v>1454</v>
      </c>
      <c r="U3043" s="16" t="n">
        <v>32</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F-I-0013</t>
        </is>
      </c>
      <c r="B3044" s="12" t="inlineStr">
        <is>
          <t>F</t>
        </is>
      </c>
      <c r="C3044" s="12" t="inlineStr">
        <is>
          <t>Controls / service</t>
        </is>
      </c>
      <c r="D3044" s="12" t="inlineStr">
        <is>
          <t>Discrete device to JB JB-Stormwater pump st-DI01: 6 x 1 pr (field cables)</t>
        </is>
      </c>
      <c r="E3044" s="12" t="inlineStr"/>
      <c r="F3044" s="12" t="inlineStr">
        <is>
          <t>Stormwater pump station (2 x 100% submersible pumps)</t>
        </is>
      </c>
      <c r="G3044" s="12" t="inlineStr">
        <is>
          <t>JB-Stormwater pump st-DI01</t>
        </is>
      </c>
      <c r="H3044" s="12" t="inlineStr">
        <is>
          <t>Stormwater pump station (2 x 100% submersible pumps)</t>
        </is>
      </c>
      <c r="I3044" s="12" t="inlineStr">
        <is>
          <t>Instrumentation</t>
        </is>
      </c>
      <c r="J3044" s="12" t="inlineStr">
        <is>
          <t>Instrumentation PLTC / TC-ER 300 V, #18 twisted shielded pairs, overall shield</t>
        </is>
      </c>
      <c r="K3044" s="12" t="inlineStr">
        <is>
          <t>PLTC|1 pr|16</t>
        </is>
      </c>
      <c r="L3044" s="12" t="inlineStr">
        <is>
          <t>1 pr</t>
        </is>
      </c>
      <c r="M3044" s="12" t="inlineStr">
        <is>
          <t>16</t>
        </is>
      </c>
      <c r="N3044" s="12" t="n">
        <v>6</v>
      </c>
      <c r="O3044" s="12" t="n">
        <v>1</v>
      </c>
      <c r="P3044" s="12" t="n"/>
      <c r="Q3044" s="12" t="n"/>
      <c r="R3044" s="12" t="n"/>
      <c r="S3044" s="12" t="inlineStr">
        <is>
          <t>Tray / conduit</t>
        </is>
      </c>
      <c r="T3044" s="16" t="n">
        <v>72</v>
      </c>
      <c r="U3044" s="16" t="n">
        <v>10</v>
      </c>
      <c r="V3044" s="16">
        <f>ROUNDUP((T3044+U3044+2*'Read Me'!$B$13)*(1+'Read Me'!$B$12),-1)</f>
        <v/>
      </c>
      <c r="W3044" s="16">
        <f>V3044*N3044*O3044</f>
        <v/>
      </c>
      <c r="X3044" s="12">
        <f>IF(LEFT(I3044,2)="MV",2*N3044*IF(L3044="1/C",O3044,1),0)</f>
        <v/>
      </c>
      <c r="Y3044" s="12">
        <f>IF(OR(LEFT(K3044,4)="LVAX",LEFT(K3044,6)="MV15AX",LEFT(K3044,4)="CTAX",LEFT(K3044,2)="W|"),2*N3044*O3044,0)</f>
        <v/>
      </c>
      <c r="Z3044" s="12" t="inlineStr">
        <is>
          <t>device-to-JB field wiring, one cable per device</t>
        </is>
      </c>
      <c r="AA3044" s="12">
        <f>N3044*O3044</f>
        <v/>
      </c>
    </row>
    <row r="3045">
      <c r="A3045" s="12" t="inlineStr">
        <is>
          <t>F-I-0014</t>
        </is>
      </c>
      <c r="B3045" s="12" t="inlineStr">
        <is>
          <t>F</t>
        </is>
      </c>
      <c r="C3045" s="12" t="inlineStr">
        <is>
          <t>Controls / service</t>
        </is>
      </c>
      <c r="D3045" s="12" t="inlineStr">
        <is>
          <t>Home run JB-Stormwater pump st-DI01 to the control / marshalling room</t>
        </is>
      </c>
      <c r="E3045" s="12" t="inlineStr">
        <is>
          <t>CR</t>
        </is>
      </c>
      <c r="F3045" s="12" t="inlineStr">
        <is>
          <t>Control / admin building (main control room)</t>
        </is>
      </c>
      <c r="G3045" s="12" t="inlineStr">
        <is>
          <t>JB-Stormwater pump st-DI01</t>
        </is>
      </c>
      <c r="H3045" s="12" t="inlineStr">
        <is>
          <t>Stormwater pump station (2 x 100% submersible pumps)</t>
        </is>
      </c>
      <c r="I3045" s="12" t="inlineStr">
        <is>
          <t>Instrumentation</t>
        </is>
      </c>
      <c r="J3045" s="12" t="inlineStr">
        <is>
          <t>Instrumentation PLTC / TC-ER 300 V, #18 twisted shielded pairs, overall shield</t>
        </is>
      </c>
      <c r="K3045" s="12" t="inlineStr">
        <is>
          <t>PLTC|24 pr|18</t>
        </is>
      </c>
      <c r="L3045" s="12" t="inlineStr">
        <is>
          <t>24 pr</t>
        </is>
      </c>
      <c r="M3045" s="12" t="inlineStr">
        <is>
          <t>18</t>
        </is>
      </c>
      <c r="N3045" s="12" t="n">
        <v>1</v>
      </c>
      <c r="O3045" s="12" t="n">
        <v>1</v>
      </c>
      <c r="P3045" s="12" t="n"/>
      <c r="Q3045" s="12" t="n"/>
      <c r="R3045" s="12" t="n"/>
      <c r="S3045" s="12" t="inlineStr">
        <is>
          <t>Duct bank</t>
        </is>
      </c>
      <c r="T3045" s="16" t="n">
        <v>1454</v>
      </c>
      <c r="U3045" s="16" t="n">
        <v>32</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F-P-0001</t>
        </is>
      </c>
      <c r="B3046" s="12" t="inlineStr">
        <is>
          <t>F</t>
        </is>
      </c>
      <c r="C3046" s="12" t="inlineStr">
        <is>
          <t>Controls / service</t>
        </is>
      </c>
      <c r="D3046" s="12" t="inlineStr">
        <is>
          <t>LV panel / distribution feeder</t>
        </is>
      </c>
      <c r="E3046" s="12" t="inlineStr">
        <is>
          <t>MCC-C2</t>
        </is>
      </c>
      <c r="F3046" s="12" t="inlineStr">
        <is>
          <t>R1 MCC-C2</t>
        </is>
      </c>
      <c r="G3046" s="12" t="inlineStr">
        <is>
          <t>CR</t>
        </is>
      </c>
      <c r="H3046" s="12" t="inlineStr">
        <is>
          <t>Control / admin building (main control room)</t>
        </is>
      </c>
      <c r="I3046" s="12" t="inlineStr">
        <is>
          <t>LV 600 V</t>
        </is>
      </c>
      <c r="J3046" s="12" t="inlineStr">
        <is>
          <t>Type TC-ER 600 V 3/C Cu XHHW-2 + ground, PVC jacket</t>
        </is>
      </c>
      <c r="K3046" s="12" t="inlineStr">
        <is>
          <t>LV|3/C+G|500</t>
        </is>
      </c>
      <c r="L3046" s="12" t="inlineStr">
        <is>
          <t>3/C+G</t>
        </is>
      </c>
      <c r="M3046" s="12" t="inlineStr">
        <is>
          <t>500 kcmil</t>
        </is>
      </c>
      <c r="N3046" s="12" t="n">
        <v>1</v>
      </c>
      <c r="O3046" s="12" t="n">
        <v>1</v>
      </c>
      <c r="P3046" s="12" t="n">
        <v>480</v>
      </c>
      <c r="Q3046" s="12" t="n">
        <v>145</v>
      </c>
      <c r="R3046" s="12" t="n">
        <v>205.2</v>
      </c>
      <c r="S3046" s="12" t="inlineStr">
        <is>
          <t>Tray</t>
        </is>
      </c>
      <c r="T3046" s="16" t="n">
        <v>1020</v>
      </c>
      <c r="U3046" s="16" t="n">
        <v>145</v>
      </c>
      <c r="V3046" s="16">
        <f>ROUNDUP((T3046+U3046+2*'Read Me'!$B$13)*(1+'Read Me'!$B$12),-1)</f>
        <v/>
      </c>
      <c r="W3046" s="16">
        <f>V3046*N3046*O3046</f>
        <v/>
      </c>
      <c r="X3046" s="12">
        <f>IF(LEFT(I3046,2)="MV",2*N3046*IF(L3046="1/C",O3046,1),0)</f>
        <v/>
      </c>
      <c r="Y3046" s="12">
        <f>IF(OR(LEFT(K3046,4)="LVAX",LEFT(K3046,6)="MV15AX",LEFT(K3046,4)="CTAX",LEFT(K3046,2)="W|"),2*N3046*O3046,0)</f>
        <v/>
      </c>
      <c r="Z3046" s="12" t="inlineStr">
        <is>
          <t>VD 2.4 %</t>
        </is>
      </c>
      <c r="AA3046" s="12">
        <f>N3046*O3046</f>
        <v/>
      </c>
    </row>
    <row r="3047">
      <c r="A3047" s="12" t="inlineStr">
        <is>
          <t>F-P-0002</t>
        </is>
      </c>
      <c r="B3047" s="12" t="inlineStr">
        <is>
          <t>F</t>
        </is>
      </c>
      <c r="C3047" s="12" t="inlineStr">
        <is>
          <t>Controls / service</t>
        </is>
      </c>
      <c r="D3047" s="12" t="inlineStr">
        <is>
          <t>Building service 480 V, 800 A: 3 sets in 4 in PVC</t>
        </is>
      </c>
      <c r="E3047" s="12" t="inlineStr">
        <is>
          <t>service duct bank, north wall x 262</t>
        </is>
      </c>
      <c r="F3047" s="12" t="inlineStr">
        <is>
          <t>Control / admin building: service duct bank, north wall x 262</t>
        </is>
      </c>
      <c r="G3047" s="12" t="inlineStr">
        <is>
          <t>MDP 480 V</t>
        </is>
      </c>
      <c r="H3047" s="12" t="inlineStr">
        <is>
          <t>Control / admin building: MDP 480 V</t>
        </is>
      </c>
      <c r="I3047" s="12" t="inlineStr">
        <is>
          <t>LV 600 V</t>
        </is>
      </c>
      <c r="J3047" s="12" t="inlineStr">
        <is>
          <t>XHHW-2 600 V 1/C Cu (feeder sets in tray / duct)</t>
        </is>
      </c>
      <c r="K3047" s="12" t="inlineStr">
        <is>
          <t>LV1C|1/C|500</t>
        </is>
      </c>
      <c r="L3047" s="12" t="inlineStr">
        <is>
          <t>1/C</t>
        </is>
      </c>
      <c r="M3047" s="12" t="inlineStr">
        <is>
          <t>500 kcmil</t>
        </is>
      </c>
      <c r="N3047" s="12" t="n">
        <v>3</v>
      </c>
      <c r="O3047" s="12" t="n">
        <v>4</v>
      </c>
      <c r="P3047" s="12" t="n">
        <v>480</v>
      </c>
      <c r="Q3047" s="12" t="n">
        <v>480</v>
      </c>
      <c r="R3047" s="12" t="n">
        <v>800</v>
      </c>
      <c r="S3047" s="12" t="inlineStr">
        <is>
          <t>Conduit</t>
        </is>
      </c>
      <c r="T3047" s="16" t="n">
        <v>30</v>
      </c>
      <c r="U3047" s="16" t="n">
        <v>32</v>
      </c>
      <c r="V3047" s="16">
        <f>ROUNDUP((T3047+U3047+2*'Read Me'!$B$13)*(1+'Read Me'!$B$12),-1)</f>
        <v/>
      </c>
      <c r="W3047" s="16">
        <f>V3047*N3047*O3047</f>
        <v/>
      </c>
      <c r="X3047" s="12">
        <f>IF(LEFT(I3047,2)="MV",2*N3047*IF(L3047="1/C",O3047,1),0)</f>
        <v/>
      </c>
      <c r="Y3047" s="12">
        <f>IF(OR(LEFT(K3047,4)="LVAX",LEFT(K3047,6)="MV15AX",LEFT(K3047,4)="CTAX",LEFT(K3047,2)="W|"),2*N3047*O3047,0)</f>
        <v/>
      </c>
      <c r="Z3047" s="12" t="inlineStr">
        <is>
          <t>from the north-wall duct bank; 3 sets 500 kcmil for 125 % (audit, Oct 21)</t>
        </is>
      </c>
      <c r="AA3047" s="12">
        <f>N3047*O3047</f>
        <v/>
      </c>
    </row>
    <row r="3048">
      <c r="A3048" s="12" t="inlineStr">
        <is>
          <t>F-P-0003</t>
        </is>
      </c>
      <c r="B3048" s="12" t="inlineStr">
        <is>
          <t>F</t>
        </is>
      </c>
      <c r="C3048" s="12" t="inlineStr">
        <is>
          <t>Controls / service</t>
        </is>
      </c>
      <c r="D3048" s="12" t="inlineStr">
        <is>
          <t>LV power feeder</t>
        </is>
      </c>
      <c r="E3048" s="12" t="inlineStr">
        <is>
          <t>MCC-C2</t>
        </is>
      </c>
      <c r="F3048" s="12" t="inlineStr">
        <is>
          <t>R1 MCC-C2</t>
        </is>
      </c>
      <c r="G3048" s="12" t="inlineStr">
        <is>
          <t>EDG-1</t>
        </is>
      </c>
      <c r="H3048" s="12" t="inlineStr">
        <is>
          <t>EDG-1: 3 MW emergency diesel generator (480 V)</t>
        </is>
      </c>
      <c r="I3048" s="12" t="inlineStr">
        <is>
          <t>LV 600 V</t>
        </is>
      </c>
      <c r="J3048" s="12" t="inlineStr">
        <is>
          <t>Type TC-ER 600 V 3/C Cu XHHW-2 + ground, PVC jacket</t>
        </is>
      </c>
      <c r="K3048" s="12" t="inlineStr">
        <is>
          <t>LV|3/C+G|4</t>
        </is>
      </c>
      <c r="L3048" s="12" t="inlineStr">
        <is>
          <t>3/C+G</t>
        </is>
      </c>
      <c r="M3048" s="12" t="inlineStr">
        <is>
          <t>4</t>
        </is>
      </c>
      <c r="N3048" s="12" t="n">
        <v>1</v>
      </c>
      <c r="O3048" s="12" t="n">
        <v>1</v>
      </c>
      <c r="P3048" s="12" t="n">
        <v>480</v>
      </c>
      <c r="Q3048" s="12" t="n">
        <v>15</v>
      </c>
      <c r="R3048" s="12" t="n">
        <v>21.2</v>
      </c>
      <c r="S3048" s="12" t="inlineStr">
        <is>
          <t>Tray</t>
        </is>
      </c>
      <c r="T3048" s="16" t="n">
        <v>875</v>
      </c>
      <c r="U3048" s="16" t="n">
        <v>219</v>
      </c>
      <c r="V3048" s="16">
        <f>ROUNDUP((T3048+U3048+2*'Read Me'!$B$13)*(1+'Read Me'!$B$12),-1)</f>
        <v/>
      </c>
      <c r="W3048" s="16">
        <f>V3048*N3048*O3048</f>
        <v/>
      </c>
      <c r="X3048" s="12">
        <f>IF(LEFT(I3048,2)="MV",2*N3048*IF(L3048="1/C",O3048,1),0)</f>
        <v/>
      </c>
      <c r="Y3048" s="12">
        <f>IF(OR(LEFT(K3048,4)="LVAX",LEFT(K3048,6)="MV15AX",LEFT(K3048,4)="CTAX",LEFT(K3048,2)="W|"),2*N3048*O3048,0)</f>
        <v/>
      </c>
      <c r="Z3048" s="12" t="inlineStr">
        <is>
          <t>VD 2.8 %</t>
        </is>
      </c>
      <c r="AA3048" s="12">
        <f>N3048*O3048</f>
        <v/>
      </c>
    </row>
    <row r="3049">
      <c r="A3049" s="12" t="inlineStr">
        <is>
          <t>F-P-0004</t>
        </is>
      </c>
      <c r="B3049" s="12" t="inlineStr">
        <is>
          <t>F</t>
        </is>
      </c>
      <c r="C3049" s="12" t="inlineStr">
        <is>
          <t>Controls / service</t>
        </is>
      </c>
      <c r="D3049" s="12" t="inlineStr">
        <is>
          <t>LV power feeder</t>
        </is>
      </c>
      <c r="E3049" s="12" t="inlineStr">
        <is>
          <t>MCC-C2</t>
        </is>
      </c>
      <c r="F3049" s="12" t="inlineStr">
        <is>
          <t>R1 MCC-C2</t>
        </is>
      </c>
      <c r="G3049" s="12" t="inlineStr">
        <is>
          <t>EDG-2</t>
        </is>
      </c>
      <c r="H3049" s="12" t="inlineStr">
        <is>
          <t>EDG-2: 3 MW emergency diesel generator (480 V)</t>
        </is>
      </c>
      <c r="I3049" s="12" t="inlineStr">
        <is>
          <t>LV 600 V</t>
        </is>
      </c>
      <c r="J3049" s="12" t="inlineStr">
        <is>
          <t>Type TC-ER 600 V 3/C Cu XHHW-2 + ground, PVC jacket</t>
        </is>
      </c>
      <c r="K3049" s="12" t="inlineStr">
        <is>
          <t>LV|3/C+G|2</t>
        </is>
      </c>
      <c r="L3049" s="12" t="inlineStr">
        <is>
          <t>3/C+G</t>
        </is>
      </c>
      <c r="M3049" s="12" t="inlineStr">
        <is>
          <t>2</t>
        </is>
      </c>
      <c r="N3049" s="12" t="n">
        <v>1</v>
      </c>
      <c r="O3049" s="12" t="n">
        <v>1</v>
      </c>
      <c r="P3049" s="12" t="n">
        <v>480</v>
      </c>
      <c r="Q3049" s="12" t="n">
        <v>15</v>
      </c>
      <c r="R3049" s="12" t="n">
        <v>21.2</v>
      </c>
      <c r="S3049" s="12" t="inlineStr">
        <is>
          <t>Tray</t>
        </is>
      </c>
      <c r="T3049" s="16" t="n">
        <v>981</v>
      </c>
      <c r="U3049" s="16" t="n">
        <v>193</v>
      </c>
      <c r="V3049" s="16">
        <f>ROUNDUP((T3049+U3049+2*'Read Me'!$B$13)*(1+'Read Me'!$B$12),-1)</f>
        <v/>
      </c>
      <c r="W3049" s="16">
        <f>V3049*N3049*O3049</f>
        <v/>
      </c>
      <c r="X3049" s="12">
        <f>IF(LEFT(I3049,2)="MV",2*N3049*IF(L3049="1/C",O3049,1),0)</f>
        <v/>
      </c>
      <c r="Y3049" s="12">
        <f>IF(OR(LEFT(K3049,4)="LVAX",LEFT(K3049,6)="MV15AX",LEFT(K3049,4)="CTAX",LEFT(K3049,2)="W|"),2*N3049*O3049,0)</f>
        <v/>
      </c>
      <c r="Z3049" s="12" t="inlineStr">
        <is>
          <t>VD 1.9 %</t>
        </is>
      </c>
      <c r="AA3049" s="12">
        <f>N3049*O3049</f>
        <v/>
      </c>
    </row>
    <row r="3050">
      <c r="A3050" s="12" t="inlineStr">
        <is>
          <t>F-P-0005</t>
        </is>
      </c>
      <c r="B3050" s="12" t="inlineStr">
        <is>
          <t>F</t>
        </is>
      </c>
      <c r="C3050" s="12" t="inlineStr">
        <is>
          <t>Controls / service</t>
        </is>
      </c>
      <c r="D3050" s="12" t="inlineStr">
        <is>
          <t>LV panel / distribution feeder</t>
        </is>
      </c>
      <c r="E3050" s="12" t="inlineStr">
        <is>
          <t>MCC-C2</t>
        </is>
      </c>
      <c r="F3050" s="12" t="inlineStr">
        <is>
          <t>R1 MCC-C2</t>
        </is>
      </c>
      <c r="G3050" s="12" t="inlineStr"/>
      <c r="H3050" s="12" t="inlineStr">
        <is>
          <t>Gatehouse</t>
        </is>
      </c>
      <c r="I3050" s="12" t="inlineStr">
        <is>
          <t>LV 600 V</t>
        </is>
      </c>
      <c r="J3050" s="12" t="inlineStr">
        <is>
          <t>Type TC-ER 600 V 3/C Cu XHHW-2 + ground, PVC jacket</t>
        </is>
      </c>
      <c r="K3050" s="12" t="inlineStr">
        <is>
          <t>LV|3/C+G|1/0</t>
        </is>
      </c>
      <c r="L3050" s="12" t="inlineStr">
        <is>
          <t>3/C+G</t>
        </is>
      </c>
      <c r="M3050" s="12" t="inlineStr">
        <is>
          <t>1/0</t>
        </is>
      </c>
      <c r="N3050" s="12" t="n">
        <v>1</v>
      </c>
      <c r="O3050" s="12" t="n">
        <v>1</v>
      </c>
      <c r="P3050" s="12" t="n">
        <v>480</v>
      </c>
      <c r="Q3050" s="12" t="n">
        <v>30</v>
      </c>
      <c r="R3050" s="12" t="n">
        <v>42.5</v>
      </c>
      <c r="S3050" s="12" t="inlineStr">
        <is>
          <t>Tray</t>
        </is>
      </c>
      <c r="T3050" s="16" t="n">
        <v>1049</v>
      </c>
      <c r="U3050" s="16" t="n">
        <v>145</v>
      </c>
      <c r="V3050" s="16">
        <f>ROUNDUP((T3050+U3050+2*'Read Me'!$B$13)*(1+'Read Me'!$B$12),-1)</f>
        <v/>
      </c>
      <c r="W3050" s="16">
        <f>V3050*N3050*O3050</f>
        <v/>
      </c>
      <c r="X3050" s="12">
        <f>IF(LEFT(I3050,2)="MV",2*N3050*IF(L3050="1/C",O3050,1),0)</f>
        <v/>
      </c>
      <c r="Y3050" s="12">
        <f>IF(OR(LEFT(K3050,4)="LVAX",LEFT(K3050,6)="MV15AX",LEFT(K3050,4)="CTAX",LEFT(K3050,2)="W|"),2*N3050*O3050,0)</f>
        <v/>
      </c>
      <c r="Z3050" s="12" t="inlineStr">
        <is>
          <t>VD 2.5 %</t>
        </is>
      </c>
      <c r="AA3050" s="12">
        <f>N3050*O3050</f>
        <v/>
      </c>
    </row>
    <row r="3051">
      <c r="A3051" s="12" t="inlineStr">
        <is>
          <t>F-P-0006</t>
        </is>
      </c>
      <c r="B3051" s="12" t="inlineStr">
        <is>
          <t>F</t>
        </is>
      </c>
      <c r="C3051" s="12" t="inlineStr">
        <is>
          <t>Controls / service</t>
        </is>
      </c>
      <c r="D3051" s="12" t="inlineStr">
        <is>
          <t>Motor 1 of 2, 7 kW</t>
        </is>
      </c>
      <c r="E3051" s="12" t="inlineStr">
        <is>
          <t>MCC-C2</t>
        </is>
      </c>
      <c r="F3051" s="12" t="inlineStr">
        <is>
          <t>R1 MCC-C2</t>
        </is>
      </c>
      <c r="G3051" s="12" t="inlineStr">
        <is>
          <t>LS-1</t>
        </is>
      </c>
      <c r="H3051" s="12" t="inlineStr">
        <is>
          <t>LS-1: sanitary lift station (packaged duplex)</t>
        </is>
      </c>
      <c r="I3051" s="12" t="inlineStr">
        <is>
          <t>LV 600 V</t>
        </is>
      </c>
      <c r="J3051" s="12" t="inlineStr">
        <is>
          <t>Type TC-ER 600 V 3/C Cu XHHW-2 + ground, PVC jacket</t>
        </is>
      </c>
      <c r="K3051" s="12" t="inlineStr">
        <is>
          <t>LV|3/C+G|8</t>
        </is>
      </c>
      <c r="L3051" s="12" t="inlineStr">
        <is>
          <t>3/C+G</t>
        </is>
      </c>
      <c r="M3051" s="12" t="inlineStr">
        <is>
          <t>8</t>
        </is>
      </c>
      <c r="N3051" s="12" t="n">
        <v>1</v>
      </c>
      <c r="O3051" s="12" t="n">
        <v>1</v>
      </c>
      <c r="P3051" s="12" t="n">
        <v>480</v>
      </c>
      <c r="Q3051" s="12" t="n">
        <v>7</v>
      </c>
      <c r="R3051" s="12" t="n">
        <v>9.9</v>
      </c>
      <c r="S3051" s="12" t="inlineStr">
        <is>
          <t>Tray</t>
        </is>
      </c>
      <c r="T3051" s="16" t="n">
        <v>744</v>
      </c>
      <c r="U3051" s="16" t="n">
        <v>173</v>
      </c>
      <c r="V3051" s="16">
        <f>ROUNDUP((T3051+U3051+2*'Read Me'!$B$13)*(1+'Read Me'!$B$12),-1)</f>
        <v/>
      </c>
      <c r="W3051" s="16">
        <f>V3051*N3051*O3051</f>
        <v/>
      </c>
      <c r="X3051" s="12">
        <f>IF(LEFT(I3051,2)="MV",2*N3051*IF(L3051="1/C",O3051,1),0)</f>
        <v/>
      </c>
      <c r="Y3051" s="12">
        <f>IF(OR(LEFT(K3051,4)="LVAX",LEFT(K3051,6)="MV15AX",LEFT(K3051,4)="CTAX",LEFT(K3051,2)="W|"),2*N3051*O3051,0)</f>
        <v/>
      </c>
      <c r="Z3051" s="12" t="inlineStr">
        <is>
          <t>VD 2.8 %</t>
        </is>
      </c>
      <c r="AA3051" s="12">
        <f>N3051*O3051</f>
        <v/>
      </c>
    </row>
    <row r="3052">
      <c r="A3052" s="12" t="inlineStr">
        <is>
          <t>F-P-0007</t>
        </is>
      </c>
      <c r="B3052" s="12" t="inlineStr">
        <is>
          <t>F</t>
        </is>
      </c>
      <c r="C3052" s="12" t="inlineStr">
        <is>
          <t>Controls / service</t>
        </is>
      </c>
      <c r="D3052" s="12" t="inlineStr">
        <is>
          <t>Motor 2 of 2, 7 kW</t>
        </is>
      </c>
      <c r="E3052" s="12" t="inlineStr">
        <is>
          <t>MCC-C2</t>
        </is>
      </c>
      <c r="F3052" s="12" t="inlineStr">
        <is>
          <t>R1 MCC-C2</t>
        </is>
      </c>
      <c r="G3052" s="12" t="inlineStr">
        <is>
          <t>LS-1</t>
        </is>
      </c>
      <c r="H3052" s="12" t="inlineStr">
        <is>
          <t>LS-1: sanitary lift station (packaged duplex)</t>
        </is>
      </c>
      <c r="I3052" s="12" t="inlineStr">
        <is>
          <t>LV 600 V</t>
        </is>
      </c>
      <c r="J3052" s="12" t="inlineStr">
        <is>
          <t>Type TC-ER 600 V 3/C Cu XHHW-2 + ground, PVC jacket</t>
        </is>
      </c>
      <c r="K3052" s="12" t="inlineStr">
        <is>
          <t>LV|3/C+G|8</t>
        </is>
      </c>
      <c r="L3052" s="12" t="inlineStr">
        <is>
          <t>3/C+G</t>
        </is>
      </c>
      <c r="M3052" s="12" t="inlineStr">
        <is>
          <t>8</t>
        </is>
      </c>
      <c r="N3052" s="12" t="n">
        <v>1</v>
      </c>
      <c r="O3052" s="12" t="n">
        <v>1</v>
      </c>
      <c r="P3052" s="12" t="n">
        <v>480</v>
      </c>
      <c r="Q3052" s="12" t="n">
        <v>7</v>
      </c>
      <c r="R3052" s="12" t="n">
        <v>9.9</v>
      </c>
      <c r="S3052" s="12" t="inlineStr">
        <is>
          <t>Tray</t>
        </is>
      </c>
      <c r="T3052" s="16" t="n">
        <v>744</v>
      </c>
      <c r="U3052" s="16" t="n">
        <v>173</v>
      </c>
      <c r="V3052" s="16">
        <f>ROUNDUP((T3052+U3052+2*'Read Me'!$B$13)*(1+'Read Me'!$B$12),-1)</f>
        <v/>
      </c>
      <c r="W3052" s="16">
        <f>V3052*N3052*O3052</f>
        <v/>
      </c>
      <c r="X3052" s="12">
        <f>IF(LEFT(I3052,2)="MV",2*N3052*IF(L3052="1/C",O3052,1),0)</f>
        <v/>
      </c>
      <c r="Y3052" s="12">
        <f>IF(OR(LEFT(K3052,4)="LVAX",LEFT(K3052,6)="MV15AX",LEFT(K3052,4)="CTAX",LEFT(K3052,2)="W|"),2*N3052*O3052,0)</f>
        <v/>
      </c>
      <c r="Z3052" s="12" t="inlineStr">
        <is>
          <t>VD 2.8 %</t>
        </is>
      </c>
      <c r="AA3052" s="12">
        <f>N3052*O3052</f>
        <v/>
      </c>
    </row>
    <row r="3053">
      <c r="A3053" s="12" t="inlineStr">
        <is>
          <t>F-P-0008</t>
        </is>
      </c>
      <c r="B3053" s="12" t="inlineStr">
        <is>
          <t>F</t>
        </is>
      </c>
      <c r="C3053" s="12" t="inlineStr">
        <is>
          <t>Controls / service</t>
        </is>
      </c>
      <c r="D3053" s="12" t="inlineStr">
        <is>
          <t>LV panel / distribution feeder</t>
        </is>
      </c>
      <c r="E3053" s="12" t="inlineStr">
        <is>
          <t>MCC-C2</t>
        </is>
      </c>
      <c r="F3053" s="12" t="inlineStr">
        <is>
          <t>R1 MCC-C2</t>
        </is>
      </c>
      <c r="G3053" s="12" t="inlineStr"/>
      <c r="H3053" s="12" t="inlineStr">
        <is>
          <t>Maintenance building / workshop</t>
        </is>
      </c>
      <c r="I3053" s="12" t="inlineStr">
        <is>
          <t>LV 600 V</t>
        </is>
      </c>
      <c r="J3053" s="12" t="inlineStr">
        <is>
          <t>Type TC-ER 600 V 3/C Cu XHHW-2 + ground, PVC jacket</t>
        </is>
      </c>
      <c r="K3053" s="12" t="inlineStr">
        <is>
          <t>LV|3/C+G|2/0</t>
        </is>
      </c>
      <c r="L3053" s="12" t="inlineStr">
        <is>
          <t>3/C+G</t>
        </is>
      </c>
      <c r="M3053" s="12" t="inlineStr">
        <is>
          <t>2/0</t>
        </is>
      </c>
      <c r="N3053" s="12" t="n">
        <v>1</v>
      </c>
      <c r="O3053" s="12" t="n">
        <v>1</v>
      </c>
      <c r="P3053" s="12" t="n">
        <v>480</v>
      </c>
      <c r="Q3053" s="12" t="n">
        <v>60</v>
      </c>
      <c r="R3053" s="12" t="n">
        <v>84.90000000000001</v>
      </c>
      <c r="S3053" s="12" t="inlineStr">
        <is>
          <t>Tray</t>
        </is>
      </c>
      <c r="T3053" s="16" t="n">
        <v>734</v>
      </c>
      <c r="U3053" s="16" t="n">
        <v>145</v>
      </c>
      <c r="V3053" s="16">
        <f>ROUNDUP((T3053+U3053+2*'Read Me'!$B$13)*(1+'Read Me'!$B$12),-1)</f>
        <v/>
      </c>
      <c r="W3053" s="16">
        <f>V3053*N3053*O3053</f>
        <v/>
      </c>
      <c r="X3053" s="12">
        <f>IF(LEFT(I3053,2)="MV",2*N3053*IF(L3053="1/C",O3053,1),0)</f>
        <v/>
      </c>
      <c r="Y3053" s="12">
        <f>IF(OR(LEFT(K3053,4)="LVAX",LEFT(K3053,6)="MV15AX",LEFT(K3053,4)="CTAX",LEFT(K3053,2)="W|"),2*N3053*O3053,0)</f>
        <v/>
      </c>
      <c r="Z3053" s="12" t="inlineStr">
        <is>
          <t>VD 2.9 %</t>
        </is>
      </c>
      <c r="AA3053" s="12">
        <f>N3053*O3053</f>
        <v/>
      </c>
    </row>
    <row r="3054">
      <c r="A3054" s="12" t="inlineStr">
        <is>
          <t>F-P-0009</t>
        </is>
      </c>
      <c r="B3054" s="12" t="inlineStr">
        <is>
          <t>F</t>
        </is>
      </c>
      <c r="C3054" s="12" t="inlineStr">
        <is>
          <t>Controls / service</t>
        </is>
      </c>
      <c r="D3054" s="12" t="inlineStr">
        <is>
          <t>Site / road lighting: 120 poles, buried circuits pole to pole</t>
        </is>
      </c>
      <c r="E3054" s="12" t="inlineStr"/>
      <c r="F3054" s="12" t="inlineStr">
        <is>
          <t>Site lighting: pole handholes and photocells</t>
        </is>
      </c>
      <c r="G3054" s="12" t="inlineStr"/>
      <c r="H3054" s="12" t="inlineStr">
        <is>
          <t>Site lighting: pole handholes and photocells</t>
        </is>
      </c>
      <c r="I3054" s="12" t="inlineStr">
        <is>
          <t>LV 600 V</t>
        </is>
      </c>
      <c r="J3054" s="12" t="inlineStr">
        <is>
          <t>Type TC-ER 600 V 3/C Cu XHHW-2 + ground, PVC jacket</t>
        </is>
      </c>
      <c r="K3054" s="12" t="inlineStr">
        <is>
          <t>LV|3/C+G|8</t>
        </is>
      </c>
      <c r="L3054" s="12" t="inlineStr">
        <is>
          <t>3/C+G</t>
        </is>
      </c>
      <c r="M3054" s="12" t="inlineStr">
        <is>
          <t>8</t>
        </is>
      </c>
      <c r="N3054" s="12" t="n">
        <v>120</v>
      </c>
      <c r="O3054" s="12" t="n">
        <v>1</v>
      </c>
      <c r="P3054" s="12" t="n">
        <v>480</v>
      </c>
      <c r="Q3054" s="12" t="n"/>
      <c r="R3054" s="12" t="n"/>
      <c r="S3054" s="12" t="inlineStr">
        <is>
          <t>Buried</t>
        </is>
      </c>
      <c r="T3054" s="16" t="n">
        <v>120</v>
      </c>
      <c r="U3054" s="16" t="n">
        <v>30</v>
      </c>
      <c r="V3054" s="16">
        <f>ROUNDUP((T3054+U3054+2*'Read Me'!$B$13)*(1+'Read Me'!$B$12),-1)</f>
        <v/>
      </c>
      <c r="W3054" s="16">
        <f>V3054*N3054*O3054</f>
        <v/>
      </c>
      <c r="X3054" s="12">
        <f>IF(LEFT(I3054,2)="MV",2*N3054*IF(L3054="1/C",O3054,1),0)</f>
        <v/>
      </c>
      <c r="Y3054" s="12">
        <f>IF(OR(LEFT(K3054,4)="LVAX",LEFT(K3054,6)="MV15AX",LEFT(K3054,4)="CTAX",LEFT(K3054,2)="W|"),2*N3054*O3054,0)</f>
        <v/>
      </c>
      <c r="Z3054" s="12" t="inlineStr">
        <is>
          <t>~120 ft between poles + riser</t>
        </is>
      </c>
      <c r="AA3054" s="12">
        <f>N3054*O3054</f>
        <v/>
      </c>
    </row>
    <row r="3055">
      <c r="A3055" s="12" t="inlineStr">
        <is>
          <t>F-P-0010</t>
        </is>
      </c>
      <c r="B3055" s="12" t="inlineStr">
        <is>
          <t>F</t>
        </is>
      </c>
      <c r="C3055" s="12" t="inlineStr">
        <is>
          <t>Controls / service</t>
        </is>
      </c>
      <c r="D3055" s="12" t="inlineStr">
        <is>
          <t>Motor 1 of 2, 75 kW</t>
        </is>
      </c>
      <c r="E3055" s="12" t="inlineStr">
        <is>
          <t>MCC-C2</t>
        </is>
      </c>
      <c r="F3055" s="12" t="inlineStr">
        <is>
          <t>R1 MCC-C2</t>
        </is>
      </c>
      <c r="G3055" s="12" t="inlineStr"/>
      <c r="H3055" s="12" t="inlineStr">
        <is>
          <t>Stormwater pump station (2 x 100% submersible pumps)</t>
        </is>
      </c>
      <c r="I3055" s="12" t="inlineStr">
        <is>
          <t>LV 600 V</t>
        </is>
      </c>
      <c r="J3055" s="12" t="inlineStr">
        <is>
          <t>Type TC-ER 600 V 3/C Cu XHHW-2 + ground, PVC jacket</t>
        </is>
      </c>
      <c r="K3055" s="12" t="inlineStr">
        <is>
          <t>LV|3/C+G|500</t>
        </is>
      </c>
      <c r="L3055" s="12" t="inlineStr">
        <is>
          <t>3/C+G</t>
        </is>
      </c>
      <c r="M3055" s="12" t="inlineStr">
        <is>
          <t>500 kcmil</t>
        </is>
      </c>
      <c r="N3055" s="12" t="n">
        <v>1</v>
      </c>
      <c r="O3055" s="12" t="n">
        <v>1</v>
      </c>
      <c r="P3055" s="12" t="n">
        <v>480</v>
      </c>
      <c r="Q3055" s="12" t="n">
        <v>75</v>
      </c>
      <c r="R3055" s="12" t="n">
        <v>106.1</v>
      </c>
      <c r="S3055" s="12" t="inlineStr">
        <is>
          <t>Duct bank</t>
        </is>
      </c>
      <c r="T3055" s="16" t="n">
        <v>1832</v>
      </c>
      <c r="U3055" s="16" t="n">
        <v>145</v>
      </c>
      <c r="V3055" s="16">
        <f>ROUNDUP((T3055+U3055+2*'Read Me'!$B$13)*(1+'Read Me'!$B$12),-1)</f>
        <v/>
      </c>
      <c r="W3055" s="16">
        <f>V3055*N3055*O3055</f>
        <v/>
      </c>
      <c r="X3055" s="12">
        <f>IF(LEFT(I3055,2)="MV",2*N3055*IF(L3055="1/C",O3055,1),0)</f>
        <v/>
      </c>
      <c r="Y3055" s="12">
        <f>IF(OR(LEFT(K3055,4)="LVAX",LEFT(K3055,6)="MV15AX",LEFT(K3055,4)="CTAX",LEFT(K3055,2)="W|"),2*N3055*O3055,0)</f>
        <v/>
      </c>
      <c r="Z3055" s="12" t="inlineStr">
        <is>
          <t>VD 2.1 %</t>
        </is>
      </c>
      <c r="AA3055" s="12">
        <f>N3055*O3055</f>
        <v/>
      </c>
    </row>
    <row r="3056">
      <c r="A3056" s="12" t="inlineStr">
        <is>
          <t>F-P-0011</t>
        </is>
      </c>
      <c r="B3056" s="12" t="inlineStr">
        <is>
          <t>F</t>
        </is>
      </c>
      <c r="C3056" s="12" t="inlineStr">
        <is>
          <t>Controls / service</t>
        </is>
      </c>
      <c r="D3056" s="12" t="inlineStr">
        <is>
          <t>Motor 2 of 2, 75 kW</t>
        </is>
      </c>
      <c r="E3056" s="12" t="inlineStr">
        <is>
          <t>MCC-C2</t>
        </is>
      </c>
      <c r="F3056" s="12" t="inlineStr">
        <is>
          <t>R1 MCC-C2</t>
        </is>
      </c>
      <c r="G3056" s="12" t="inlineStr"/>
      <c r="H3056" s="12" t="inlineStr">
        <is>
          <t>Stormwater pump station (2 x 100% submersible pumps)</t>
        </is>
      </c>
      <c r="I3056" s="12" t="inlineStr">
        <is>
          <t>LV 600 V</t>
        </is>
      </c>
      <c r="J3056" s="12" t="inlineStr">
        <is>
          <t>Type TC-ER 600 V 3/C Cu XHHW-2 + ground, PVC jacket</t>
        </is>
      </c>
      <c r="K3056" s="12" t="inlineStr">
        <is>
          <t>LV|3/C+G|500</t>
        </is>
      </c>
      <c r="L3056" s="12" t="inlineStr">
        <is>
          <t>3/C+G</t>
        </is>
      </c>
      <c r="M3056" s="12" t="inlineStr">
        <is>
          <t>500 kcmil</t>
        </is>
      </c>
      <c r="N3056" s="12" t="n">
        <v>1</v>
      </c>
      <c r="O3056" s="12" t="n">
        <v>1</v>
      </c>
      <c r="P3056" s="12" t="n">
        <v>480</v>
      </c>
      <c r="Q3056" s="12" t="n">
        <v>75</v>
      </c>
      <c r="R3056" s="12" t="n">
        <v>106.1</v>
      </c>
      <c r="S3056" s="12" t="inlineStr">
        <is>
          <t>Duct bank</t>
        </is>
      </c>
      <c r="T3056" s="16" t="n">
        <v>1832</v>
      </c>
      <c r="U3056" s="16" t="n">
        <v>145</v>
      </c>
      <c r="V3056" s="16">
        <f>ROUNDUP((T3056+U3056+2*'Read Me'!$B$13)*(1+'Read Me'!$B$12),-1)</f>
        <v/>
      </c>
      <c r="W3056" s="16">
        <f>V3056*N3056*O3056</f>
        <v/>
      </c>
      <c r="X3056" s="12">
        <f>IF(LEFT(I3056,2)="MV",2*N3056*IF(L3056="1/C",O3056,1),0)</f>
        <v/>
      </c>
      <c r="Y3056" s="12">
        <f>IF(OR(LEFT(K3056,4)="LVAX",LEFT(K3056,6)="MV15AX",LEFT(K3056,4)="CTAX",LEFT(K3056,2)="W|"),2*N3056*O3056,0)</f>
        <v/>
      </c>
      <c r="Z3056" s="12" t="inlineStr">
        <is>
          <t>VD 2.1 %</t>
        </is>
      </c>
      <c r="AA3056" s="12">
        <f>N3056*O3056</f>
        <v/>
      </c>
    </row>
    <row r="3057">
      <c r="A3057" s="12" t="inlineStr">
        <is>
          <t>F-P-0012</t>
        </is>
      </c>
      <c r="B3057" s="12" t="inlineStr">
        <is>
          <t>F</t>
        </is>
      </c>
      <c r="C3057" s="12" t="inlineStr">
        <is>
          <t>Controls / service</t>
        </is>
      </c>
      <c r="D3057" s="12" t="inlineStr">
        <is>
          <t>LV panel / distribution feeder</t>
        </is>
      </c>
      <c r="E3057" s="12" t="inlineStr">
        <is>
          <t>MCC-C2</t>
        </is>
      </c>
      <c r="F3057" s="12" t="inlineStr">
        <is>
          <t>R1 MCC-C2</t>
        </is>
      </c>
      <c r="G3057" s="12" t="inlineStr"/>
      <c r="H3057" s="12" t="inlineStr">
        <is>
          <t>Warehouse</t>
        </is>
      </c>
      <c r="I3057" s="12" t="inlineStr">
        <is>
          <t>LV 600 V</t>
        </is>
      </c>
      <c r="J3057" s="12" t="inlineStr">
        <is>
          <t>Type TC-ER 600 V 3/C Cu XHHW-2 + ground, PVC jacket</t>
        </is>
      </c>
      <c r="K3057" s="12" t="inlineStr">
        <is>
          <t>LV|3/C+G|500</t>
        </is>
      </c>
      <c r="L3057" s="12" t="inlineStr">
        <is>
          <t>3/C+G</t>
        </is>
      </c>
      <c r="M3057" s="12" t="inlineStr">
        <is>
          <t>500 kcmil</t>
        </is>
      </c>
      <c r="N3057" s="12" t="n">
        <v>1</v>
      </c>
      <c r="O3057" s="12" t="n">
        <v>1</v>
      </c>
      <c r="P3057" s="12" t="n">
        <v>480</v>
      </c>
      <c r="Q3057" s="12" t="n">
        <v>204</v>
      </c>
      <c r="R3057" s="12" t="n">
        <v>288.7</v>
      </c>
      <c r="S3057" s="12" t="inlineStr">
        <is>
          <t>Tray</t>
        </is>
      </c>
      <c r="T3057" s="16" t="n">
        <v>734</v>
      </c>
      <c r="U3057" s="16" t="n">
        <v>204</v>
      </c>
      <c r="V3057" s="16">
        <f>ROUNDUP((T3057+U3057+2*'Read Me'!$B$13)*(1+'Read Me'!$B$12),-1)</f>
        <v/>
      </c>
      <c r="W3057" s="16">
        <f>V3057*N3057*O3057</f>
        <v/>
      </c>
      <c r="X3057" s="12">
        <f>IF(LEFT(I3057,2)="MV",2*N3057*IF(L3057="1/C",O3057,1),0)</f>
        <v/>
      </c>
      <c r="Y3057" s="12">
        <f>IF(OR(LEFT(K3057,4)="LVAX",LEFT(K3057,6)="MV15AX",LEFT(K3057,4)="CTAX",LEFT(K3057,2)="W|"),2*N3057*O3057,0)</f>
        <v/>
      </c>
      <c r="Z3057" s="12" t="inlineStr">
        <is>
          <t>VD 2.8 %</t>
        </is>
      </c>
      <c r="AA3057" s="12">
        <f>N3057*O3057</f>
        <v/>
      </c>
    </row>
    <row r="3058">
      <c r="A3058" s="12" t="inlineStr">
        <is>
          <t>G-L-0001</t>
        </is>
      </c>
      <c r="B3058" s="12" t="inlineStr">
        <is>
          <t>G</t>
        </is>
      </c>
      <c r="C3058" s="12" t="inlineStr">
        <is>
          <t>Carbon capture</t>
        </is>
      </c>
      <c r="D3058" s="12" t="inlineStr">
        <is>
          <t>Lighting, receptacles and small power branch circuits (allowance)</t>
        </is>
      </c>
      <c r="E3058" s="12" t="inlineStr"/>
      <c r="F3058" s="12" t="inlineStr">
        <is>
          <t>CCS F&amp;G / control</t>
        </is>
      </c>
      <c r="G3058" s="12" t="inlineStr"/>
      <c r="H3058" s="12" t="inlineStr">
        <is>
          <t>CCS F&amp;G / control</t>
        </is>
      </c>
      <c r="I3058" s="12" t="inlineStr">
        <is>
          <t>Building wire</t>
        </is>
      </c>
      <c r="J3058" s="12" t="inlineStr">
        <is>
          <t>SIMpull THHN/THWN-2 600 V 1/C Cu (lighting, receptacles, small power)</t>
        </is>
      </c>
      <c r="K3058" s="12" t="inlineStr">
        <is>
          <t>THHN|1/C|12</t>
        </is>
      </c>
      <c r="L3058" s="12" t="inlineStr">
        <is>
          <t>1/C</t>
        </is>
      </c>
      <c r="M3058" s="12" t="inlineStr">
        <is>
          <t>12</t>
        </is>
      </c>
      <c r="N3058" s="12" t="n">
        <v>1</v>
      </c>
      <c r="O3058" s="12" t="n">
        <v>1</v>
      </c>
      <c r="P3058" s="12" t="n">
        <v>277</v>
      </c>
      <c r="Q3058" s="12" t="n"/>
      <c r="R3058" s="12" t="n"/>
      <c r="S3058" s="12" t="inlineStr">
        <is>
          <t>Conduit</t>
        </is>
      </c>
      <c r="T3058" s="16" t="n">
        <v>5400</v>
      </c>
      <c r="U3058" s="16" t="n">
        <v>0</v>
      </c>
      <c r="V3058" s="16">
        <f>ROUNDUP((T3058+U3058+2*'Read Me'!$B$13)*(1+'Read Me'!$B$12),-1)</f>
        <v/>
      </c>
      <c r="W3058" s="16">
        <f>V3058*N3058*O3058</f>
        <v/>
      </c>
      <c r="X3058" s="12">
        <f>IF(LEFT(I3058,2)="MV",2*N3058*IF(L3058="1/C",O3058,1),0)</f>
        <v/>
      </c>
      <c r="Y3058" s="12">
        <f>IF(OR(LEFT(K3058,4)="LVAX",LEFT(K3058,6)="MV15AX",LEFT(K3058,4)="CTAX",LEFT(K3058,2)="W|"),2*N3058*O3058,0)</f>
        <v/>
      </c>
      <c r="Z3058" s="12" t="inlineStr">
        <is>
          <t>allowance: 1.6 ft of conductor per ft2 of floor</t>
        </is>
      </c>
      <c r="AA3058" s="12">
        <f>N3058*O3058</f>
        <v/>
      </c>
    </row>
    <row r="3059">
      <c r="A3059" s="12" t="inlineStr">
        <is>
          <t>G-L-0002</t>
        </is>
      </c>
      <c r="B3059" s="12" t="inlineStr">
        <is>
          <t>G</t>
        </is>
      </c>
      <c r="C3059" s="12" t="inlineStr">
        <is>
          <t>Carbon capture</t>
        </is>
      </c>
      <c r="D3059" s="12" t="inlineStr">
        <is>
          <t>Lighting, receptacles and small power branch circuits (allowance)</t>
        </is>
      </c>
      <c r="E3059" s="12" t="inlineStr"/>
      <c r="F3059" s="12" t="inlineStr">
        <is>
          <t>CCS MV switchgear building (VFDs)</t>
        </is>
      </c>
      <c r="G3059" s="12" t="inlineStr"/>
      <c r="H3059" s="12" t="inlineStr">
        <is>
          <t>CCS MV switchgear building (VFDs)</t>
        </is>
      </c>
      <c r="I3059" s="12" t="inlineStr">
        <is>
          <t>Building wire</t>
        </is>
      </c>
      <c r="J3059" s="12" t="inlineStr">
        <is>
          <t>SIMpull THHN/THWN-2 600 V 1/C Cu (lighting, receptacles, small power)</t>
        </is>
      </c>
      <c r="K3059" s="12" t="inlineStr">
        <is>
          <t>THHN|1/C|12</t>
        </is>
      </c>
      <c r="L3059" s="12" t="inlineStr">
        <is>
          <t>1/C</t>
        </is>
      </c>
      <c r="M3059" s="12" t="inlineStr">
        <is>
          <t>12</t>
        </is>
      </c>
      <c r="N3059" s="12" t="n">
        <v>1</v>
      </c>
      <c r="O3059" s="12" t="n">
        <v>1</v>
      </c>
      <c r="P3059" s="12" t="n">
        <v>277</v>
      </c>
      <c r="Q3059" s="12" t="n"/>
      <c r="R3059" s="12" t="n"/>
      <c r="S3059" s="12" t="inlineStr">
        <is>
          <t>Conduit</t>
        </is>
      </c>
      <c r="T3059" s="16" t="n">
        <v>14560</v>
      </c>
      <c r="U3059" s="16" t="n">
        <v>0</v>
      </c>
      <c r="V3059" s="16">
        <f>ROUNDUP((T3059+U3059+2*'Read Me'!$B$13)*(1+'Read Me'!$B$12),-1)</f>
        <v/>
      </c>
      <c r="W3059" s="16">
        <f>V3059*N3059*O3059</f>
        <v/>
      </c>
      <c r="X3059" s="12">
        <f>IF(LEFT(I3059,2)="MV",2*N3059*IF(L3059="1/C",O3059,1),0)</f>
        <v/>
      </c>
      <c r="Y3059" s="12">
        <f>IF(OR(LEFT(K3059,4)="LVAX",LEFT(K3059,6)="MV15AX",LEFT(K3059,4)="CTAX",LEFT(K3059,2)="W|"),2*N3059*O3059,0)</f>
        <v/>
      </c>
      <c r="Z3059" s="12" t="inlineStr">
        <is>
          <t>allowance: 1.6 ft of conductor per ft2 of floor</t>
        </is>
      </c>
      <c r="AA3059" s="12">
        <f>N3059*O3059</f>
        <v/>
      </c>
    </row>
    <row r="3060">
      <c r="A3060" s="12" t="inlineStr">
        <is>
          <t>G-L-0003</t>
        </is>
      </c>
      <c r="B3060" s="12" t="inlineStr">
        <is>
          <t>G</t>
        </is>
      </c>
      <c r="C3060" s="12" t="inlineStr">
        <is>
          <t>Carbon capture</t>
        </is>
      </c>
      <c r="D3060" s="12" t="inlineStr">
        <is>
          <t>Lighting, receptacles and small power branch circuits (allowance)</t>
        </is>
      </c>
      <c r="E3060" s="12" t="inlineStr"/>
      <c r="F3060" s="12" t="inlineStr">
        <is>
          <t>CT MCC / VFD e-house</t>
        </is>
      </c>
      <c r="G3060" s="12" t="inlineStr"/>
      <c r="H3060" s="12" t="inlineStr">
        <is>
          <t>CT MCC / VFD e-house</t>
        </is>
      </c>
      <c r="I3060" s="12" t="inlineStr">
        <is>
          <t>Building wire</t>
        </is>
      </c>
      <c r="J3060" s="12" t="inlineStr">
        <is>
          <t>SIMpull THHN/THWN-2 600 V 1/C Cu (lighting, receptacles, small power)</t>
        </is>
      </c>
      <c r="K3060" s="12" t="inlineStr">
        <is>
          <t>THHN|1/C|12</t>
        </is>
      </c>
      <c r="L3060" s="12" t="inlineStr">
        <is>
          <t>1/C</t>
        </is>
      </c>
      <c r="M3060" s="12" t="inlineStr">
        <is>
          <t>12</t>
        </is>
      </c>
      <c r="N3060" s="12" t="n">
        <v>1</v>
      </c>
      <c r="O3060" s="12" t="n">
        <v>1</v>
      </c>
      <c r="P3060" s="12" t="n">
        <v>277</v>
      </c>
      <c r="Q3060" s="12" t="n"/>
      <c r="R3060" s="12" t="n"/>
      <c r="S3060" s="12" t="inlineStr">
        <is>
          <t>Conduit</t>
        </is>
      </c>
      <c r="T3060" s="16" t="n">
        <v>7920</v>
      </c>
      <c r="U3060" s="16" t="n">
        <v>0</v>
      </c>
      <c r="V3060" s="16">
        <f>ROUNDUP((T3060+U3060+2*'Read Me'!$B$13)*(1+'Read Me'!$B$12),-1)</f>
        <v/>
      </c>
      <c r="W3060" s="16">
        <f>V3060*N3060*O3060</f>
        <v/>
      </c>
      <c r="X3060" s="12">
        <f>IF(LEFT(I3060,2)="MV",2*N3060*IF(L3060="1/C",O3060,1),0)</f>
        <v/>
      </c>
      <c r="Y3060" s="12">
        <f>IF(OR(LEFT(K3060,4)="LVAX",LEFT(K3060,6)="MV15AX",LEFT(K3060,4)="CTAX",LEFT(K3060,2)="W|"),2*N3060*O3060,0)</f>
        <v/>
      </c>
      <c r="Z3060" s="12" t="inlineStr">
        <is>
          <t>allowance: 1.6 ft of conductor per ft2 of floor</t>
        </is>
      </c>
      <c r="AA3060" s="12">
        <f>N3060*O3060</f>
        <v/>
      </c>
    </row>
    <row r="3061">
      <c r="A3061" s="12" t="inlineStr">
        <is>
          <t>G-C-0001</t>
        </is>
      </c>
      <c r="B3061" s="12" t="inlineStr">
        <is>
          <t>G</t>
        </is>
      </c>
      <c r="C3061" s="12" t="inlineStr">
        <is>
          <t>Carbon capture</t>
        </is>
      </c>
      <c r="D3061" s="12" t="inlineStr">
        <is>
          <t>MOV 1: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G-C-0002</t>
        </is>
      </c>
      <c r="B3062" s="12" t="inlineStr">
        <is>
          <t>G</t>
        </is>
      </c>
      <c r="C3062" s="12" t="inlineStr">
        <is>
          <t>Carbon capture</t>
        </is>
      </c>
      <c r="D3062" s="12" t="inlineStr">
        <is>
          <t>MOV 2: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G-C-0003</t>
        </is>
      </c>
      <c r="B3063" s="12" t="inlineStr">
        <is>
          <t>G</t>
        </is>
      </c>
      <c r="C3063" s="12" t="inlineStr">
        <is>
          <t>Carbon capture</t>
        </is>
      </c>
      <c r="D3063" s="12" t="inlineStr">
        <is>
          <t>MOV 3: control</t>
        </is>
      </c>
      <c r="E3063" s="12" t="inlineStr"/>
      <c r="F3063" s="12" t="inlineStr">
        <is>
          <t>CCS MV switchgear building (VFDs)</t>
        </is>
      </c>
      <c r="G3063" s="12" t="inlineStr">
        <is>
          <t>ABS-A</t>
        </is>
      </c>
      <c r="H3063" s="12" t="inlineStr">
        <is>
          <t>Absorber A (62 ft dia x 262 ft, stack to 313 ft)</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Tray</t>
        </is>
      </c>
      <c r="T3063" s="16" t="n">
        <v>570</v>
      </c>
      <c r="U3063" s="16" t="n">
        <v>80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G-C-0004</t>
        </is>
      </c>
      <c r="B3064" s="12" t="inlineStr">
        <is>
          <t>G</t>
        </is>
      </c>
      <c r="C3064" s="12" t="inlineStr">
        <is>
          <t>Carbon capture</t>
        </is>
      </c>
      <c r="D3064" s="12" t="inlineStr">
        <is>
          <t>MOV 4: control</t>
        </is>
      </c>
      <c r="E3064" s="12" t="inlineStr"/>
      <c r="F3064" s="12" t="inlineStr">
        <is>
          <t>CCS MV switchgear building (VFDs)</t>
        </is>
      </c>
      <c r="G3064" s="12" t="inlineStr">
        <is>
          <t>ABS-A</t>
        </is>
      </c>
      <c r="H3064" s="12" t="inlineStr">
        <is>
          <t>Absorber A (62 ft dia x 262 ft, stack to 313 ft)</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Tray</t>
        </is>
      </c>
      <c r="T3064" s="16" t="n">
        <v>570</v>
      </c>
      <c r="U3064" s="16" t="n">
        <v>80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G-C-0005</t>
        </is>
      </c>
      <c r="B3065" s="12" t="inlineStr">
        <is>
          <t>G</t>
        </is>
      </c>
      <c r="C3065" s="12" t="inlineStr">
        <is>
          <t>Carbon capture</t>
        </is>
      </c>
      <c r="D3065" s="12" t="inlineStr">
        <is>
          <t>MOV 5: control</t>
        </is>
      </c>
      <c r="E3065" s="12" t="inlineStr"/>
      <c r="F3065" s="12" t="inlineStr">
        <is>
          <t>CCS MV switchgear building (VFDs)</t>
        </is>
      </c>
      <c r="G3065" s="12" t="inlineStr">
        <is>
          <t>ABS-A</t>
        </is>
      </c>
      <c r="H3065" s="12" t="inlineStr">
        <is>
          <t>Absorber A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570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G-C-0006</t>
        </is>
      </c>
      <c r="B3066" s="12" t="inlineStr">
        <is>
          <t>G</t>
        </is>
      </c>
      <c r="C3066" s="12" t="inlineStr">
        <is>
          <t>Carbon capture</t>
        </is>
      </c>
      <c r="D3066" s="12" t="inlineStr">
        <is>
          <t>MOV 6: control</t>
        </is>
      </c>
      <c r="E3066" s="12" t="inlineStr"/>
      <c r="F3066" s="12" t="inlineStr">
        <is>
          <t>CCS MV switchgear building (VFDs)</t>
        </is>
      </c>
      <c r="G3066" s="12" t="inlineStr">
        <is>
          <t>ABS-A</t>
        </is>
      </c>
      <c r="H3066" s="12" t="inlineStr">
        <is>
          <t>Absorber A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570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G-C-0007</t>
        </is>
      </c>
      <c r="B3067" s="12" t="inlineStr">
        <is>
          <t>G</t>
        </is>
      </c>
      <c r="C3067" s="12" t="inlineStr">
        <is>
          <t>Carbon capture</t>
        </is>
      </c>
      <c r="D3067" s="12" t="inlineStr">
        <is>
          <t>MOV 7: control</t>
        </is>
      </c>
      <c r="E3067" s="12" t="inlineStr"/>
      <c r="F3067" s="12" t="inlineStr">
        <is>
          <t>CCS MV switchgear building (VFDs)</t>
        </is>
      </c>
      <c r="G3067" s="12" t="inlineStr">
        <is>
          <t>ABS-A</t>
        </is>
      </c>
      <c r="H3067" s="12" t="inlineStr">
        <is>
          <t>Absorber A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570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G-C-0008</t>
        </is>
      </c>
      <c r="B3068" s="12" t="inlineStr">
        <is>
          <t>G</t>
        </is>
      </c>
      <c r="C3068" s="12" t="inlineStr">
        <is>
          <t>Carbon capture</t>
        </is>
      </c>
      <c r="D3068" s="12" t="inlineStr">
        <is>
          <t>MOV 8: control</t>
        </is>
      </c>
      <c r="E3068" s="12" t="inlineStr"/>
      <c r="F3068" s="12" t="inlineStr">
        <is>
          <t>CCS MV switchgear building (VFDs)</t>
        </is>
      </c>
      <c r="G3068" s="12" t="inlineStr">
        <is>
          <t>ABS-A</t>
        </is>
      </c>
      <c r="H3068" s="12" t="inlineStr">
        <is>
          <t>Absorber A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570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G-C-0009</t>
        </is>
      </c>
      <c r="B3069" s="12" t="inlineStr">
        <is>
          <t>G</t>
        </is>
      </c>
      <c r="C3069" s="12" t="inlineStr">
        <is>
          <t>Carbon capture</t>
        </is>
      </c>
      <c r="D3069" s="12" t="inlineStr">
        <is>
          <t>MOV 9: control</t>
        </is>
      </c>
      <c r="E3069" s="12" t="inlineStr"/>
      <c r="F3069" s="12" t="inlineStr">
        <is>
          <t>CCS MV switchgear building (VFDs)</t>
        </is>
      </c>
      <c r="G3069" s="12" t="inlineStr">
        <is>
          <t>ABS-A</t>
        </is>
      </c>
      <c r="H3069" s="12" t="inlineStr">
        <is>
          <t>Absorber A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570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G-C-0010</t>
        </is>
      </c>
      <c r="B3070" s="12" t="inlineStr">
        <is>
          <t>G</t>
        </is>
      </c>
      <c r="C3070" s="12" t="inlineStr">
        <is>
          <t>Carbon capture</t>
        </is>
      </c>
      <c r="D3070" s="12" t="inlineStr">
        <is>
          <t>MOV 10: control</t>
        </is>
      </c>
      <c r="E3070" s="12" t="inlineStr"/>
      <c r="F3070" s="12" t="inlineStr">
        <is>
          <t>CCS MV switchgear building (VFDs)</t>
        </is>
      </c>
      <c r="G3070" s="12" t="inlineStr">
        <is>
          <t>ABS-A</t>
        </is>
      </c>
      <c r="H3070" s="12" t="inlineStr">
        <is>
          <t>Absorber A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570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Absorber A intercooler (pumps + plate exchanger)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Tray</t>
        </is>
      </c>
      <c r="T3071" s="16" t="n">
        <v>552</v>
      </c>
      <c r="U3071" s="16" t="n">
        <v>81</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Absorber A intercooler (pumps + plate exchanger)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552</v>
      </c>
      <c r="U3072" s="16" t="n">
        <v>81</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G-C-0013</t>
        </is>
      </c>
      <c r="B3073" s="12" t="inlineStr">
        <is>
          <t>G</t>
        </is>
      </c>
      <c r="C3073" s="12" t="inlineStr">
        <is>
          <t>Carbon capture</t>
        </is>
      </c>
      <c r="D3073" s="12" t="inlineStr">
        <is>
          <t>MOV 1: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G-C-0014</t>
        </is>
      </c>
      <c r="B3074" s="12" t="inlineStr">
        <is>
          <t>G</t>
        </is>
      </c>
      <c r="C3074" s="12" t="inlineStr">
        <is>
          <t>Carbon capture</t>
        </is>
      </c>
      <c r="D3074" s="12" t="inlineStr">
        <is>
          <t>MOV 2: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G-C-0015</t>
        </is>
      </c>
      <c r="B3075" s="12" t="inlineStr">
        <is>
          <t>G</t>
        </is>
      </c>
      <c r="C3075" s="12" t="inlineStr">
        <is>
          <t>Carbon capture</t>
        </is>
      </c>
      <c r="D3075" s="12" t="inlineStr">
        <is>
          <t>MOV 3: control</t>
        </is>
      </c>
      <c r="E3075" s="12" t="inlineStr"/>
      <c r="F3075" s="12" t="inlineStr">
        <is>
          <t>CCS MV switchgear building (VFDs)</t>
        </is>
      </c>
      <c r="G3075" s="12" t="inlineStr">
        <is>
          <t>ABS-B</t>
        </is>
      </c>
      <c r="H3075" s="12" t="inlineStr">
        <is>
          <t>Absorber B (62 ft dia x 262 ft, stack to 313 ft)</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Tray</t>
        </is>
      </c>
      <c r="T3075" s="16" t="n">
        <v>410</v>
      </c>
      <c r="U3075" s="16" t="n">
        <v>80</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G-C-0016</t>
        </is>
      </c>
      <c r="B3076" s="12" t="inlineStr">
        <is>
          <t>G</t>
        </is>
      </c>
      <c r="C3076" s="12" t="inlineStr">
        <is>
          <t>Carbon capture</t>
        </is>
      </c>
      <c r="D3076" s="12" t="inlineStr">
        <is>
          <t>MOV 4: control</t>
        </is>
      </c>
      <c r="E3076" s="12" t="inlineStr"/>
      <c r="F3076" s="12" t="inlineStr">
        <is>
          <t>CCS MV switchgear building (VFDs)</t>
        </is>
      </c>
      <c r="G3076" s="12" t="inlineStr">
        <is>
          <t>ABS-B</t>
        </is>
      </c>
      <c r="H3076" s="12" t="inlineStr">
        <is>
          <t>Absorber B (62 ft dia x 262 ft, stack to 313 ft)</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Tray</t>
        </is>
      </c>
      <c r="T3076" s="16" t="n">
        <v>410</v>
      </c>
      <c r="U3076" s="16" t="n">
        <v>80</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G-C-0017</t>
        </is>
      </c>
      <c r="B3077" s="12" t="inlineStr">
        <is>
          <t>G</t>
        </is>
      </c>
      <c r="C3077" s="12" t="inlineStr">
        <is>
          <t>Carbon capture</t>
        </is>
      </c>
      <c r="D3077" s="12" t="inlineStr">
        <is>
          <t>MOV 5: control</t>
        </is>
      </c>
      <c r="E3077" s="12" t="inlineStr"/>
      <c r="F3077" s="12" t="inlineStr">
        <is>
          <t>CCS MV switchgear building (VFDs)</t>
        </is>
      </c>
      <c r="G3077" s="12" t="inlineStr">
        <is>
          <t>ABS-B</t>
        </is>
      </c>
      <c r="H3077" s="12" t="inlineStr">
        <is>
          <t>Absorber B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410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G-C-0018</t>
        </is>
      </c>
      <c r="B3078" s="12" t="inlineStr">
        <is>
          <t>G</t>
        </is>
      </c>
      <c r="C3078" s="12" t="inlineStr">
        <is>
          <t>Carbon capture</t>
        </is>
      </c>
      <c r="D3078" s="12" t="inlineStr">
        <is>
          <t>MOV 6: control</t>
        </is>
      </c>
      <c r="E3078" s="12" t="inlineStr"/>
      <c r="F3078" s="12" t="inlineStr">
        <is>
          <t>CCS MV switchgear building (VFDs)</t>
        </is>
      </c>
      <c r="G3078" s="12" t="inlineStr">
        <is>
          <t>ABS-B</t>
        </is>
      </c>
      <c r="H3078" s="12" t="inlineStr">
        <is>
          <t>Absorber B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410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G-C-0019</t>
        </is>
      </c>
      <c r="B3079" s="12" t="inlineStr">
        <is>
          <t>G</t>
        </is>
      </c>
      <c r="C3079" s="12" t="inlineStr">
        <is>
          <t>Carbon capture</t>
        </is>
      </c>
      <c r="D3079" s="12" t="inlineStr">
        <is>
          <t>MOV 7: control</t>
        </is>
      </c>
      <c r="E3079" s="12" t="inlineStr"/>
      <c r="F3079" s="12" t="inlineStr">
        <is>
          <t>CCS MV switchgear building (VFDs)</t>
        </is>
      </c>
      <c r="G3079" s="12" t="inlineStr">
        <is>
          <t>ABS-B</t>
        </is>
      </c>
      <c r="H3079" s="12" t="inlineStr">
        <is>
          <t>Absorber B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410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G-C-0020</t>
        </is>
      </c>
      <c r="B3080" s="12" t="inlineStr">
        <is>
          <t>G</t>
        </is>
      </c>
      <c r="C3080" s="12" t="inlineStr">
        <is>
          <t>Carbon capture</t>
        </is>
      </c>
      <c r="D3080" s="12" t="inlineStr">
        <is>
          <t>MOV 8: control</t>
        </is>
      </c>
      <c r="E3080" s="12" t="inlineStr"/>
      <c r="F3080" s="12" t="inlineStr">
        <is>
          <t>CCS MV switchgear building (VFDs)</t>
        </is>
      </c>
      <c r="G3080" s="12" t="inlineStr">
        <is>
          <t>ABS-B</t>
        </is>
      </c>
      <c r="H3080" s="12" t="inlineStr">
        <is>
          <t>Absorber B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410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G-C-0021</t>
        </is>
      </c>
      <c r="B3081" s="12" t="inlineStr">
        <is>
          <t>G</t>
        </is>
      </c>
      <c r="C3081" s="12" t="inlineStr">
        <is>
          <t>Carbon capture</t>
        </is>
      </c>
      <c r="D3081" s="12" t="inlineStr">
        <is>
          <t>MOV 9: control</t>
        </is>
      </c>
      <c r="E3081" s="12" t="inlineStr"/>
      <c r="F3081" s="12" t="inlineStr">
        <is>
          <t>CCS MV switchgear building (VFDs)</t>
        </is>
      </c>
      <c r="G3081" s="12" t="inlineStr">
        <is>
          <t>ABS-B</t>
        </is>
      </c>
      <c r="H3081" s="12" t="inlineStr">
        <is>
          <t>Absorber B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410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G-C-0022</t>
        </is>
      </c>
      <c r="B3082" s="12" t="inlineStr">
        <is>
          <t>G</t>
        </is>
      </c>
      <c r="C3082" s="12" t="inlineStr">
        <is>
          <t>Carbon capture</t>
        </is>
      </c>
      <c r="D3082" s="12" t="inlineStr">
        <is>
          <t>MOV 10: control</t>
        </is>
      </c>
      <c r="E3082" s="12" t="inlineStr"/>
      <c r="F3082" s="12" t="inlineStr">
        <is>
          <t>CCS MV switchgear building (VFDs)</t>
        </is>
      </c>
      <c r="G3082" s="12" t="inlineStr">
        <is>
          <t>ABS-B</t>
        </is>
      </c>
      <c r="H3082" s="12" t="inlineStr">
        <is>
          <t>Absorber B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410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G-C-0023</t>
        </is>
      </c>
      <c r="B3083" s="12" t="inlineStr">
        <is>
          <t>G</t>
        </is>
      </c>
      <c r="C3083" s="12" t="inlineStr">
        <is>
          <t>Carbon capture</t>
        </is>
      </c>
      <c r="D3083" s="12" t="inlineStr">
        <is>
          <t>Motor 1 of 2: control / local station</t>
        </is>
      </c>
      <c r="E3083" s="12" t="inlineStr"/>
      <c r="F3083" s="12" t="inlineStr">
        <is>
          <t>CCS MV switchgear building (VFDs)</t>
        </is>
      </c>
      <c r="G3083" s="12" t="inlineStr"/>
      <c r="H3083" s="12" t="inlineStr">
        <is>
          <t>Absorber B intercooler (pumps + plate exchanger)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Tray</t>
        </is>
      </c>
      <c r="T3083" s="16" t="n">
        <v>392</v>
      </c>
      <c r="U3083" s="16" t="n">
        <v>81</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G-C-0024</t>
        </is>
      </c>
      <c r="B3084" s="12" t="inlineStr">
        <is>
          <t>G</t>
        </is>
      </c>
      <c r="C3084" s="12" t="inlineStr">
        <is>
          <t>Carbon capture</t>
        </is>
      </c>
      <c r="D3084" s="12" t="inlineStr">
        <is>
          <t>Motor 2 of 2: control / local station</t>
        </is>
      </c>
      <c r="E3084" s="12" t="inlineStr"/>
      <c r="F3084" s="12" t="inlineStr">
        <is>
          <t>CCS MV switchgear building (VFDs)</t>
        </is>
      </c>
      <c r="G3084" s="12" t="inlineStr"/>
      <c r="H3084" s="12" t="inlineStr">
        <is>
          <t>Absorber B intercooler (pumps + plate exchanger)</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Tray</t>
        </is>
      </c>
      <c r="T3084" s="16" t="n">
        <v>392</v>
      </c>
      <c r="U3084" s="16" t="n">
        <v>81</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G-C-0025</t>
        </is>
      </c>
      <c r="B3085" s="12" t="inlineStr">
        <is>
          <t>G</t>
        </is>
      </c>
      <c r="C3085" s="12" t="inlineStr">
        <is>
          <t>Carbon capture</t>
        </is>
      </c>
      <c r="D3085" s="12" t="inlineStr">
        <is>
          <t>MOV 1: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G-C-0026</t>
        </is>
      </c>
      <c r="B3086" s="12" t="inlineStr">
        <is>
          <t>G</t>
        </is>
      </c>
      <c r="C3086" s="12" t="inlineStr">
        <is>
          <t>Carbon capture</t>
        </is>
      </c>
      <c r="D3086" s="12" t="inlineStr">
        <is>
          <t>MOV 2: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G-C-0027</t>
        </is>
      </c>
      <c r="B3087" s="12" t="inlineStr">
        <is>
          <t>G</t>
        </is>
      </c>
      <c r="C3087" s="12" t="inlineStr">
        <is>
          <t>Carbon capture</t>
        </is>
      </c>
      <c r="D3087" s="12" t="inlineStr">
        <is>
          <t>MOV 3: control</t>
        </is>
      </c>
      <c r="E3087" s="12" t="inlineStr"/>
      <c r="F3087" s="12" t="inlineStr">
        <is>
          <t>CCS MV switchgear building (VFDs)</t>
        </is>
      </c>
      <c r="G3087" s="12" t="inlineStr">
        <is>
          <t>ABS-C</t>
        </is>
      </c>
      <c r="H3087" s="12" t="inlineStr">
        <is>
          <t>Absorber C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6" t="n">
        <v>250</v>
      </c>
      <c r="U3087" s="16" t="n">
        <v>80</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G-C-0028</t>
        </is>
      </c>
      <c r="B3088" s="12" t="inlineStr">
        <is>
          <t>G</t>
        </is>
      </c>
      <c r="C3088" s="12" t="inlineStr">
        <is>
          <t>Carbon capture</t>
        </is>
      </c>
      <c r="D3088" s="12" t="inlineStr">
        <is>
          <t>MOV 4: control</t>
        </is>
      </c>
      <c r="E3088" s="12" t="inlineStr"/>
      <c r="F3088" s="12" t="inlineStr">
        <is>
          <t>CCS MV switchgear building (VFDs)</t>
        </is>
      </c>
      <c r="G3088" s="12" t="inlineStr">
        <is>
          <t>ABS-C</t>
        </is>
      </c>
      <c r="H3088" s="12" t="inlineStr">
        <is>
          <t>Absorber C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6" t="n">
        <v>250</v>
      </c>
      <c r="U3088" s="16" t="n">
        <v>80</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G-C-0029</t>
        </is>
      </c>
      <c r="B3089" s="12" t="inlineStr">
        <is>
          <t>G</t>
        </is>
      </c>
      <c r="C3089" s="12" t="inlineStr">
        <is>
          <t>Carbon capture</t>
        </is>
      </c>
      <c r="D3089" s="12" t="inlineStr">
        <is>
          <t>MOV 5: control</t>
        </is>
      </c>
      <c r="E3089" s="12" t="inlineStr"/>
      <c r="F3089" s="12" t="inlineStr">
        <is>
          <t>CCS MV switchgear building (VFDs)</t>
        </is>
      </c>
      <c r="G3089" s="12" t="inlineStr">
        <is>
          <t>ABS-C</t>
        </is>
      </c>
      <c r="H3089" s="12" t="inlineStr">
        <is>
          <t>Absorber C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6" t="n">
        <v>250</v>
      </c>
      <c r="U3089" s="16" t="n">
        <v>80</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G-C-0030</t>
        </is>
      </c>
      <c r="B3090" s="12" t="inlineStr">
        <is>
          <t>G</t>
        </is>
      </c>
      <c r="C3090" s="12" t="inlineStr">
        <is>
          <t>Carbon capture</t>
        </is>
      </c>
      <c r="D3090" s="12" t="inlineStr">
        <is>
          <t>MOV 6: control</t>
        </is>
      </c>
      <c r="E3090" s="12" t="inlineStr"/>
      <c r="F3090" s="12" t="inlineStr">
        <is>
          <t>CCS MV switchgear building (VFDs)</t>
        </is>
      </c>
      <c r="G3090" s="12" t="inlineStr">
        <is>
          <t>ABS-C</t>
        </is>
      </c>
      <c r="H3090" s="12" t="inlineStr">
        <is>
          <t>Absorber C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6" t="n">
        <v>250</v>
      </c>
      <c r="U3090" s="16" t="n">
        <v>80</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G-C-0031</t>
        </is>
      </c>
      <c r="B3091" s="12" t="inlineStr">
        <is>
          <t>G</t>
        </is>
      </c>
      <c r="C3091" s="12" t="inlineStr">
        <is>
          <t>Carbon capture</t>
        </is>
      </c>
      <c r="D3091" s="12" t="inlineStr">
        <is>
          <t>MOV 7: control</t>
        </is>
      </c>
      <c r="E3091" s="12" t="inlineStr"/>
      <c r="F3091" s="12" t="inlineStr">
        <is>
          <t>CCS MV switchgear building (VFDs)</t>
        </is>
      </c>
      <c r="G3091" s="12" t="inlineStr">
        <is>
          <t>ABS-C</t>
        </is>
      </c>
      <c r="H3091" s="12" t="inlineStr">
        <is>
          <t>Absorber C (62 ft dia x 262 ft, stack to 313 ft)</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Tray</t>
        </is>
      </c>
      <c r="T3091" s="16" t="n">
        <v>250</v>
      </c>
      <c r="U3091" s="16" t="n">
        <v>80</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G-C-0032</t>
        </is>
      </c>
      <c r="B3092" s="12" t="inlineStr">
        <is>
          <t>G</t>
        </is>
      </c>
      <c r="C3092" s="12" t="inlineStr">
        <is>
          <t>Carbon capture</t>
        </is>
      </c>
      <c r="D3092" s="12" t="inlineStr">
        <is>
          <t>MOV 8: control</t>
        </is>
      </c>
      <c r="E3092" s="12" t="inlineStr"/>
      <c r="F3092" s="12" t="inlineStr">
        <is>
          <t>CCS MV switchgear building (VFDs)</t>
        </is>
      </c>
      <c r="G3092" s="12" t="inlineStr">
        <is>
          <t>ABS-C</t>
        </is>
      </c>
      <c r="H3092" s="12" t="inlineStr">
        <is>
          <t>Absorber C (62 ft dia x 262 ft, stack to 313 ft)</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Tray</t>
        </is>
      </c>
      <c r="T3092" s="16" t="n">
        <v>250</v>
      </c>
      <c r="U3092" s="16" t="n">
        <v>80</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G-C-0033</t>
        </is>
      </c>
      <c r="B3093" s="12" t="inlineStr">
        <is>
          <t>G</t>
        </is>
      </c>
      <c r="C3093" s="12" t="inlineStr">
        <is>
          <t>Carbon capture</t>
        </is>
      </c>
      <c r="D3093" s="12" t="inlineStr">
        <is>
          <t>MOV 9: control</t>
        </is>
      </c>
      <c r="E3093" s="12" t="inlineStr"/>
      <c r="F3093" s="12" t="inlineStr">
        <is>
          <t>CCS MV switchgear building (VFDs)</t>
        </is>
      </c>
      <c r="G3093" s="12" t="inlineStr">
        <is>
          <t>ABS-C</t>
        </is>
      </c>
      <c r="H3093" s="12" t="inlineStr">
        <is>
          <t>Absorber C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6" t="n">
        <v>250</v>
      </c>
      <c r="U3093" s="16" t="n">
        <v>80</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G-C-0034</t>
        </is>
      </c>
      <c r="B3094" s="12" t="inlineStr">
        <is>
          <t>G</t>
        </is>
      </c>
      <c r="C3094" s="12" t="inlineStr">
        <is>
          <t>Carbon capture</t>
        </is>
      </c>
      <c r="D3094" s="12" t="inlineStr">
        <is>
          <t>MOV 10: control</t>
        </is>
      </c>
      <c r="E3094" s="12" t="inlineStr"/>
      <c r="F3094" s="12" t="inlineStr">
        <is>
          <t>CCS MV switchgear building (VFDs)</t>
        </is>
      </c>
      <c r="G3094" s="12" t="inlineStr">
        <is>
          <t>ABS-C</t>
        </is>
      </c>
      <c r="H3094" s="12" t="inlineStr">
        <is>
          <t>Absorber C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6" t="n">
        <v>250</v>
      </c>
      <c r="U3094" s="16" t="n">
        <v>80</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G-C-0035</t>
        </is>
      </c>
      <c r="B3095" s="12" t="inlineStr">
        <is>
          <t>G</t>
        </is>
      </c>
      <c r="C3095" s="12" t="inlineStr">
        <is>
          <t>Carbon capture</t>
        </is>
      </c>
      <c r="D3095" s="12" t="inlineStr">
        <is>
          <t>Motor 1 of 2: control / local station</t>
        </is>
      </c>
      <c r="E3095" s="12" t="inlineStr"/>
      <c r="F3095" s="12" t="inlineStr">
        <is>
          <t>CCS MV switchgear building (VFDs)</t>
        </is>
      </c>
      <c r="G3095" s="12" t="inlineStr"/>
      <c r="H3095" s="12" t="inlineStr">
        <is>
          <t>Absorber C intercooler (pumps + plate exchanger)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6" t="n">
        <v>232</v>
      </c>
      <c r="U3095" s="16" t="n">
        <v>81</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G-C-0036</t>
        </is>
      </c>
      <c r="B3096" s="12" t="inlineStr">
        <is>
          <t>G</t>
        </is>
      </c>
      <c r="C3096" s="12" t="inlineStr">
        <is>
          <t>Carbon capture</t>
        </is>
      </c>
      <c r="D3096" s="12" t="inlineStr">
        <is>
          <t>Motor 2 of 2: control / local station</t>
        </is>
      </c>
      <c r="E3096" s="12" t="inlineStr"/>
      <c r="F3096" s="12" t="inlineStr">
        <is>
          <t>CCS MV switchgear building (VFDs)</t>
        </is>
      </c>
      <c r="G3096" s="12" t="inlineStr"/>
      <c r="H3096" s="12" t="inlineStr">
        <is>
          <t>Absorber C intercooler (pumps + plate exchanger)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Tray</t>
        </is>
      </c>
      <c r="T3096" s="16" t="n">
        <v>232</v>
      </c>
      <c r="U3096" s="16" t="n">
        <v>81</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G-C-0037</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BF-A</t>
        </is>
      </c>
      <c r="H3097" s="12" t="inlineStr">
        <is>
          <t>BF-A: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460</v>
      </c>
      <c r="U3097" s="16" t="n">
        <v>32</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G-C-0038</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BF-A</t>
        </is>
      </c>
      <c r="H3098" s="12" t="inlineStr">
        <is>
          <t>BF-A: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460</v>
      </c>
      <c r="U3098" s="16" t="n">
        <v>32</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G-C-0039</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BF-A</t>
        </is>
      </c>
      <c r="H3099" s="12" t="inlineStr">
        <is>
          <t>BF-A: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460</v>
      </c>
      <c r="U3099" s="16" t="n">
        <v>32</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G-C-0040</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BF-A</t>
        </is>
      </c>
      <c r="H3100" s="12" t="inlineStr">
        <is>
          <t>BF-A: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6" t="n">
        <v>460</v>
      </c>
      <c r="U3100" s="16" t="n">
        <v>32</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G-C-0041</t>
        </is>
      </c>
      <c r="B3101" s="12" t="inlineStr">
        <is>
          <t>G</t>
        </is>
      </c>
      <c r="C3101" s="12" t="inlineStr">
        <is>
          <t>Carbon capture</t>
        </is>
      </c>
      <c r="D3101" s="12" t="inlineStr">
        <is>
          <t>Motor 1 of 4: control / local station</t>
        </is>
      </c>
      <c r="E3101" s="12" t="inlineStr"/>
      <c r="F3101" s="12" t="inlineStr">
        <is>
          <t>CCS MV switchgear building (VFDs)</t>
        </is>
      </c>
      <c r="G3101" s="12" t="inlineStr">
        <is>
          <t>BF-B</t>
        </is>
      </c>
      <c r="H3101" s="12" t="inlineStr">
        <is>
          <t>BF-B: booster fan (~16 MW)</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6" t="n">
        <v>300</v>
      </c>
      <c r="U3101" s="16" t="n">
        <v>32</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G-C-0042</t>
        </is>
      </c>
      <c r="B3102" s="12" t="inlineStr">
        <is>
          <t>G</t>
        </is>
      </c>
      <c r="C3102" s="12" t="inlineStr">
        <is>
          <t>Carbon capture</t>
        </is>
      </c>
      <c r="D3102" s="12" t="inlineStr">
        <is>
          <t>Motor 2 of 4: control / local station</t>
        </is>
      </c>
      <c r="E3102" s="12" t="inlineStr"/>
      <c r="F3102" s="12" t="inlineStr">
        <is>
          <t>CCS MV switchgear building (VFDs)</t>
        </is>
      </c>
      <c r="G3102" s="12" t="inlineStr">
        <is>
          <t>BF-B</t>
        </is>
      </c>
      <c r="H3102" s="12" t="inlineStr">
        <is>
          <t>BF-B: booster fan (~16 MW)</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300</v>
      </c>
      <c r="U3102" s="16" t="n">
        <v>32</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G-C-0043</t>
        </is>
      </c>
      <c r="B3103" s="12" t="inlineStr">
        <is>
          <t>G</t>
        </is>
      </c>
      <c r="C3103" s="12" t="inlineStr">
        <is>
          <t>Carbon capture</t>
        </is>
      </c>
      <c r="D3103" s="12" t="inlineStr">
        <is>
          <t>Motor 3 of 4: control / local station</t>
        </is>
      </c>
      <c r="E3103" s="12" t="inlineStr"/>
      <c r="F3103" s="12" t="inlineStr">
        <is>
          <t>CCS MV switchgear building (VFDs)</t>
        </is>
      </c>
      <c r="G3103" s="12" t="inlineStr">
        <is>
          <t>BF-B</t>
        </is>
      </c>
      <c r="H3103" s="12" t="inlineStr">
        <is>
          <t>BF-B: booster fan (~16 MW)</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300</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G-C-0044</t>
        </is>
      </c>
      <c r="B3104" s="12" t="inlineStr">
        <is>
          <t>G</t>
        </is>
      </c>
      <c r="C3104" s="12" t="inlineStr">
        <is>
          <t>Carbon capture</t>
        </is>
      </c>
      <c r="D3104" s="12" t="inlineStr">
        <is>
          <t>Motor 4 of 4: control / local station</t>
        </is>
      </c>
      <c r="E3104" s="12" t="inlineStr"/>
      <c r="F3104" s="12" t="inlineStr">
        <is>
          <t>CCS MV switchgear building (VFDs)</t>
        </is>
      </c>
      <c r="G3104" s="12" t="inlineStr">
        <is>
          <t>BF-B</t>
        </is>
      </c>
      <c r="H3104" s="12" t="inlineStr">
        <is>
          <t>BF-B: booster fan (~16 MW)</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300</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G-C-0045</t>
        </is>
      </c>
      <c r="B3105" s="12" t="inlineStr">
        <is>
          <t>G</t>
        </is>
      </c>
      <c r="C3105" s="12" t="inlineStr">
        <is>
          <t>Carbon capture</t>
        </is>
      </c>
      <c r="D3105" s="12" t="inlineStr">
        <is>
          <t>Motor 1 of 4: control / local station</t>
        </is>
      </c>
      <c r="E3105" s="12" t="inlineStr"/>
      <c r="F3105" s="12" t="inlineStr">
        <is>
          <t>CCS MV switchgear building (VFDs)</t>
        </is>
      </c>
      <c r="G3105" s="12" t="inlineStr">
        <is>
          <t>BF-C</t>
        </is>
      </c>
      <c r="H3105" s="12" t="inlineStr">
        <is>
          <t>BF-C: booster fan (~16 MW)</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Tray</t>
        </is>
      </c>
      <c r="T3105" s="16" t="n">
        <v>16</v>
      </c>
      <c r="U3105" s="16" t="n">
        <v>150</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G-C-0046</t>
        </is>
      </c>
      <c r="B3106" s="12" t="inlineStr">
        <is>
          <t>G</t>
        </is>
      </c>
      <c r="C3106" s="12" t="inlineStr">
        <is>
          <t>Carbon capture</t>
        </is>
      </c>
      <c r="D3106" s="12" t="inlineStr">
        <is>
          <t>Motor 2 of 4: control / local station</t>
        </is>
      </c>
      <c r="E3106" s="12" t="inlineStr"/>
      <c r="F3106" s="12" t="inlineStr">
        <is>
          <t>CCS MV switchgear building (VFDs)</t>
        </is>
      </c>
      <c r="G3106" s="12" t="inlineStr">
        <is>
          <t>BF-C</t>
        </is>
      </c>
      <c r="H3106" s="12" t="inlineStr">
        <is>
          <t>BF-C: booster fan (~16 MW)</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Tray</t>
        </is>
      </c>
      <c r="T3106" s="16" t="n">
        <v>16</v>
      </c>
      <c r="U3106" s="16" t="n">
        <v>150</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G-C-0047</t>
        </is>
      </c>
      <c r="B3107" s="12" t="inlineStr">
        <is>
          <t>G</t>
        </is>
      </c>
      <c r="C3107" s="12" t="inlineStr">
        <is>
          <t>Carbon capture</t>
        </is>
      </c>
      <c r="D3107" s="12" t="inlineStr">
        <is>
          <t>Motor 3 of 4: control / local station</t>
        </is>
      </c>
      <c r="E3107" s="12" t="inlineStr"/>
      <c r="F3107" s="12" t="inlineStr">
        <is>
          <t>CCS MV switchgear building (VFDs)</t>
        </is>
      </c>
      <c r="G3107" s="12" t="inlineStr">
        <is>
          <t>BF-C</t>
        </is>
      </c>
      <c r="H3107" s="12" t="inlineStr">
        <is>
          <t>BF-C: booster fan (~16 MW)</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Tray</t>
        </is>
      </c>
      <c r="T3107" s="16" t="n">
        <v>16</v>
      </c>
      <c r="U3107" s="16" t="n">
        <v>150</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G-C-0048</t>
        </is>
      </c>
      <c r="B3108" s="12" t="inlineStr">
        <is>
          <t>G</t>
        </is>
      </c>
      <c r="C3108" s="12" t="inlineStr">
        <is>
          <t>Carbon capture</t>
        </is>
      </c>
      <c r="D3108" s="12" t="inlineStr">
        <is>
          <t>Motor 4 of 4: control / local station</t>
        </is>
      </c>
      <c r="E3108" s="12" t="inlineStr"/>
      <c r="F3108" s="12" t="inlineStr">
        <is>
          <t>CCS MV switchgear building (VFDs)</t>
        </is>
      </c>
      <c r="G3108" s="12" t="inlineStr">
        <is>
          <t>BF-C</t>
        </is>
      </c>
      <c r="H3108" s="12" t="inlineStr">
        <is>
          <t>BF-C: booster fan (~16 MW)</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Tray</t>
        </is>
      </c>
      <c r="T3108" s="16" t="n">
        <v>16</v>
      </c>
      <c r="U3108" s="16" t="n">
        <v>150</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G-C-0049</t>
        </is>
      </c>
      <c r="B3109" s="12" t="inlineStr">
        <is>
          <t>G</t>
        </is>
      </c>
      <c r="C3109" s="12" t="inlineStr">
        <is>
          <t>Carbon capture</t>
        </is>
      </c>
      <c r="D3109" s="12" t="inlineStr">
        <is>
          <t>Control</t>
        </is>
      </c>
      <c r="E3109" s="12" t="inlineStr"/>
      <c r="F3109" s="12" t="inlineStr">
        <is>
          <t>CCS F&amp;G / control</t>
        </is>
      </c>
      <c r="G3109" s="12" t="inlineStr"/>
      <c r="H3109" s="12" t="inlineStr">
        <is>
          <t>CCS F&amp;G / control</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6" t="n">
        <v>0</v>
      </c>
      <c r="U3109" s="16" t="n">
        <v>170</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G-C-0050</t>
        </is>
      </c>
      <c r="B3110" s="12" t="inlineStr">
        <is>
          <t>G</t>
        </is>
      </c>
      <c r="C3110" s="12" t="inlineStr">
        <is>
          <t>Carbon capture</t>
        </is>
      </c>
      <c r="D3110" s="12" t="inlineStr">
        <is>
          <t>Control</t>
        </is>
      </c>
      <c r="E3110" s="12" t="inlineStr"/>
      <c r="F3110" s="12" t="inlineStr">
        <is>
          <t>CCS F&amp;G / control</t>
        </is>
      </c>
      <c r="G3110" s="12" t="inlineStr"/>
      <c r="H3110" s="12" t="inlineStr">
        <is>
          <t>CCS MV switchgear building (VFDs)</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206</v>
      </c>
      <c r="U3110" s="16" t="n">
        <v>101</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G-C-0051</t>
        </is>
      </c>
      <c r="B3111" s="12" t="inlineStr">
        <is>
          <t>G</t>
        </is>
      </c>
      <c r="C3111" s="12" t="inlineStr">
        <is>
          <t>Carbon capture</t>
        </is>
      </c>
      <c r="D3111" s="12" t="inlineStr">
        <is>
          <t>Motor 1 of 6: control / local station</t>
        </is>
      </c>
      <c r="E3111" s="12" t="inlineStr"/>
      <c r="F3111" s="12" t="inlineStr">
        <is>
          <t>CCS MV switchgear building (VFDs)</t>
        </is>
      </c>
      <c r="G3111" s="12" t="inlineStr">
        <is>
          <t>CCS T-1</t>
        </is>
      </c>
      <c r="H3111" s="12" t="inlineStr">
        <is>
          <t>CCS T-1: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361</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G-C-0052</t>
        </is>
      </c>
      <c r="B3112" s="12" t="inlineStr">
        <is>
          <t>G</t>
        </is>
      </c>
      <c r="C3112" s="12" t="inlineStr">
        <is>
          <t>Carbon capture</t>
        </is>
      </c>
      <c r="D3112" s="12" t="inlineStr">
        <is>
          <t>Motor 2 of 6: control / local station</t>
        </is>
      </c>
      <c r="E3112" s="12" t="inlineStr"/>
      <c r="F3112" s="12" t="inlineStr">
        <is>
          <t>CCS MV switchgear building (VFDs)</t>
        </is>
      </c>
      <c r="G3112" s="12" t="inlineStr">
        <is>
          <t>CCS T-1</t>
        </is>
      </c>
      <c r="H3112" s="12" t="inlineStr">
        <is>
          <t>CCS T-1: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361</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G-C-0053</t>
        </is>
      </c>
      <c r="B3113" s="12" t="inlineStr">
        <is>
          <t>G</t>
        </is>
      </c>
      <c r="C3113" s="12" t="inlineStr">
        <is>
          <t>Carbon capture</t>
        </is>
      </c>
      <c r="D3113" s="12" t="inlineStr">
        <is>
          <t>Motor 3 of 6: control / local station</t>
        </is>
      </c>
      <c r="E3113" s="12" t="inlineStr"/>
      <c r="F3113" s="12" t="inlineStr">
        <is>
          <t>CCS MV switchgear building (VFDs)</t>
        </is>
      </c>
      <c r="G3113" s="12" t="inlineStr">
        <is>
          <t>CCS T-1</t>
        </is>
      </c>
      <c r="H3113" s="12" t="inlineStr">
        <is>
          <t>CCS T-1: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361</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G-C-0054</t>
        </is>
      </c>
      <c r="B3114" s="12" t="inlineStr">
        <is>
          <t>G</t>
        </is>
      </c>
      <c r="C3114" s="12" t="inlineStr">
        <is>
          <t>Carbon capture</t>
        </is>
      </c>
      <c r="D3114" s="12" t="inlineStr">
        <is>
          <t>Motor 4 of 6: control / local station</t>
        </is>
      </c>
      <c r="E3114" s="12" t="inlineStr"/>
      <c r="F3114" s="12" t="inlineStr">
        <is>
          <t>CCS MV switchgear building (VFDs)</t>
        </is>
      </c>
      <c r="G3114" s="12" t="inlineStr">
        <is>
          <t>CCS T-1</t>
        </is>
      </c>
      <c r="H3114" s="12" t="inlineStr">
        <is>
          <t>CCS T-1: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361</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G-C-0055</t>
        </is>
      </c>
      <c r="B3115" s="12" t="inlineStr">
        <is>
          <t>G</t>
        </is>
      </c>
      <c r="C3115" s="12" t="inlineStr">
        <is>
          <t>Carbon capture</t>
        </is>
      </c>
      <c r="D3115" s="12" t="inlineStr">
        <is>
          <t>Motor 5 of 6: control / local station</t>
        </is>
      </c>
      <c r="E3115" s="12" t="inlineStr"/>
      <c r="F3115" s="12" t="inlineStr">
        <is>
          <t>CCS MV switchgear building (VFDs)</t>
        </is>
      </c>
      <c r="G3115" s="12" t="inlineStr">
        <is>
          <t>CCS T-1</t>
        </is>
      </c>
      <c r="H3115" s="12" t="inlineStr">
        <is>
          <t>CCS T-1: 230/13.8 kV</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6" t="n">
        <v>361</v>
      </c>
      <c r="U3115" s="16" t="n">
        <v>32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G-C-0056</t>
        </is>
      </c>
      <c r="B3116" s="12" t="inlineStr">
        <is>
          <t>G</t>
        </is>
      </c>
      <c r="C3116" s="12" t="inlineStr">
        <is>
          <t>Carbon capture</t>
        </is>
      </c>
      <c r="D3116" s="12" t="inlineStr">
        <is>
          <t>Motor 6 of 6: control / local station</t>
        </is>
      </c>
      <c r="E3116" s="12" t="inlineStr"/>
      <c r="F3116" s="12" t="inlineStr">
        <is>
          <t>CCS MV switchgear building (VFDs)</t>
        </is>
      </c>
      <c r="G3116" s="12" t="inlineStr">
        <is>
          <t>CCS T-1</t>
        </is>
      </c>
      <c r="H3116" s="12" t="inlineStr">
        <is>
          <t>CCS T-1: 230/13.8 kV</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361</v>
      </c>
      <c r="U3116" s="16" t="n">
        <v>32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G-C-0057</t>
        </is>
      </c>
      <c r="B3117" s="12" t="inlineStr">
        <is>
          <t>G</t>
        </is>
      </c>
      <c r="C3117" s="12" t="inlineStr">
        <is>
          <t>Carbon capture</t>
        </is>
      </c>
      <c r="D3117" s="12" t="inlineStr">
        <is>
          <t>Motor 1 of 6: control / local station</t>
        </is>
      </c>
      <c r="E3117" s="12" t="inlineStr"/>
      <c r="F3117" s="12" t="inlineStr">
        <is>
          <t>CCS MV switchgear building (VFDs)</t>
        </is>
      </c>
      <c r="G3117" s="12" t="inlineStr">
        <is>
          <t>CCS T-2</t>
        </is>
      </c>
      <c r="H3117" s="12" t="inlineStr">
        <is>
          <t>CCS T-2: 230/13.8 kV</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409</v>
      </c>
      <c r="U3117" s="16" t="n">
        <v>32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G-C-0058</t>
        </is>
      </c>
      <c r="B3118" s="12" t="inlineStr">
        <is>
          <t>G</t>
        </is>
      </c>
      <c r="C3118" s="12" t="inlineStr">
        <is>
          <t>Carbon capture</t>
        </is>
      </c>
      <c r="D3118" s="12" t="inlineStr">
        <is>
          <t>Motor 2 of 6: control / local station</t>
        </is>
      </c>
      <c r="E3118" s="12" t="inlineStr"/>
      <c r="F3118" s="12" t="inlineStr">
        <is>
          <t>CCS MV switchgear building (VFDs)</t>
        </is>
      </c>
      <c r="G3118" s="12" t="inlineStr">
        <is>
          <t>CCS T-2</t>
        </is>
      </c>
      <c r="H3118" s="12" t="inlineStr">
        <is>
          <t>CCS T-2: 230/13.8 kV</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409</v>
      </c>
      <c r="U3118" s="16" t="n">
        <v>32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G-C-0059</t>
        </is>
      </c>
      <c r="B3119" s="12" t="inlineStr">
        <is>
          <t>G</t>
        </is>
      </c>
      <c r="C3119" s="12" t="inlineStr">
        <is>
          <t>Carbon capture</t>
        </is>
      </c>
      <c r="D3119" s="12" t="inlineStr">
        <is>
          <t>Motor 3 of 6: control / local station</t>
        </is>
      </c>
      <c r="E3119" s="12" t="inlineStr"/>
      <c r="F3119" s="12" t="inlineStr">
        <is>
          <t>CCS MV switchgear building (VFDs)</t>
        </is>
      </c>
      <c r="G3119" s="12" t="inlineStr">
        <is>
          <t>CCS T-2</t>
        </is>
      </c>
      <c r="H3119" s="12" t="inlineStr">
        <is>
          <t>CCS T-2: 230/13.8 kV</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409</v>
      </c>
      <c r="U3119" s="16" t="n">
        <v>32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G-C-0060</t>
        </is>
      </c>
      <c r="B3120" s="12" t="inlineStr">
        <is>
          <t>G</t>
        </is>
      </c>
      <c r="C3120" s="12" t="inlineStr">
        <is>
          <t>Carbon capture</t>
        </is>
      </c>
      <c r="D3120" s="12" t="inlineStr">
        <is>
          <t>Motor 4 of 6: control / local station</t>
        </is>
      </c>
      <c r="E3120" s="12" t="inlineStr"/>
      <c r="F3120" s="12" t="inlineStr">
        <is>
          <t>CCS MV switchgear building (VFDs)</t>
        </is>
      </c>
      <c r="G3120" s="12" t="inlineStr">
        <is>
          <t>CCS T-2</t>
        </is>
      </c>
      <c r="H3120" s="12" t="inlineStr">
        <is>
          <t>CCS T-2: 230/13.8 kV</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409</v>
      </c>
      <c r="U3120" s="16" t="n">
        <v>32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G-C-0061</t>
        </is>
      </c>
      <c r="B3121" s="12" t="inlineStr">
        <is>
          <t>G</t>
        </is>
      </c>
      <c r="C3121" s="12" t="inlineStr">
        <is>
          <t>Carbon capture</t>
        </is>
      </c>
      <c r="D3121" s="12" t="inlineStr">
        <is>
          <t>Motor 5 of 6: control / local station</t>
        </is>
      </c>
      <c r="E3121" s="12" t="inlineStr"/>
      <c r="F3121" s="12" t="inlineStr">
        <is>
          <t>CCS MV switchgear building (VFDs)</t>
        </is>
      </c>
      <c r="G3121" s="12" t="inlineStr">
        <is>
          <t>CCS T-2</t>
        </is>
      </c>
      <c r="H3121" s="12" t="inlineStr">
        <is>
          <t>CCS T-2: 230/13.8 kV</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409</v>
      </c>
      <c r="U3121" s="16" t="n">
        <v>32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G-C-0062</t>
        </is>
      </c>
      <c r="B3122" s="12" t="inlineStr">
        <is>
          <t>G</t>
        </is>
      </c>
      <c r="C3122" s="12" t="inlineStr">
        <is>
          <t>Carbon capture</t>
        </is>
      </c>
      <c r="D3122" s="12" t="inlineStr">
        <is>
          <t>Motor 6 of 6: control / local station</t>
        </is>
      </c>
      <c r="E3122" s="12" t="inlineStr"/>
      <c r="F3122" s="12" t="inlineStr">
        <is>
          <t>CCS MV switchgear building (VFDs)</t>
        </is>
      </c>
      <c r="G3122" s="12" t="inlineStr">
        <is>
          <t>CCS T-2</t>
        </is>
      </c>
      <c r="H3122" s="12" t="inlineStr">
        <is>
          <t>CCS T-2: 230/13.8 kV</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409</v>
      </c>
      <c r="U3122" s="16" t="n">
        <v>32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G-C-0063</t>
        </is>
      </c>
      <c r="B3123" s="12" t="inlineStr">
        <is>
          <t>G</t>
        </is>
      </c>
      <c r="C3123" s="12" t="inlineStr">
        <is>
          <t>Carbon capture</t>
        </is>
      </c>
      <c r="D3123" s="12" t="inlineStr">
        <is>
          <t>Motor 1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G-C-0064</t>
        </is>
      </c>
      <c r="B3124" s="12" t="inlineStr">
        <is>
          <t>G</t>
        </is>
      </c>
      <c r="C3124" s="12" t="inlineStr">
        <is>
          <t>Carbon capture</t>
        </is>
      </c>
      <c r="D3124" s="12" t="inlineStr">
        <is>
          <t>Motor 2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G-C-0065</t>
        </is>
      </c>
      <c r="B3125" s="12" t="inlineStr">
        <is>
          <t>G</t>
        </is>
      </c>
      <c r="C3125" s="12" t="inlineStr">
        <is>
          <t>Carbon capture</t>
        </is>
      </c>
      <c r="D3125" s="12" t="inlineStr">
        <is>
          <t>Motor 3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G-C-0066</t>
        </is>
      </c>
      <c r="B3126" s="12" t="inlineStr">
        <is>
          <t>G</t>
        </is>
      </c>
      <c r="C3126" s="12" t="inlineStr">
        <is>
          <t>Carbon capture</t>
        </is>
      </c>
      <c r="D3126" s="12" t="inlineStr">
        <is>
          <t>Motor 4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G-C-0067</t>
        </is>
      </c>
      <c r="B3127" s="12" t="inlineStr">
        <is>
          <t>G</t>
        </is>
      </c>
      <c r="C3127" s="12" t="inlineStr">
        <is>
          <t>Carbon capture</t>
        </is>
      </c>
      <c r="D3127" s="12" t="inlineStr">
        <is>
          <t>Motor 5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G-C-0068</t>
        </is>
      </c>
      <c r="B3128" s="12" t="inlineStr">
        <is>
          <t>G</t>
        </is>
      </c>
      <c r="C3128" s="12" t="inlineStr">
        <is>
          <t>Carbon capture</t>
        </is>
      </c>
      <c r="D3128" s="12" t="inlineStr">
        <is>
          <t>Motor 6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G-C-0069</t>
        </is>
      </c>
      <c r="B3129" s="12" t="inlineStr">
        <is>
          <t>G</t>
        </is>
      </c>
      <c r="C3129" s="12" t="inlineStr">
        <is>
          <t>Carbon capture</t>
        </is>
      </c>
      <c r="D3129" s="12" t="inlineStr">
        <is>
          <t>Motor 7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G-C-0070</t>
        </is>
      </c>
      <c r="B3130" s="12" t="inlineStr">
        <is>
          <t>G</t>
        </is>
      </c>
      <c r="C3130" s="12" t="inlineStr">
        <is>
          <t>Carbon capture</t>
        </is>
      </c>
      <c r="D3130" s="12" t="inlineStr">
        <is>
          <t>Motor 8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G-C-0071</t>
        </is>
      </c>
      <c r="B3131" s="12" t="inlineStr">
        <is>
          <t>G</t>
        </is>
      </c>
      <c r="C3131" s="12" t="inlineStr">
        <is>
          <t>Carbon capture</t>
        </is>
      </c>
      <c r="D3131" s="12" t="inlineStr">
        <is>
          <t>Motor 9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G-C-0072</t>
        </is>
      </c>
      <c r="B3132" s="12" t="inlineStr">
        <is>
          <t>G</t>
        </is>
      </c>
      <c r="C3132" s="12" t="inlineStr">
        <is>
          <t>Carbon capture</t>
        </is>
      </c>
      <c r="D3132" s="12" t="inlineStr">
        <is>
          <t>Motor 10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G-C-0073</t>
        </is>
      </c>
      <c r="B3133" s="12" t="inlineStr">
        <is>
          <t>G</t>
        </is>
      </c>
      <c r="C3133" s="12" t="inlineStr">
        <is>
          <t>Carbon capture</t>
        </is>
      </c>
      <c r="D3133" s="12" t="inlineStr">
        <is>
          <t>Motor 11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G-C-0074</t>
        </is>
      </c>
      <c r="B3134" s="12" t="inlineStr">
        <is>
          <t>G</t>
        </is>
      </c>
      <c r="C3134" s="12" t="inlineStr">
        <is>
          <t>Carbon capture</t>
        </is>
      </c>
      <c r="D3134" s="12" t="inlineStr">
        <is>
          <t>Motor 12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G-C-0075</t>
        </is>
      </c>
      <c r="B3135" s="12" t="inlineStr">
        <is>
          <t>G</t>
        </is>
      </c>
      <c r="C3135" s="12" t="inlineStr">
        <is>
          <t>Carbon capture</t>
        </is>
      </c>
      <c r="D3135" s="12" t="inlineStr">
        <is>
          <t>Motor 13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G-C-0076</t>
        </is>
      </c>
      <c r="B3136" s="12" t="inlineStr">
        <is>
          <t>G</t>
        </is>
      </c>
      <c r="C3136" s="12" t="inlineStr">
        <is>
          <t>Carbon capture</t>
        </is>
      </c>
      <c r="D3136" s="12" t="inlineStr">
        <is>
          <t>Motor 14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G-C-0077</t>
        </is>
      </c>
      <c r="B3137" s="12" t="inlineStr">
        <is>
          <t>G</t>
        </is>
      </c>
      <c r="C3137" s="12" t="inlineStr">
        <is>
          <t>Carbon capture</t>
        </is>
      </c>
      <c r="D3137" s="12" t="inlineStr">
        <is>
          <t>Motor 15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G-C-0078</t>
        </is>
      </c>
      <c r="B3138" s="12" t="inlineStr">
        <is>
          <t>G</t>
        </is>
      </c>
      <c r="C3138" s="12" t="inlineStr">
        <is>
          <t>Carbon capture</t>
        </is>
      </c>
      <c r="D3138" s="12" t="inlineStr">
        <is>
          <t>Motor 16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G-C-0079</t>
        </is>
      </c>
      <c r="B3139" s="12" t="inlineStr">
        <is>
          <t>G</t>
        </is>
      </c>
      <c r="C3139" s="12" t="inlineStr">
        <is>
          <t>Carbon capture</t>
        </is>
      </c>
      <c r="D3139" s="12" t="inlineStr">
        <is>
          <t>Motor 17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G-C-0080</t>
        </is>
      </c>
      <c r="B3140" s="12" t="inlineStr">
        <is>
          <t>G</t>
        </is>
      </c>
      <c r="C3140" s="12" t="inlineStr">
        <is>
          <t>Carbon capture</t>
        </is>
      </c>
      <c r="D3140" s="12" t="inlineStr">
        <is>
          <t>Motor 18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G-C-0081</t>
        </is>
      </c>
      <c r="B3141" s="12" t="inlineStr">
        <is>
          <t>G</t>
        </is>
      </c>
      <c r="C3141" s="12" t="inlineStr">
        <is>
          <t>Carbon capture</t>
        </is>
      </c>
      <c r="D3141" s="12" t="inlineStr">
        <is>
          <t>Motor 19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G-C-0082</t>
        </is>
      </c>
      <c r="B3142" s="12" t="inlineStr">
        <is>
          <t>G</t>
        </is>
      </c>
      <c r="C3142" s="12" t="inlineStr">
        <is>
          <t>Carbon capture</t>
        </is>
      </c>
      <c r="D3142" s="12" t="inlineStr">
        <is>
          <t>Motor 20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G-C-0083</t>
        </is>
      </c>
      <c r="B3143" s="12" t="inlineStr">
        <is>
          <t>G</t>
        </is>
      </c>
      <c r="C3143" s="12" t="inlineStr">
        <is>
          <t>Carbon capture</t>
        </is>
      </c>
      <c r="D3143" s="12" t="inlineStr">
        <is>
          <t>Motor 21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G-C-0084</t>
        </is>
      </c>
      <c r="B3144" s="12" t="inlineStr">
        <is>
          <t>G</t>
        </is>
      </c>
      <c r="C3144" s="12" t="inlineStr">
        <is>
          <t>Carbon capture</t>
        </is>
      </c>
      <c r="D3144" s="12" t="inlineStr">
        <is>
          <t>Motor 22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G-C-0085</t>
        </is>
      </c>
      <c r="B3145" s="12" t="inlineStr">
        <is>
          <t>G</t>
        </is>
      </c>
      <c r="C3145" s="12" t="inlineStr">
        <is>
          <t>Carbon capture</t>
        </is>
      </c>
      <c r="D3145" s="12" t="inlineStr">
        <is>
          <t>Motor 23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0</v>
      </c>
      <c r="U3145" s="16" t="n">
        <v>42</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G-C-0086</t>
        </is>
      </c>
      <c r="B3146" s="12" t="inlineStr">
        <is>
          <t>G</t>
        </is>
      </c>
      <c r="C3146" s="12" t="inlineStr">
        <is>
          <t>Carbon capture</t>
        </is>
      </c>
      <c r="D3146" s="12" t="inlineStr">
        <is>
          <t>Motor 24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6" t="n">
        <v>0</v>
      </c>
      <c r="U3146" s="16" t="n">
        <v>42</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G-C-0087</t>
        </is>
      </c>
      <c r="B3147" s="12" t="inlineStr">
        <is>
          <t>G</t>
        </is>
      </c>
      <c r="C3147" s="12" t="inlineStr">
        <is>
          <t>Carbon capture</t>
        </is>
      </c>
      <c r="D3147" s="12" t="inlineStr">
        <is>
          <t>Motor 25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6" t="n">
        <v>0</v>
      </c>
      <c r="U3147" s="16" t="n">
        <v>42</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G-C-0088</t>
        </is>
      </c>
      <c r="B3148" s="12" t="inlineStr">
        <is>
          <t>G</t>
        </is>
      </c>
      <c r="C3148" s="12" t="inlineStr">
        <is>
          <t>Carbon capture</t>
        </is>
      </c>
      <c r="D3148" s="12" t="inlineStr">
        <is>
          <t>Motor 26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6" t="n">
        <v>0</v>
      </c>
      <c r="U3148" s="16" t="n">
        <v>42</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G-C-0089</t>
        </is>
      </c>
      <c r="B3149" s="12" t="inlineStr">
        <is>
          <t>G</t>
        </is>
      </c>
      <c r="C3149" s="12" t="inlineStr">
        <is>
          <t>Carbon capture</t>
        </is>
      </c>
      <c r="D3149" s="12" t="inlineStr">
        <is>
          <t>Motor 27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6" t="n">
        <v>0</v>
      </c>
      <c r="U3149" s="16" t="n">
        <v>42</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G-C-0090</t>
        </is>
      </c>
      <c r="B3150" s="12" t="inlineStr">
        <is>
          <t>G</t>
        </is>
      </c>
      <c r="C3150" s="12" t="inlineStr">
        <is>
          <t>Carbon capture</t>
        </is>
      </c>
      <c r="D3150" s="12" t="inlineStr">
        <is>
          <t>Motor 28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6" t="n">
        <v>0</v>
      </c>
      <c r="U3150" s="16" t="n">
        <v>42</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G-C-0091</t>
        </is>
      </c>
      <c r="B3151" s="12" t="inlineStr">
        <is>
          <t>G</t>
        </is>
      </c>
      <c r="C3151" s="12" t="inlineStr">
        <is>
          <t>Carbon capture</t>
        </is>
      </c>
      <c r="D3151" s="12" t="inlineStr">
        <is>
          <t>Motor 29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6" t="n">
        <v>0</v>
      </c>
      <c r="U3151" s="16" t="n">
        <v>42</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G-C-0092</t>
        </is>
      </c>
      <c r="B3152" s="12" t="inlineStr">
        <is>
          <t>G</t>
        </is>
      </c>
      <c r="C3152" s="12" t="inlineStr">
        <is>
          <t>Carbon capture</t>
        </is>
      </c>
      <c r="D3152" s="12" t="inlineStr">
        <is>
          <t>Motor 30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6" t="n">
        <v>0</v>
      </c>
      <c r="U3152" s="16" t="n">
        <v>42</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G-C-0093</t>
        </is>
      </c>
      <c r="B3153" s="12" t="inlineStr">
        <is>
          <t>G</t>
        </is>
      </c>
      <c r="C3153" s="12" t="inlineStr">
        <is>
          <t>Carbon capture</t>
        </is>
      </c>
      <c r="D3153" s="12" t="inlineStr">
        <is>
          <t>Motor 1 of 2: control / local station</t>
        </is>
      </c>
      <c r="E3153" s="12" t="inlineStr"/>
      <c r="F3153" s="12" t="inlineStr">
        <is>
          <t>CCS MV switchgear building (VFDs)</t>
        </is>
      </c>
      <c r="G3153" s="12" t="inlineStr"/>
      <c r="H3153" s="12" t="inlineStr">
        <is>
          <t>CCS instrument air</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206</v>
      </c>
      <c r="U3153" s="16" t="n">
        <v>51</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G-C-0094</t>
        </is>
      </c>
      <c r="B3154" s="12" t="inlineStr">
        <is>
          <t>G</t>
        </is>
      </c>
      <c r="C3154" s="12" t="inlineStr">
        <is>
          <t>Carbon capture</t>
        </is>
      </c>
      <c r="D3154" s="12" t="inlineStr">
        <is>
          <t>Motor 2 of 2: control / local station</t>
        </is>
      </c>
      <c r="E3154" s="12" t="inlineStr"/>
      <c r="F3154" s="12" t="inlineStr">
        <is>
          <t>CCS MV switchgear building (VFDs)</t>
        </is>
      </c>
      <c r="G3154" s="12" t="inlineStr"/>
      <c r="H3154" s="12" t="inlineStr">
        <is>
          <t>CCS instrument air</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206</v>
      </c>
      <c r="U3154" s="16" t="n">
        <v>51</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G-C-0095</t>
        </is>
      </c>
      <c r="B3155" s="12" t="inlineStr">
        <is>
          <t>G</t>
        </is>
      </c>
      <c r="C3155" s="12" t="inlineStr">
        <is>
          <t>Carbon capture</t>
        </is>
      </c>
      <c r="D3155" s="12" t="inlineStr">
        <is>
          <t>Motor 1 of 6: control / local station</t>
        </is>
      </c>
      <c r="E3155" s="12" t="inlineStr"/>
      <c r="F3155" s="12" t="inlineStr">
        <is>
          <t>CT MCC / VFD e-house</t>
        </is>
      </c>
      <c r="G3155" s="12" t="inlineStr"/>
      <c r="H3155" s="12" t="inlineStr">
        <is>
          <t>CCS wastewater (DCC + tower blowdown)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5</v>
      </c>
      <c r="U3155" s="16" t="n">
        <v>87</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G-C-0096</t>
        </is>
      </c>
      <c r="B3156" s="12" t="inlineStr">
        <is>
          <t>G</t>
        </is>
      </c>
      <c r="C3156" s="12" t="inlineStr">
        <is>
          <t>Carbon capture</t>
        </is>
      </c>
      <c r="D3156" s="12" t="inlineStr">
        <is>
          <t>Motor 2 of 6: control / local station</t>
        </is>
      </c>
      <c r="E3156" s="12" t="inlineStr"/>
      <c r="F3156" s="12" t="inlineStr">
        <is>
          <t>CT MCC / VFD e-house</t>
        </is>
      </c>
      <c r="G3156" s="12" t="inlineStr"/>
      <c r="H3156" s="12" t="inlineStr">
        <is>
          <t>CCS wastewater (DCC + tower blowdown)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5</v>
      </c>
      <c r="U3156" s="16" t="n">
        <v>87</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G-C-0097</t>
        </is>
      </c>
      <c r="B3157" s="12" t="inlineStr">
        <is>
          <t>G</t>
        </is>
      </c>
      <c r="C3157" s="12" t="inlineStr">
        <is>
          <t>Carbon capture</t>
        </is>
      </c>
      <c r="D3157" s="12" t="inlineStr">
        <is>
          <t>Motor 3 of 6: control / local station</t>
        </is>
      </c>
      <c r="E3157" s="12" t="inlineStr"/>
      <c r="F3157" s="12" t="inlineStr">
        <is>
          <t>CT MCC / VFD e-house</t>
        </is>
      </c>
      <c r="G3157" s="12" t="inlineStr"/>
      <c r="H3157" s="12" t="inlineStr">
        <is>
          <t>CCS wastewater (DCC + tower blowdown)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5</v>
      </c>
      <c r="U3157" s="16" t="n">
        <v>87</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G-C-0098</t>
        </is>
      </c>
      <c r="B3158" s="12" t="inlineStr">
        <is>
          <t>G</t>
        </is>
      </c>
      <c r="C3158" s="12" t="inlineStr">
        <is>
          <t>Carbon capture</t>
        </is>
      </c>
      <c r="D3158" s="12" t="inlineStr">
        <is>
          <t>Motor 4 of 6: control / local station</t>
        </is>
      </c>
      <c r="E3158" s="12" t="inlineStr"/>
      <c r="F3158" s="12" t="inlineStr">
        <is>
          <t>CT MCC / VFD e-house</t>
        </is>
      </c>
      <c r="G3158" s="12" t="inlineStr"/>
      <c r="H3158" s="12" t="inlineStr">
        <is>
          <t>CCS wastewater (DCC + tower blowdown)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5</v>
      </c>
      <c r="U3158" s="16" t="n">
        <v>87</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G-C-0099</t>
        </is>
      </c>
      <c r="B3159" s="12" t="inlineStr">
        <is>
          <t>G</t>
        </is>
      </c>
      <c r="C3159" s="12" t="inlineStr">
        <is>
          <t>Carbon capture</t>
        </is>
      </c>
      <c r="D3159" s="12" t="inlineStr">
        <is>
          <t>Motor 5 of 6: control / local station</t>
        </is>
      </c>
      <c r="E3159" s="12" t="inlineStr"/>
      <c r="F3159" s="12" t="inlineStr">
        <is>
          <t>CT MCC / VFD e-house</t>
        </is>
      </c>
      <c r="G3159" s="12" t="inlineStr"/>
      <c r="H3159" s="12" t="inlineStr">
        <is>
          <t>CCS wastewater (DCC + tower blowdown)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5</v>
      </c>
      <c r="U3159" s="16" t="n">
        <v>87</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G-C-0100</t>
        </is>
      </c>
      <c r="B3160" s="12" t="inlineStr">
        <is>
          <t>G</t>
        </is>
      </c>
      <c r="C3160" s="12" t="inlineStr">
        <is>
          <t>Carbon capture</t>
        </is>
      </c>
      <c r="D3160" s="12" t="inlineStr">
        <is>
          <t>Motor 6 of 6: control / local station</t>
        </is>
      </c>
      <c r="E3160" s="12" t="inlineStr"/>
      <c r="F3160" s="12" t="inlineStr">
        <is>
          <t>CT MCC / VFD e-house</t>
        </is>
      </c>
      <c r="G3160" s="12" t="inlineStr"/>
      <c r="H3160" s="12" t="inlineStr">
        <is>
          <t>CCS wastewater (DCC + tower blowdown)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5</v>
      </c>
      <c r="U3160" s="16" t="n">
        <v>87</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G-C-0101</t>
        </is>
      </c>
      <c r="B3161" s="12" t="inlineStr">
        <is>
          <t>G</t>
        </is>
      </c>
      <c r="C3161" s="12" t="inlineStr">
        <is>
          <t>Carbon capture</t>
        </is>
      </c>
      <c r="D3161" s="12" t="inlineStr">
        <is>
          <t>Motor 1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G-C-0102</t>
        </is>
      </c>
      <c r="B3162" s="12" t="inlineStr">
        <is>
          <t>G</t>
        </is>
      </c>
      <c r="C3162" s="12" t="inlineStr">
        <is>
          <t>Carbon capture</t>
        </is>
      </c>
      <c r="D3162" s="12" t="inlineStr">
        <is>
          <t>Motor 2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G-C-0103</t>
        </is>
      </c>
      <c r="B3163" s="12" t="inlineStr">
        <is>
          <t>G</t>
        </is>
      </c>
      <c r="C3163" s="12" t="inlineStr">
        <is>
          <t>Carbon capture</t>
        </is>
      </c>
      <c r="D3163" s="12" t="inlineStr">
        <is>
          <t>Motor 3 of 10: control / local station</t>
        </is>
      </c>
      <c r="E3163" s="12" t="inlineStr"/>
      <c r="F3163" s="12" t="inlineStr">
        <is>
          <t>CCS MV switchgear building (VFDs)</t>
        </is>
      </c>
      <c r="G3163" s="12" t="inlineStr"/>
      <c r="H3163" s="12" t="inlineStr">
        <is>
          <t>CO2 compression 3 x ~19 MW + dehydration</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291</v>
      </c>
      <c r="U3163" s="16" t="n">
        <v>36</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G-C-0104</t>
        </is>
      </c>
      <c r="B3164" s="12" t="inlineStr">
        <is>
          <t>G</t>
        </is>
      </c>
      <c r="C3164" s="12" t="inlineStr">
        <is>
          <t>Carbon capture</t>
        </is>
      </c>
      <c r="D3164" s="12" t="inlineStr">
        <is>
          <t>Motor 4 of 10: control / local station</t>
        </is>
      </c>
      <c r="E3164" s="12" t="inlineStr"/>
      <c r="F3164" s="12" t="inlineStr">
        <is>
          <t>CCS MV switchgear building (VFDs)</t>
        </is>
      </c>
      <c r="G3164" s="12" t="inlineStr"/>
      <c r="H3164" s="12" t="inlineStr">
        <is>
          <t>CO2 compression 3 x ~19 MW + dehydration</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291</v>
      </c>
      <c r="U3164" s="16" t="n">
        <v>36</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G-C-0105</t>
        </is>
      </c>
      <c r="B3165" s="12" t="inlineStr">
        <is>
          <t>G</t>
        </is>
      </c>
      <c r="C3165" s="12" t="inlineStr">
        <is>
          <t>Carbon capture</t>
        </is>
      </c>
      <c r="D3165" s="12" t="inlineStr">
        <is>
          <t>Motor 5 of 10: control / local station</t>
        </is>
      </c>
      <c r="E3165" s="12" t="inlineStr"/>
      <c r="F3165" s="12" t="inlineStr">
        <is>
          <t>CCS MV switchgear building (VFDs)</t>
        </is>
      </c>
      <c r="G3165" s="12" t="inlineStr"/>
      <c r="H3165" s="12" t="inlineStr">
        <is>
          <t>CO2 compression 3 x ~19 MW + dehydration</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291</v>
      </c>
      <c r="U3165" s="16" t="n">
        <v>36</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G-C-0106</t>
        </is>
      </c>
      <c r="B3166" s="12" t="inlineStr">
        <is>
          <t>G</t>
        </is>
      </c>
      <c r="C3166" s="12" t="inlineStr">
        <is>
          <t>Carbon capture</t>
        </is>
      </c>
      <c r="D3166" s="12" t="inlineStr">
        <is>
          <t>Motor 6 of 10: control / local station</t>
        </is>
      </c>
      <c r="E3166" s="12" t="inlineStr"/>
      <c r="F3166" s="12" t="inlineStr">
        <is>
          <t>CCS MV switchgear building (VFDs)</t>
        </is>
      </c>
      <c r="G3166" s="12" t="inlineStr"/>
      <c r="H3166" s="12" t="inlineStr">
        <is>
          <t>CO2 compression 3 x ~19 MW + dehydration</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Duct bank</t>
        </is>
      </c>
      <c r="T3166" s="16" t="n">
        <v>291</v>
      </c>
      <c r="U3166" s="16" t="n">
        <v>36</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G-C-0107</t>
        </is>
      </c>
      <c r="B3167" s="12" t="inlineStr">
        <is>
          <t>G</t>
        </is>
      </c>
      <c r="C3167" s="12" t="inlineStr">
        <is>
          <t>Carbon capture</t>
        </is>
      </c>
      <c r="D3167" s="12" t="inlineStr">
        <is>
          <t>Motor 7 of 10: control / local station</t>
        </is>
      </c>
      <c r="E3167" s="12" t="inlineStr"/>
      <c r="F3167" s="12" t="inlineStr">
        <is>
          <t>CCS MV switchgear building (VFDs)</t>
        </is>
      </c>
      <c r="G3167" s="12" t="inlineStr"/>
      <c r="H3167" s="12" t="inlineStr">
        <is>
          <t>CO2 compression 3 x ~19 MW + dehydration</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Duct bank</t>
        </is>
      </c>
      <c r="T3167" s="16" t="n">
        <v>291</v>
      </c>
      <c r="U3167" s="16" t="n">
        <v>36</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G-C-0108</t>
        </is>
      </c>
      <c r="B3168" s="12" t="inlineStr">
        <is>
          <t>G</t>
        </is>
      </c>
      <c r="C3168" s="12" t="inlineStr">
        <is>
          <t>Carbon capture</t>
        </is>
      </c>
      <c r="D3168" s="12" t="inlineStr">
        <is>
          <t>Motor 8 of 10: control / local station</t>
        </is>
      </c>
      <c r="E3168" s="12" t="inlineStr"/>
      <c r="F3168" s="12" t="inlineStr">
        <is>
          <t>CCS MV switchgear building (VFDs)</t>
        </is>
      </c>
      <c r="G3168" s="12" t="inlineStr"/>
      <c r="H3168" s="12" t="inlineStr">
        <is>
          <t>CO2 compression 3 x ~19 MW + dehydration</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Duct bank</t>
        </is>
      </c>
      <c r="T3168" s="16" t="n">
        <v>291</v>
      </c>
      <c r="U3168" s="16" t="n">
        <v>36</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G-C-0109</t>
        </is>
      </c>
      <c r="B3169" s="12" t="inlineStr">
        <is>
          <t>G</t>
        </is>
      </c>
      <c r="C3169" s="12" t="inlineStr">
        <is>
          <t>Carbon capture</t>
        </is>
      </c>
      <c r="D3169" s="12" t="inlineStr">
        <is>
          <t>Motor 9 of 10: control / local station</t>
        </is>
      </c>
      <c r="E3169" s="12" t="inlineStr"/>
      <c r="F3169" s="12" t="inlineStr">
        <is>
          <t>CCS MV switchgear building (VFDs)</t>
        </is>
      </c>
      <c r="G3169" s="12" t="inlineStr"/>
      <c r="H3169" s="12" t="inlineStr">
        <is>
          <t>CO2 compression 3 x ~19 MW + dehydration</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Duct bank</t>
        </is>
      </c>
      <c r="T3169" s="16" t="n">
        <v>291</v>
      </c>
      <c r="U3169" s="16" t="n">
        <v>36</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G-C-0110</t>
        </is>
      </c>
      <c r="B3170" s="12" t="inlineStr">
        <is>
          <t>G</t>
        </is>
      </c>
      <c r="C3170" s="12" t="inlineStr">
        <is>
          <t>Carbon capture</t>
        </is>
      </c>
      <c r="D3170" s="12" t="inlineStr">
        <is>
          <t>Motor 10 of 10: control / local station</t>
        </is>
      </c>
      <c r="E3170" s="12" t="inlineStr"/>
      <c r="F3170" s="12" t="inlineStr">
        <is>
          <t>CCS MV switchgear building (VFDs)</t>
        </is>
      </c>
      <c r="G3170" s="12" t="inlineStr"/>
      <c r="H3170" s="12" t="inlineStr">
        <is>
          <t>CO2 compression 3 x ~19 MW + dehydration</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Duct bank</t>
        </is>
      </c>
      <c r="T3170" s="16" t="n">
        <v>291</v>
      </c>
      <c r="U3170" s="16" t="n">
        <v>36</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G-C-0111</t>
        </is>
      </c>
      <c r="B3171" s="12" t="inlineStr">
        <is>
          <t>G</t>
        </is>
      </c>
      <c r="C3171" s="12" t="inlineStr">
        <is>
          <t>Carbon capture</t>
        </is>
      </c>
      <c r="D3171" s="12" t="inlineStr">
        <is>
          <t>Motor 1 of 2: control / local station</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G-C-0112</t>
        </is>
      </c>
      <c r="B3172" s="12" t="inlineStr">
        <is>
          <t>G</t>
        </is>
      </c>
      <c r="C3172" s="12" t="inlineStr">
        <is>
          <t>Carbon capture</t>
        </is>
      </c>
      <c r="D3172" s="12" t="inlineStr">
        <is>
          <t>Motor 2 of 2: control / local station</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G-C-0113</t>
        </is>
      </c>
      <c r="B3173" s="12" t="inlineStr">
        <is>
          <t>G</t>
        </is>
      </c>
      <c r="C3173" s="12" t="inlineStr">
        <is>
          <t>Carbon capture</t>
        </is>
      </c>
      <c r="D3173" s="12" t="inlineStr">
        <is>
          <t>Motor 1 of 1: control / local station</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G-C-0114</t>
        </is>
      </c>
      <c r="B3174" s="12" t="inlineStr">
        <is>
          <t>G</t>
        </is>
      </c>
      <c r="C3174" s="12" t="inlineStr">
        <is>
          <t>Carbon capture</t>
        </is>
      </c>
      <c r="D3174" s="12" t="inlineStr">
        <is>
          <t>MOV 1: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G-C-0115</t>
        </is>
      </c>
      <c r="B3175" s="12" t="inlineStr">
        <is>
          <t>G</t>
        </is>
      </c>
      <c r="C3175" s="12" t="inlineStr">
        <is>
          <t>Carbon capture</t>
        </is>
      </c>
      <c r="D3175" s="12" t="inlineStr">
        <is>
          <t>MOV 2: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G-C-0116</t>
        </is>
      </c>
      <c r="B3176" s="12" t="inlineStr">
        <is>
          <t>G</t>
        </is>
      </c>
      <c r="C3176" s="12" t="inlineStr">
        <is>
          <t>Carbon capture</t>
        </is>
      </c>
      <c r="D3176" s="12" t="inlineStr">
        <is>
          <t>MOV 3: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G-C-0117</t>
        </is>
      </c>
      <c r="B3177" s="12" t="inlineStr">
        <is>
          <t>G</t>
        </is>
      </c>
      <c r="C3177" s="12" t="inlineStr">
        <is>
          <t>Carbon capture</t>
        </is>
      </c>
      <c r="D3177" s="12" t="inlineStr">
        <is>
          <t>MOV 4: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G-C-0118</t>
        </is>
      </c>
      <c r="B3178" s="12" t="inlineStr">
        <is>
          <t>G</t>
        </is>
      </c>
      <c r="C3178" s="12" t="inlineStr">
        <is>
          <t>Carbon capture</t>
        </is>
      </c>
      <c r="D3178" s="12" t="inlineStr">
        <is>
          <t>MOV 5: control</t>
        </is>
      </c>
      <c r="E3178" s="12" t="inlineStr"/>
      <c r="F3178" s="12" t="inlineStr">
        <is>
          <t>CCS MV switchgear building (VFDs)</t>
        </is>
      </c>
      <c r="G3178" s="12" t="inlineStr"/>
      <c r="H3178" s="12" t="inlineStr">
        <is>
          <t>CO2 dehydration: molecular-sieve towers and regeneration heater</t>
        </is>
      </c>
      <c r="I3178" s="12" t="inlineStr">
        <is>
          <t>Control</t>
        </is>
      </c>
      <c r="J3178" s="12" t="inlineStr">
        <is>
          <t>Control cable 600 V Type TC-ER, Cu #14 AWG, PVC jacket</t>
        </is>
      </c>
      <c r="K3178" s="12" t="inlineStr">
        <is>
          <t>CT|12/C|14</t>
        </is>
      </c>
      <c r="L3178" s="12" t="inlineStr">
        <is>
          <t>12/C</t>
        </is>
      </c>
      <c r="M3178" s="12" t="inlineStr">
        <is>
          <t>14</t>
        </is>
      </c>
      <c r="N3178" s="12" t="n">
        <v>1</v>
      </c>
      <c r="O3178" s="12" t="n">
        <v>1</v>
      </c>
      <c r="P3178" s="12" t="n"/>
      <c r="Q3178" s="12" t="n"/>
      <c r="R3178" s="12" t="n"/>
      <c r="S3178" s="12" t="inlineStr">
        <is>
          <t>Duct bank</t>
        </is>
      </c>
      <c r="T3178" s="16" t="n">
        <v>305</v>
      </c>
      <c r="U3178" s="16" t="n">
        <v>160</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G-C-0119</t>
        </is>
      </c>
      <c r="B3179" s="12" t="inlineStr">
        <is>
          <t>G</t>
        </is>
      </c>
      <c r="C3179" s="12" t="inlineStr">
        <is>
          <t>Carbon capture</t>
        </is>
      </c>
      <c r="D3179" s="12" t="inlineStr">
        <is>
          <t>MOV 6: control</t>
        </is>
      </c>
      <c r="E3179" s="12" t="inlineStr"/>
      <c r="F3179" s="12" t="inlineStr">
        <is>
          <t>CCS MV switchgear building (VFDs)</t>
        </is>
      </c>
      <c r="G3179" s="12" t="inlineStr"/>
      <c r="H3179" s="12" t="inlineStr">
        <is>
          <t>CO2 dehydration: molecular-sieve towers and regeneration heater</t>
        </is>
      </c>
      <c r="I3179" s="12" t="inlineStr">
        <is>
          <t>Control</t>
        </is>
      </c>
      <c r="J3179" s="12" t="inlineStr">
        <is>
          <t>Control cable 600 V Type TC-ER, Cu #14 AWG, PVC jacket</t>
        </is>
      </c>
      <c r="K3179" s="12" t="inlineStr">
        <is>
          <t>CT|12/C|14</t>
        </is>
      </c>
      <c r="L3179" s="12" t="inlineStr">
        <is>
          <t>12/C</t>
        </is>
      </c>
      <c r="M3179" s="12" t="inlineStr">
        <is>
          <t>14</t>
        </is>
      </c>
      <c r="N3179" s="12" t="n">
        <v>1</v>
      </c>
      <c r="O3179" s="12" t="n">
        <v>1</v>
      </c>
      <c r="P3179" s="12" t="n"/>
      <c r="Q3179" s="12" t="n"/>
      <c r="R3179" s="12" t="n"/>
      <c r="S3179" s="12" t="inlineStr">
        <is>
          <t>Duct bank</t>
        </is>
      </c>
      <c r="T3179" s="16" t="n">
        <v>305</v>
      </c>
      <c r="U3179" s="16" t="n">
        <v>160</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G-C-0120</t>
        </is>
      </c>
      <c r="B3180" s="12" t="inlineStr">
        <is>
          <t>G</t>
        </is>
      </c>
      <c r="C3180" s="12" t="inlineStr">
        <is>
          <t>Carbon capture</t>
        </is>
      </c>
      <c r="D3180" s="12" t="inlineStr">
        <is>
          <t>MOV 7: control</t>
        </is>
      </c>
      <c r="E3180" s="12" t="inlineStr"/>
      <c r="F3180" s="12" t="inlineStr">
        <is>
          <t>CCS MV switchgear building (VFDs)</t>
        </is>
      </c>
      <c r="G3180" s="12" t="inlineStr"/>
      <c r="H3180" s="12" t="inlineStr">
        <is>
          <t>CO2 dehydration: molecular-sieve towers and regeneration heater</t>
        </is>
      </c>
      <c r="I3180" s="12" t="inlineStr">
        <is>
          <t>Control</t>
        </is>
      </c>
      <c r="J3180" s="12" t="inlineStr">
        <is>
          <t>Control cable 600 V Type TC-ER, Cu #14 AWG, PVC jacket</t>
        </is>
      </c>
      <c r="K3180" s="12" t="inlineStr">
        <is>
          <t>CT|12/C|14</t>
        </is>
      </c>
      <c r="L3180" s="12" t="inlineStr">
        <is>
          <t>12/C</t>
        </is>
      </c>
      <c r="M3180" s="12" t="inlineStr">
        <is>
          <t>14</t>
        </is>
      </c>
      <c r="N3180" s="12" t="n">
        <v>1</v>
      </c>
      <c r="O3180" s="12" t="n">
        <v>1</v>
      </c>
      <c r="P3180" s="12" t="n"/>
      <c r="Q3180" s="12" t="n"/>
      <c r="R3180" s="12" t="n"/>
      <c r="S3180" s="12" t="inlineStr">
        <is>
          <t>Duct bank</t>
        </is>
      </c>
      <c r="T3180" s="16" t="n">
        <v>305</v>
      </c>
      <c r="U3180" s="16" t="n">
        <v>160</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G-C-0121</t>
        </is>
      </c>
      <c r="B3181" s="12" t="inlineStr">
        <is>
          <t>G</t>
        </is>
      </c>
      <c r="C3181" s="12" t="inlineStr">
        <is>
          <t>Carbon capture</t>
        </is>
      </c>
      <c r="D3181" s="12" t="inlineStr">
        <is>
          <t>MOV 8: control</t>
        </is>
      </c>
      <c r="E3181" s="12" t="inlineStr"/>
      <c r="F3181" s="12" t="inlineStr">
        <is>
          <t>CCS MV switchgear building (VFDs)</t>
        </is>
      </c>
      <c r="G3181" s="12" t="inlineStr"/>
      <c r="H3181" s="12" t="inlineStr">
        <is>
          <t>CO2 dehydration: molecular-sieve towers and regeneration heater</t>
        </is>
      </c>
      <c r="I3181" s="12" t="inlineStr">
        <is>
          <t>Control</t>
        </is>
      </c>
      <c r="J3181" s="12" t="inlineStr">
        <is>
          <t>Control cable 600 V Type TC-ER, Cu #14 AWG, PVC jacket</t>
        </is>
      </c>
      <c r="K3181" s="12" t="inlineStr">
        <is>
          <t>CT|12/C|14</t>
        </is>
      </c>
      <c r="L3181" s="12" t="inlineStr">
        <is>
          <t>12/C</t>
        </is>
      </c>
      <c r="M3181" s="12" t="inlineStr">
        <is>
          <t>14</t>
        </is>
      </c>
      <c r="N3181" s="12" t="n">
        <v>1</v>
      </c>
      <c r="O3181" s="12" t="n">
        <v>1</v>
      </c>
      <c r="P3181" s="12" t="n"/>
      <c r="Q3181" s="12" t="n"/>
      <c r="R3181" s="12" t="n"/>
      <c r="S3181" s="12" t="inlineStr">
        <is>
          <t>Duct bank</t>
        </is>
      </c>
      <c r="T3181" s="16" t="n">
        <v>305</v>
      </c>
      <c r="U3181" s="16" t="n">
        <v>160</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G-C-0122</t>
        </is>
      </c>
      <c r="B3182" s="12" t="inlineStr">
        <is>
          <t>G</t>
        </is>
      </c>
      <c r="C3182" s="12" t="inlineStr">
        <is>
          <t>Carbon capture</t>
        </is>
      </c>
      <c r="D3182" s="12" t="inlineStr">
        <is>
          <t>MOV 9: control</t>
        </is>
      </c>
      <c r="E3182" s="12" t="inlineStr"/>
      <c r="F3182" s="12" t="inlineStr">
        <is>
          <t>CCS MV switchgear building (VFDs)</t>
        </is>
      </c>
      <c r="G3182" s="12" t="inlineStr"/>
      <c r="H3182" s="12" t="inlineStr">
        <is>
          <t>CO2 dehydration: molecular-sieve towers and regeneration heater</t>
        </is>
      </c>
      <c r="I3182" s="12" t="inlineStr">
        <is>
          <t>Control</t>
        </is>
      </c>
      <c r="J3182" s="12" t="inlineStr">
        <is>
          <t>Control cable 600 V Type TC-ER, Cu #14 AWG, PVC jacket</t>
        </is>
      </c>
      <c r="K3182" s="12" t="inlineStr">
        <is>
          <t>CT|12/C|14</t>
        </is>
      </c>
      <c r="L3182" s="12" t="inlineStr">
        <is>
          <t>12/C</t>
        </is>
      </c>
      <c r="M3182" s="12" t="inlineStr">
        <is>
          <t>14</t>
        </is>
      </c>
      <c r="N3182" s="12" t="n">
        <v>1</v>
      </c>
      <c r="O3182" s="12" t="n">
        <v>1</v>
      </c>
      <c r="P3182" s="12" t="n"/>
      <c r="Q3182" s="12" t="n"/>
      <c r="R3182" s="12" t="n"/>
      <c r="S3182" s="12" t="inlineStr">
        <is>
          <t>Duct bank</t>
        </is>
      </c>
      <c r="T3182" s="16" t="n">
        <v>305</v>
      </c>
      <c r="U3182" s="16" t="n">
        <v>160</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G-C-0123</t>
        </is>
      </c>
      <c r="B3183" s="12" t="inlineStr">
        <is>
          <t>G</t>
        </is>
      </c>
      <c r="C3183" s="12" t="inlineStr">
        <is>
          <t>Carbon capture</t>
        </is>
      </c>
      <c r="D3183" s="12" t="inlineStr">
        <is>
          <t>MOV 10: control</t>
        </is>
      </c>
      <c r="E3183" s="12" t="inlineStr"/>
      <c r="F3183" s="12" t="inlineStr">
        <is>
          <t>CCS MV switchgear building (VFDs)</t>
        </is>
      </c>
      <c r="G3183" s="12" t="inlineStr"/>
      <c r="H3183" s="12" t="inlineStr">
        <is>
          <t>CO2 dehydration: molecular-sieve towers and regeneration heater</t>
        </is>
      </c>
      <c r="I3183" s="12" t="inlineStr">
        <is>
          <t>Control</t>
        </is>
      </c>
      <c r="J3183" s="12" t="inlineStr">
        <is>
          <t>Control cable 600 V Type TC-ER, Cu #14 AWG, PVC jacket</t>
        </is>
      </c>
      <c r="K3183" s="12" t="inlineStr">
        <is>
          <t>CT|12/C|14</t>
        </is>
      </c>
      <c r="L3183" s="12" t="inlineStr">
        <is>
          <t>12/C</t>
        </is>
      </c>
      <c r="M3183" s="12" t="inlineStr">
        <is>
          <t>14</t>
        </is>
      </c>
      <c r="N3183" s="12" t="n">
        <v>1</v>
      </c>
      <c r="O3183" s="12" t="n">
        <v>1</v>
      </c>
      <c r="P3183" s="12" t="n"/>
      <c r="Q3183" s="12" t="n"/>
      <c r="R3183" s="12" t="n"/>
      <c r="S3183" s="12" t="inlineStr">
        <is>
          <t>Duct bank</t>
        </is>
      </c>
      <c r="T3183" s="16" t="n">
        <v>305</v>
      </c>
      <c r="U3183" s="16" t="n">
        <v>160</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G-C-0124</t>
        </is>
      </c>
      <c r="B3184" s="12" t="inlineStr">
        <is>
          <t>G</t>
        </is>
      </c>
      <c r="C3184" s="12" t="inlineStr">
        <is>
          <t>Carbon capture</t>
        </is>
      </c>
      <c r="D3184" s="12" t="inlineStr">
        <is>
          <t>MOV 11: control</t>
        </is>
      </c>
      <c r="E3184" s="12" t="inlineStr"/>
      <c r="F3184" s="12" t="inlineStr">
        <is>
          <t>CCS MV switchgear building (VFDs)</t>
        </is>
      </c>
      <c r="G3184" s="12" t="inlineStr"/>
      <c r="H3184" s="12" t="inlineStr">
        <is>
          <t>CO2 dehydration: molecular-sieve towers and regeneration heater</t>
        </is>
      </c>
      <c r="I3184" s="12" t="inlineStr">
        <is>
          <t>Control</t>
        </is>
      </c>
      <c r="J3184" s="12" t="inlineStr">
        <is>
          <t>Control cable 600 V Type TC-ER, Cu #14 AWG, PVC jacket</t>
        </is>
      </c>
      <c r="K3184" s="12" t="inlineStr">
        <is>
          <t>CT|12/C|14</t>
        </is>
      </c>
      <c r="L3184" s="12" t="inlineStr">
        <is>
          <t>12/C</t>
        </is>
      </c>
      <c r="M3184" s="12" t="inlineStr">
        <is>
          <t>14</t>
        </is>
      </c>
      <c r="N3184" s="12" t="n">
        <v>1</v>
      </c>
      <c r="O3184" s="12" t="n">
        <v>1</v>
      </c>
      <c r="P3184" s="12" t="n"/>
      <c r="Q3184" s="12" t="n"/>
      <c r="R3184" s="12" t="n"/>
      <c r="S3184" s="12" t="inlineStr">
        <is>
          <t>Duct bank</t>
        </is>
      </c>
      <c r="T3184" s="16" t="n">
        <v>305</v>
      </c>
      <c r="U3184" s="16" t="n">
        <v>160</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G-C-0125</t>
        </is>
      </c>
      <c r="B3185" s="12" t="inlineStr">
        <is>
          <t>G</t>
        </is>
      </c>
      <c r="C3185" s="12" t="inlineStr">
        <is>
          <t>Carbon capture</t>
        </is>
      </c>
      <c r="D3185" s="12" t="inlineStr">
        <is>
          <t>MOV 12: control</t>
        </is>
      </c>
      <c r="E3185" s="12" t="inlineStr"/>
      <c r="F3185" s="12" t="inlineStr">
        <is>
          <t>CCS MV switchgear building (VFDs)</t>
        </is>
      </c>
      <c r="G3185" s="12" t="inlineStr"/>
      <c r="H3185" s="12" t="inlineStr">
        <is>
          <t>CO2 dehydration: molecular-sieve towers and regeneration heater</t>
        </is>
      </c>
      <c r="I3185" s="12" t="inlineStr">
        <is>
          <t>Control</t>
        </is>
      </c>
      <c r="J3185" s="12" t="inlineStr">
        <is>
          <t>Control cable 600 V Type TC-ER, Cu #14 AWG, PVC jacket</t>
        </is>
      </c>
      <c r="K3185" s="12" t="inlineStr">
        <is>
          <t>CT|12/C|14</t>
        </is>
      </c>
      <c r="L3185" s="12" t="inlineStr">
        <is>
          <t>12/C</t>
        </is>
      </c>
      <c r="M3185" s="12" t="inlineStr">
        <is>
          <t>14</t>
        </is>
      </c>
      <c r="N3185" s="12" t="n">
        <v>1</v>
      </c>
      <c r="O3185" s="12" t="n">
        <v>1</v>
      </c>
      <c r="P3185" s="12" t="n"/>
      <c r="Q3185" s="12" t="n"/>
      <c r="R3185" s="12" t="n"/>
      <c r="S3185" s="12" t="inlineStr">
        <is>
          <t>Duct bank</t>
        </is>
      </c>
      <c r="T3185" s="16" t="n">
        <v>305</v>
      </c>
      <c r="U3185" s="16" t="n">
        <v>160</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G-C-0126</t>
        </is>
      </c>
      <c r="B3186" s="12" t="inlineStr">
        <is>
          <t>G</t>
        </is>
      </c>
      <c r="C3186" s="12" t="inlineStr">
        <is>
          <t>Carbon capture</t>
        </is>
      </c>
      <c r="D3186" s="12" t="inlineStr">
        <is>
          <t>Motor 1 of 4: control / local station</t>
        </is>
      </c>
      <c r="E3186" s="12" t="inlineStr"/>
      <c r="F3186" s="12" t="inlineStr">
        <is>
          <t>CCS MV switchgear building (VFDs)</t>
        </is>
      </c>
      <c r="G3186" s="12" t="inlineStr"/>
      <c r="H3186" s="12" t="inlineStr">
        <is>
          <t>CONDITIONAL: HP export compressor + metering</t>
        </is>
      </c>
      <c r="I3186" s="12" t="inlineStr">
        <is>
          <t>Control</t>
        </is>
      </c>
      <c r="J3186" s="12" t="inlineStr">
        <is>
          <t>ARMOR-X MC-HL 600 V control, Cu #14 AWG (Class I Div 2)</t>
        </is>
      </c>
      <c r="K3186" s="12" t="inlineStr">
        <is>
          <t>CTAX|7/C|14</t>
        </is>
      </c>
      <c r="L3186" s="12" t="inlineStr">
        <is>
          <t>7/C</t>
        </is>
      </c>
      <c r="M3186" s="12" t="inlineStr">
        <is>
          <t>14</t>
        </is>
      </c>
      <c r="N3186" s="12" t="n">
        <v>1</v>
      </c>
      <c r="O3186" s="12" t="n">
        <v>1</v>
      </c>
      <c r="P3186" s="12" t="n"/>
      <c r="Q3186" s="12" t="n"/>
      <c r="R3186" s="12" t="n"/>
      <c r="S3186" s="12" t="inlineStr">
        <is>
          <t>Duct bank</t>
        </is>
      </c>
      <c r="T3186" s="16" t="n">
        <v>303</v>
      </c>
      <c r="U3186" s="16" t="n">
        <v>34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G-C-0127</t>
        </is>
      </c>
      <c r="B3187" s="12" t="inlineStr">
        <is>
          <t>G</t>
        </is>
      </c>
      <c r="C3187" s="12" t="inlineStr">
        <is>
          <t>Carbon capture</t>
        </is>
      </c>
      <c r="D3187" s="12" t="inlineStr">
        <is>
          <t>Motor 2 of 4: control / local station</t>
        </is>
      </c>
      <c r="E3187" s="12" t="inlineStr"/>
      <c r="F3187" s="12" t="inlineStr">
        <is>
          <t>CCS MV switchgear building (VFDs)</t>
        </is>
      </c>
      <c r="G3187" s="12" t="inlineStr"/>
      <c r="H3187" s="12" t="inlineStr">
        <is>
          <t>CONDITIONAL: HP export compressor + metering</t>
        </is>
      </c>
      <c r="I3187" s="12" t="inlineStr">
        <is>
          <t>Control</t>
        </is>
      </c>
      <c r="J3187" s="12" t="inlineStr">
        <is>
          <t>ARMOR-X MC-HL 600 V control, Cu #14 AWG (Class I Div 2)</t>
        </is>
      </c>
      <c r="K3187" s="12" t="inlineStr">
        <is>
          <t>CTAX|7/C|14</t>
        </is>
      </c>
      <c r="L3187" s="12" t="inlineStr">
        <is>
          <t>7/C</t>
        </is>
      </c>
      <c r="M3187" s="12" t="inlineStr">
        <is>
          <t>14</t>
        </is>
      </c>
      <c r="N3187" s="12" t="n">
        <v>1</v>
      </c>
      <c r="O3187" s="12" t="n">
        <v>1</v>
      </c>
      <c r="P3187" s="12" t="n"/>
      <c r="Q3187" s="12" t="n"/>
      <c r="R3187" s="12" t="n"/>
      <c r="S3187" s="12" t="inlineStr">
        <is>
          <t>Duct bank</t>
        </is>
      </c>
      <c r="T3187" s="16" t="n">
        <v>303</v>
      </c>
      <c r="U3187" s="16" t="n">
        <v>34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G-C-0128</t>
        </is>
      </c>
      <c r="B3188" s="12" t="inlineStr">
        <is>
          <t>G</t>
        </is>
      </c>
      <c r="C3188" s="12" t="inlineStr">
        <is>
          <t>Carbon capture</t>
        </is>
      </c>
      <c r="D3188" s="12" t="inlineStr">
        <is>
          <t>Motor 3 of 4: control / local station</t>
        </is>
      </c>
      <c r="E3188" s="12" t="inlineStr"/>
      <c r="F3188" s="12" t="inlineStr">
        <is>
          <t>CCS MV switchgear building (VFDs)</t>
        </is>
      </c>
      <c r="G3188" s="12" t="inlineStr"/>
      <c r="H3188" s="12" t="inlineStr">
        <is>
          <t>CONDITIONAL: HP export compressor + metering</t>
        </is>
      </c>
      <c r="I3188" s="12" t="inlineStr">
        <is>
          <t>Control</t>
        </is>
      </c>
      <c r="J3188" s="12" t="inlineStr">
        <is>
          <t>ARMOR-X MC-HL 600 V control, Cu #14 AWG (Class I Div 2)</t>
        </is>
      </c>
      <c r="K3188" s="12" t="inlineStr">
        <is>
          <t>CTAX|7/C|14</t>
        </is>
      </c>
      <c r="L3188" s="12" t="inlineStr">
        <is>
          <t>7/C</t>
        </is>
      </c>
      <c r="M3188" s="12" t="inlineStr">
        <is>
          <t>14</t>
        </is>
      </c>
      <c r="N3188" s="12" t="n">
        <v>1</v>
      </c>
      <c r="O3188" s="12" t="n">
        <v>1</v>
      </c>
      <c r="P3188" s="12" t="n"/>
      <c r="Q3188" s="12" t="n"/>
      <c r="R3188" s="12" t="n"/>
      <c r="S3188" s="12" t="inlineStr">
        <is>
          <t>Duct bank</t>
        </is>
      </c>
      <c r="T3188" s="16" t="n">
        <v>303</v>
      </c>
      <c r="U3188" s="16" t="n">
        <v>34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G-C-0129</t>
        </is>
      </c>
      <c r="B3189" s="12" t="inlineStr">
        <is>
          <t>G</t>
        </is>
      </c>
      <c r="C3189" s="12" t="inlineStr">
        <is>
          <t>Carbon capture</t>
        </is>
      </c>
      <c r="D3189" s="12" t="inlineStr">
        <is>
          <t>Motor 4 of 4: control / local station</t>
        </is>
      </c>
      <c r="E3189" s="12" t="inlineStr"/>
      <c r="F3189" s="12" t="inlineStr">
        <is>
          <t>CCS MV switchgear building (VFDs)</t>
        </is>
      </c>
      <c r="G3189" s="12" t="inlineStr"/>
      <c r="H3189" s="12" t="inlineStr">
        <is>
          <t>CONDITIONAL: HP export compressor + metering</t>
        </is>
      </c>
      <c r="I3189" s="12" t="inlineStr">
        <is>
          <t>Control</t>
        </is>
      </c>
      <c r="J3189" s="12" t="inlineStr">
        <is>
          <t>ARMOR-X MC-HL 600 V control, Cu #14 AWG (Class I Div 2)</t>
        </is>
      </c>
      <c r="K3189" s="12" t="inlineStr">
        <is>
          <t>CTAX|7/C|14</t>
        </is>
      </c>
      <c r="L3189" s="12" t="inlineStr">
        <is>
          <t>7/C</t>
        </is>
      </c>
      <c r="M3189" s="12" t="inlineStr">
        <is>
          <t>14</t>
        </is>
      </c>
      <c r="N3189" s="12" t="n">
        <v>1</v>
      </c>
      <c r="O3189" s="12" t="n">
        <v>1</v>
      </c>
      <c r="P3189" s="12" t="n"/>
      <c r="Q3189" s="12" t="n"/>
      <c r="R3189" s="12" t="n"/>
      <c r="S3189" s="12" t="inlineStr">
        <is>
          <t>Duct bank</t>
        </is>
      </c>
      <c r="T3189" s="16" t="n">
        <v>303</v>
      </c>
      <c r="U3189" s="16" t="n">
        <v>34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G-C-0130</t>
        </is>
      </c>
      <c r="B3190" s="12" t="inlineStr">
        <is>
          <t>G</t>
        </is>
      </c>
      <c r="C3190" s="12" t="inlineStr">
        <is>
          <t>Carbon capture</t>
        </is>
      </c>
      <c r="D3190" s="12" t="inlineStr">
        <is>
          <t>Motor 1 of 2: control / local station</t>
        </is>
      </c>
      <c r="E3190" s="12" t="inlineStr"/>
      <c r="F3190" s="12" t="inlineStr">
        <is>
          <t>CCS MV switchgear building (VFDs)</t>
        </is>
      </c>
      <c r="G3190" s="12" t="inlineStr"/>
      <c r="H3190" s="12" t="inlineStr">
        <is>
          <t>DCC-A pumps + water filter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Tray</t>
        </is>
      </c>
      <c r="T3190" s="16" t="n">
        <v>515</v>
      </c>
      <c r="U3190" s="16" t="n">
        <v>164</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G-C-0131</t>
        </is>
      </c>
      <c r="B3191" s="12" t="inlineStr">
        <is>
          <t>G</t>
        </is>
      </c>
      <c r="C3191" s="12" t="inlineStr">
        <is>
          <t>Carbon capture</t>
        </is>
      </c>
      <c r="D3191" s="12" t="inlineStr">
        <is>
          <t>Motor 2 of 2: control / local station</t>
        </is>
      </c>
      <c r="E3191" s="12" t="inlineStr"/>
      <c r="F3191" s="12" t="inlineStr">
        <is>
          <t>CCS MV switchgear building (VFDs)</t>
        </is>
      </c>
      <c r="G3191" s="12" t="inlineStr"/>
      <c r="H3191" s="12" t="inlineStr">
        <is>
          <t>DCC-A pumps + water filter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Tray</t>
        </is>
      </c>
      <c r="T3191" s="16" t="n">
        <v>515</v>
      </c>
      <c r="U3191" s="16" t="n">
        <v>164</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G-C-0132</t>
        </is>
      </c>
      <c r="B3192" s="12" t="inlineStr">
        <is>
          <t>G</t>
        </is>
      </c>
      <c r="C3192" s="12" t="inlineStr">
        <is>
          <t>Carbon capture</t>
        </is>
      </c>
      <c r="D3192" s="12" t="inlineStr">
        <is>
          <t>Motor 1 of 2: control / local station</t>
        </is>
      </c>
      <c r="E3192" s="12" t="inlineStr"/>
      <c r="F3192" s="12" t="inlineStr">
        <is>
          <t>CCS MV switchgear building (VFDs)</t>
        </is>
      </c>
      <c r="G3192" s="12" t="inlineStr"/>
      <c r="H3192" s="12" t="inlineStr">
        <is>
          <t>DCC-B pumps + water filter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Tray</t>
        </is>
      </c>
      <c r="T3192" s="16" t="n">
        <v>415</v>
      </c>
      <c r="U3192" s="16" t="n">
        <v>122</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G-C-0133</t>
        </is>
      </c>
      <c r="B3193" s="12" t="inlineStr">
        <is>
          <t>G</t>
        </is>
      </c>
      <c r="C3193" s="12" t="inlineStr">
        <is>
          <t>Carbon capture</t>
        </is>
      </c>
      <c r="D3193" s="12" t="inlineStr">
        <is>
          <t>Motor 2 of 2: control / local station</t>
        </is>
      </c>
      <c r="E3193" s="12" t="inlineStr"/>
      <c r="F3193" s="12" t="inlineStr">
        <is>
          <t>CCS MV switchgear building (VFDs)</t>
        </is>
      </c>
      <c r="G3193" s="12" t="inlineStr"/>
      <c r="H3193" s="12" t="inlineStr">
        <is>
          <t>DCC-B pumps + water filter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Tray</t>
        </is>
      </c>
      <c r="T3193" s="16" t="n">
        <v>415</v>
      </c>
      <c r="U3193" s="16" t="n">
        <v>122</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G-C-0134</t>
        </is>
      </c>
      <c r="B3194" s="12" t="inlineStr">
        <is>
          <t>G</t>
        </is>
      </c>
      <c r="C3194" s="12" t="inlineStr">
        <is>
          <t>Carbon capture</t>
        </is>
      </c>
      <c r="D3194" s="12" t="inlineStr">
        <is>
          <t>Motor 1 of 2: control / local station</t>
        </is>
      </c>
      <c r="E3194" s="12" t="inlineStr"/>
      <c r="F3194" s="12" t="inlineStr">
        <is>
          <t>CCS MV switchgear building (VFDs)</t>
        </is>
      </c>
      <c r="G3194" s="12" t="inlineStr"/>
      <c r="H3194" s="12" t="inlineStr">
        <is>
          <t>DCC-C pumps + water filter</t>
        </is>
      </c>
      <c r="I3194" s="12" t="inlineStr">
        <is>
          <t>Control</t>
        </is>
      </c>
      <c r="J3194" s="12" t="inlineStr">
        <is>
          <t>Control cable 600 V Type TC-ER, Cu #14 AWG, PVC jacket</t>
        </is>
      </c>
      <c r="K3194" s="12" t="inlineStr">
        <is>
          <t>CT|7/C|14</t>
        </is>
      </c>
      <c r="L3194" s="12" t="inlineStr">
        <is>
          <t>7/C</t>
        </is>
      </c>
      <c r="M3194" s="12" t="inlineStr">
        <is>
          <t>14</t>
        </is>
      </c>
      <c r="N3194" s="12" t="n">
        <v>1</v>
      </c>
      <c r="O3194" s="12" t="n">
        <v>1</v>
      </c>
      <c r="P3194" s="12" t="n"/>
      <c r="Q3194" s="12" t="n"/>
      <c r="R3194" s="12" t="n"/>
      <c r="S3194" s="12" t="inlineStr">
        <is>
          <t>Tray</t>
        </is>
      </c>
      <c r="T3194" s="16" t="n">
        <v>195</v>
      </c>
      <c r="U3194" s="16" t="n">
        <v>164</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G-C-0135</t>
        </is>
      </c>
      <c r="B3195" s="12" t="inlineStr">
        <is>
          <t>G</t>
        </is>
      </c>
      <c r="C3195" s="12" t="inlineStr">
        <is>
          <t>Carbon capture</t>
        </is>
      </c>
      <c r="D3195" s="12" t="inlineStr">
        <is>
          <t>Motor 2 of 2: control / local station</t>
        </is>
      </c>
      <c r="E3195" s="12" t="inlineStr"/>
      <c r="F3195" s="12" t="inlineStr">
        <is>
          <t>CCS MV switchgear building (VFDs)</t>
        </is>
      </c>
      <c r="G3195" s="12" t="inlineStr"/>
      <c r="H3195" s="12" t="inlineStr">
        <is>
          <t>DCC-C pumps + water filter</t>
        </is>
      </c>
      <c r="I3195" s="12" t="inlineStr">
        <is>
          <t>Control</t>
        </is>
      </c>
      <c r="J3195" s="12" t="inlineStr">
        <is>
          <t>Control cable 600 V Type TC-ER, Cu #14 AWG, PVC jacket</t>
        </is>
      </c>
      <c r="K3195" s="12" t="inlineStr">
        <is>
          <t>CT|7/C|14</t>
        </is>
      </c>
      <c r="L3195" s="12" t="inlineStr">
        <is>
          <t>7/C</t>
        </is>
      </c>
      <c r="M3195" s="12" t="inlineStr">
        <is>
          <t>14</t>
        </is>
      </c>
      <c r="N3195" s="12" t="n">
        <v>1</v>
      </c>
      <c r="O3195" s="12" t="n">
        <v>1</v>
      </c>
      <c r="P3195" s="12" t="n"/>
      <c r="Q3195" s="12" t="n"/>
      <c r="R3195" s="12" t="n"/>
      <c r="S3195" s="12" t="inlineStr">
        <is>
          <t>Tray</t>
        </is>
      </c>
      <c r="T3195" s="16" t="n">
        <v>195</v>
      </c>
      <c r="U3195" s="16" t="n">
        <v>164</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G-C-0136</t>
        </is>
      </c>
      <c r="B3196" s="12" t="inlineStr">
        <is>
          <t>G</t>
        </is>
      </c>
      <c r="C3196" s="12" t="inlineStr">
        <is>
          <t>Carbon capture</t>
        </is>
      </c>
      <c r="D3196" s="12" t="inlineStr">
        <is>
          <t>Motor 1 of 2: control / local station</t>
        </is>
      </c>
      <c r="E3196" s="12" t="inlineStr"/>
      <c r="F3196" s="12" t="inlineStr">
        <is>
          <t>CCS MV switchgear building (VFDs)</t>
        </is>
      </c>
      <c r="G3196" s="12" t="inlineStr">
        <is>
          <t>DMP-A</t>
        </is>
      </c>
      <c r="H3196" s="12" t="inlineStr">
        <is>
          <t>DMP-A: diverter / bypass damper</t>
        </is>
      </c>
      <c r="I3196" s="12" t="inlineStr">
        <is>
          <t>Control</t>
        </is>
      </c>
      <c r="J3196" s="12" t="inlineStr">
        <is>
          <t>Control cable 600 V Type TC-ER, Cu #14 AWG, PVC jacket</t>
        </is>
      </c>
      <c r="K3196" s="12" t="inlineStr">
        <is>
          <t>CT|7/C|14</t>
        </is>
      </c>
      <c r="L3196" s="12" t="inlineStr">
        <is>
          <t>7/C</t>
        </is>
      </c>
      <c r="M3196" s="12" t="inlineStr">
        <is>
          <t>14</t>
        </is>
      </c>
      <c r="N3196" s="12" t="n">
        <v>1</v>
      </c>
      <c r="O3196" s="12" t="n">
        <v>1</v>
      </c>
      <c r="P3196" s="12" t="n"/>
      <c r="Q3196" s="12" t="n"/>
      <c r="R3196" s="12" t="n"/>
      <c r="S3196" s="12" t="inlineStr">
        <is>
          <t>Duct bank</t>
        </is>
      </c>
      <c r="T3196" s="16" t="n">
        <v>1436</v>
      </c>
      <c r="U3196" s="16" t="n">
        <v>124</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G-C-0137</t>
        </is>
      </c>
      <c r="B3197" s="12" t="inlineStr">
        <is>
          <t>G</t>
        </is>
      </c>
      <c r="C3197" s="12" t="inlineStr">
        <is>
          <t>Carbon capture</t>
        </is>
      </c>
      <c r="D3197" s="12" t="inlineStr">
        <is>
          <t>Motor 2 of 2: control / local station</t>
        </is>
      </c>
      <c r="E3197" s="12" t="inlineStr"/>
      <c r="F3197" s="12" t="inlineStr">
        <is>
          <t>CCS MV switchgear building (VFDs)</t>
        </is>
      </c>
      <c r="G3197" s="12" t="inlineStr">
        <is>
          <t>DMP-A</t>
        </is>
      </c>
      <c r="H3197" s="12" t="inlineStr">
        <is>
          <t>DMP-A: diverter / bypass damper</t>
        </is>
      </c>
      <c r="I3197" s="12" t="inlineStr">
        <is>
          <t>Control</t>
        </is>
      </c>
      <c r="J3197" s="12" t="inlineStr">
        <is>
          <t>Control cable 600 V Type TC-ER, Cu #14 AWG, PVC jacket</t>
        </is>
      </c>
      <c r="K3197" s="12" t="inlineStr">
        <is>
          <t>CT|7/C|14</t>
        </is>
      </c>
      <c r="L3197" s="12" t="inlineStr">
        <is>
          <t>7/C</t>
        </is>
      </c>
      <c r="M3197" s="12" t="inlineStr">
        <is>
          <t>14</t>
        </is>
      </c>
      <c r="N3197" s="12" t="n">
        <v>1</v>
      </c>
      <c r="O3197" s="12" t="n">
        <v>1</v>
      </c>
      <c r="P3197" s="12" t="n"/>
      <c r="Q3197" s="12" t="n"/>
      <c r="R3197" s="12" t="n"/>
      <c r="S3197" s="12" t="inlineStr">
        <is>
          <t>Duct bank</t>
        </is>
      </c>
      <c r="T3197" s="16" t="n">
        <v>1436</v>
      </c>
      <c r="U3197" s="16" t="n">
        <v>124</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G-C-0138</t>
        </is>
      </c>
      <c r="B3198" s="12" t="inlineStr">
        <is>
          <t>G</t>
        </is>
      </c>
      <c r="C3198" s="12" t="inlineStr">
        <is>
          <t>Carbon capture</t>
        </is>
      </c>
      <c r="D3198" s="12" t="inlineStr">
        <is>
          <t>Motor 1 of 2: control / local station</t>
        </is>
      </c>
      <c r="E3198" s="12" t="inlineStr"/>
      <c r="F3198" s="12" t="inlineStr">
        <is>
          <t>CCS MV switchgear building (VFDs)</t>
        </is>
      </c>
      <c r="G3198" s="12" t="inlineStr">
        <is>
          <t>DMP-B</t>
        </is>
      </c>
      <c r="H3198" s="12" t="inlineStr">
        <is>
          <t>DMP-B: diverter / bypass damper</t>
        </is>
      </c>
      <c r="I3198" s="12" t="inlineStr">
        <is>
          <t>Control</t>
        </is>
      </c>
      <c r="J3198" s="12" t="inlineStr">
        <is>
          <t>Control cable 600 V Type TC-ER, Cu #14 AWG, PVC jacket</t>
        </is>
      </c>
      <c r="K3198" s="12" t="inlineStr">
        <is>
          <t>CT|7/C|14</t>
        </is>
      </c>
      <c r="L3198" s="12" t="inlineStr">
        <is>
          <t>7/C</t>
        </is>
      </c>
      <c r="M3198" s="12" t="inlineStr">
        <is>
          <t>14</t>
        </is>
      </c>
      <c r="N3198" s="12" t="n">
        <v>1</v>
      </c>
      <c r="O3198" s="12" t="n">
        <v>1</v>
      </c>
      <c r="P3198" s="12" t="n"/>
      <c r="Q3198" s="12" t="n"/>
      <c r="R3198" s="12" t="n"/>
      <c r="S3198" s="12" t="inlineStr">
        <is>
          <t>Duct bank</t>
        </is>
      </c>
      <c r="T3198" s="16" t="n">
        <v>1280</v>
      </c>
      <c r="U3198" s="16" t="n">
        <v>120</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G-C-0139</t>
        </is>
      </c>
      <c r="B3199" s="12" t="inlineStr">
        <is>
          <t>G</t>
        </is>
      </c>
      <c r="C3199" s="12" t="inlineStr">
        <is>
          <t>Carbon capture</t>
        </is>
      </c>
      <c r="D3199" s="12" t="inlineStr">
        <is>
          <t>Motor 2 of 2: control / local station</t>
        </is>
      </c>
      <c r="E3199" s="12" t="inlineStr"/>
      <c r="F3199" s="12" t="inlineStr">
        <is>
          <t>CCS MV switchgear building (VFDs)</t>
        </is>
      </c>
      <c r="G3199" s="12" t="inlineStr">
        <is>
          <t>DMP-B</t>
        </is>
      </c>
      <c r="H3199" s="12" t="inlineStr">
        <is>
          <t>DMP-B: diverter / bypass damper</t>
        </is>
      </c>
      <c r="I3199" s="12" t="inlineStr">
        <is>
          <t>Control</t>
        </is>
      </c>
      <c r="J3199" s="12" t="inlineStr">
        <is>
          <t>Control cable 600 V Type TC-ER, Cu #14 AWG, PVC jacket</t>
        </is>
      </c>
      <c r="K3199" s="12" t="inlineStr">
        <is>
          <t>CT|7/C|14</t>
        </is>
      </c>
      <c r="L3199" s="12" t="inlineStr">
        <is>
          <t>7/C</t>
        </is>
      </c>
      <c r="M3199" s="12" t="inlineStr">
        <is>
          <t>14</t>
        </is>
      </c>
      <c r="N3199" s="12" t="n">
        <v>1</v>
      </c>
      <c r="O3199" s="12" t="n">
        <v>1</v>
      </c>
      <c r="P3199" s="12" t="n"/>
      <c r="Q3199" s="12" t="n"/>
      <c r="R3199" s="12" t="n"/>
      <c r="S3199" s="12" t="inlineStr">
        <is>
          <t>Duct bank</t>
        </is>
      </c>
      <c r="T3199" s="16" t="n">
        <v>1280</v>
      </c>
      <c r="U3199" s="16" t="n">
        <v>120</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G-C-0140</t>
        </is>
      </c>
      <c r="B3200" s="12" t="inlineStr">
        <is>
          <t>G</t>
        </is>
      </c>
      <c r="C3200" s="12" t="inlineStr">
        <is>
          <t>Carbon capture</t>
        </is>
      </c>
      <c r="D3200" s="12" t="inlineStr">
        <is>
          <t>Motor 1 of 2: control / local station</t>
        </is>
      </c>
      <c r="E3200" s="12" t="inlineStr"/>
      <c r="F3200" s="12" t="inlineStr">
        <is>
          <t>CCS MV switchgear building (VFDs)</t>
        </is>
      </c>
      <c r="G3200" s="12" t="inlineStr">
        <is>
          <t>DMP-C</t>
        </is>
      </c>
      <c r="H3200" s="12" t="inlineStr">
        <is>
          <t>DMP-C: diverter / bypass damper</t>
        </is>
      </c>
      <c r="I3200" s="12" t="inlineStr">
        <is>
          <t>Control</t>
        </is>
      </c>
      <c r="J3200" s="12" t="inlineStr">
        <is>
          <t>Control cable 600 V Type TC-ER, Cu #14 AWG, PVC jacket</t>
        </is>
      </c>
      <c r="K3200" s="12" t="inlineStr">
        <is>
          <t>CT|7/C|14</t>
        </is>
      </c>
      <c r="L3200" s="12" t="inlineStr">
        <is>
          <t>7/C</t>
        </is>
      </c>
      <c r="M3200" s="12" t="inlineStr">
        <is>
          <t>14</t>
        </is>
      </c>
      <c r="N3200" s="12" t="n">
        <v>1</v>
      </c>
      <c r="O3200" s="12" t="n">
        <v>1</v>
      </c>
      <c r="P3200" s="12" t="n"/>
      <c r="Q3200" s="12" t="n"/>
      <c r="R3200" s="12" t="n"/>
      <c r="S3200" s="12" t="inlineStr">
        <is>
          <t>Duct bank</t>
        </is>
      </c>
      <c r="T3200" s="16" t="n">
        <v>1116</v>
      </c>
      <c r="U3200" s="16" t="n">
        <v>124</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G-C-0141</t>
        </is>
      </c>
      <c r="B3201" s="12" t="inlineStr">
        <is>
          <t>G</t>
        </is>
      </c>
      <c r="C3201" s="12" t="inlineStr">
        <is>
          <t>Carbon capture</t>
        </is>
      </c>
      <c r="D3201" s="12" t="inlineStr">
        <is>
          <t>Motor 2 of 2: control / local station</t>
        </is>
      </c>
      <c r="E3201" s="12" t="inlineStr"/>
      <c r="F3201" s="12" t="inlineStr">
        <is>
          <t>CCS MV switchgear building (VFDs)</t>
        </is>
      </c>
      <c r="G3201" s="12" t="inlineStr">
        <is>
          <t>DMP-C</t>
        </is>
      </c>
      <c r="H3201" s="12" t="inlineStr">
        <is>
          <t>DMP-C: diverter / bypass damper</t>
        </is>
      </c>
      <c r="I3201" s="12" t="inlineStr">
        <is>
          <t>Control</t>
        </is>
      </c>
      <c r="J3201" s="12" t="inlineStr">
        <is>
          <t>Control cable 600 V Type TC-ER, Cu #14 AWG, PVC jacket</t>
        </is>
      </c>
      <c r="K3201" s="12" t="inlineStr">
        <is>
          <t>CT|7/C|14</t>
        </is>
      </c>
      <c r="L3201" s="12" t="inlineStr">
        <is>
          <t>7/C</t>
        </is>
      </c>
      <c r="M3201" s="12" t="inlineStr">
        <is>
          <t>14</t>
        </is>
      </c>
      <c r="N3201" s="12" t="n">
        <v>1</v>
      </c>
      <c r="O3201" s="12" t="n">
        <v>1</v>
      </c>
      <c r="P3201" s="12" t="n"/>
      <c r="Q3201" s="12" t="n"/>
      <c r="R3201" s="12" t="n"/>
      <c r="S3201" s="12" t="inlineStr">
        <is>
          <t>Duct bank</t>
        </is>
      </c>
      <c r="T3201" s="16" t="n">
        <v>1116</v>
      </c>
      <c r="U3201" s="16" t="n">
        <v>124</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G-C-0142</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RB-A: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50</v>
      </c>
      <c r="U3202" s="16" t="n">
        <v>37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G-C-0143</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RB-A: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50</v>
      </c>
      <c r="U3203" s="16" t="n">
        <v>37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G-C-0144</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RB-A: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50</v>
      </c>
      <c r="U3204" s="16" t="n">
        <v>37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G-C-0145</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RB-A: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50</v>
      </c>
      <c r="U3205" s="16" t="n">
        <v>37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G-C-0146</t>
        </is>
      </c>
      <c r="B3206" s="12" t="inlineStr">
        <is>
          <t>G</t>
        </is>
      </c>
      <c r="C3206" s="12" t="inlineStr">
        <is>
          <t>Carbon capture</t>
        </is>
      </c>
      <c r="D3206" s="12" t="inlineStr">
        <is>
          <t>MOV 1: control</t>
        </is>
      </c>
      <c r="E3206" s="12" t="inlineStr"/>
      <c r="F3206" s="12" t="inlineStr">
        <is>
          <t>CCS MV switchgear building (VFDs)</t>
        </is>
      </c>
      <c r="G3206" s="12" t="inlineStr"/>
      <c r="H3206" s="12" t="inlineStr">
        <is>
          <t>RB-B: reboiler (LP steam from ST extraction)</t>
        </is>
      </c>
      <c r="I3206" s="12" t="inlineStr">
        <is>
          <t>Control</t>
        </is>
      </c>
      <c r="J3206" s="12" t="inlineStr">
        <is>
          <t>Control cable 600 V Type TC-ER, Cu #14 AWG, PVC jacket</t>
        </is>
      </c>
      <c r="K3206" s="12" t="inlineStr">
        <is>
          <t>CT|12/C|14</t>
        </is>
      </c>
      <c r="L3206" s="12" t="inlineStr">
        <is>
          <t>12/C</t>
        </is>
      </c>
      <c r="M3206" s="12" t="inlineStr">
        <is>
          <t>14</t>
        </is>
      </c>
      <c r="N3206" s="12" t="n">
        <v>1</v>
      </c>
      <c r="O3206" s="12" t="n">
        <v>1</v>
      </c>
      <c r="P3206" s="12" t="n"/>
      <c r="Q3206" s="12" t="n"/>
      <c r="R3206" s="12" t="n"/>
      <c r="S3206" s="12" t="inlineStr">
        <is>
          <t>Duct bank</t>
        </is>
      </c>
      <c r="T3206" s="16" t="n">
        <v>83</v>
      </c>
      <c r="U3206" s="16" t="n">
        <v>42</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G-C-0147</t>
        </is>
      </c>
      <c r="B3207" s="12" t="inlineStr">
        <is>
          <t>G</t>
        </is>
      </c>
      <c r="C3207" s="12" t="inlineStr">
        <is>
          <t>Carbon capture</t>
        </is>
      </c>
      <c r="D3207" s="12" t="inlineStr">
        <is>
          <t>MOV 2: control</t>
        </is>
      </c>
      <c r="E3207" s="12" t="inlineStr"/>
      <c r="F3207" s="12" t="inlineStr">
        <is>
          <t>CCS MV switchgear building (VFDs)</t>
        </is>
      </c>
      <c r="G3207" s="12" t="inlineStr"/>
      <c r="H3207" s="12" t="inlineStr">
        <is>
          <t>RB-B: reboiler (LP steam from ST extraction)</t>
        </is>
      </c>
      <c r="I3207" s="12" t="inlineStr">
        <is>
          <t>Control</t>
        </is>
      </c>
      <c r="J3207" s="12" t="inlineStr">
        <is>
          <t>Control cable 600 V Type TC-ER, Cu #14 AWG, PVC jacket</t>
        </is>
      </c>
      <c r="K3207" s="12" t="inlineStr">
        <is>
          <t>CT|12/C|14</t>
        </is>
      </c>
      <c r="L3207" s="12" t="inlineStr">
        <is>
          <t>12/C</t>
        </is>
      </c>
      <c r="M3207" s="12" t="inlineStr">
        <is>
          <t>14</t>
        </is>
      </c>
      <c r="N3207" s="12" t="n">
        <v>1</v>
      </c>
      <c r="O3207" s="12" t="n">
        <v>1</v>
      </c>
      <c r="P3207" s="12" t="n"/>
      <c r="Q3207" s="12" t="n"/>
      <c r="R3207" s="12" t="n"/>
      <c r="S3207" s="12" t="inlineStr">
        <is>
          <t>Duct bank</t>
        </is>
      </c>
      <c r="T3207" s="16" t="n">
        <v>83</v>
      </c>
      <c r="U3207" s="16" t="n">
        <v>42</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G-C-0148</t>
        </is>
      </c>
      <c r="B3208" s="12" t="inlineStr">
        <is>
          <t>G</t>
        </is>
      </c>
      <c r="C3208" s="12" t="inlineStr">
        <is>
          <t>Carbon capture</t>
        </is>
      </c>
      <c r="D3208" s="12" t="inlineStr">
        <is>
          <t>MOV 3: control</t>
        </is>
      </c>
      <c r="E3208" s="12" t="inlineStr"/>
      <c r="F3208" s="12" t="inlineStr">
        <is>
          <t>CCS MV switchgear building (VFDs)</t>
        </is>
      </c>
      <c r="G3208" s="12" t="inlineStr"/>
      <c r="H3208" s="12" t="inlineStr">
        <is>
          <t>RB-B: reboiler (LP steam from ST extraction)</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83</v>
      </c>
      <c r="U3208" s="16" t="n">
        <v>42</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G-C-0149</t>
        </is>
      </c>
      <c r="B3209" s="12" t="inlineStr">
        <is>
          <t>G</t>
        </is>
      </c>
      <c r="C3209" s="12" t="inlineStr">
        <is>
          <t>Carbon capture</t>
        </is>
      </c>
      <c r="D3209" s="12" t="inlineStr">
        <is>
          <t>MOV 4: control</t>
        </is>
      </c>
      <c r="E3209" s="12" t="inlineStr"/>
      <c r="F3209" s="12" t="inlineStr">
        <is>
          <t>CCS MV switchgear building (VFDs)</t>
        </is>
      </c>
      <c r="G3209" s="12" t="inlineStr"/>
      <c r="H3209" s="12" t="inlineStr">
        <is>
          <t>RB-B: reboiler (LP steam from ST extraction)</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83</v>
      </c>
      <c r="U3209" s="16" t="n">
        <v>42</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G-C-0150</t>
        </is>
      </c>
      <c r="B3210" s="12" t="inlineStr">
        <is>
          <t>G</t>
        </is>
      </c>
      <c r="C3210" s="12" t="inlineStr">
        <is>
          <t>Carbon capture</t>
        </is>
      </c>
      <c r="D3210" s="12" t="inlineStr">
        <is>
          <t>MOV 1: control</t>
        </is>
      </c>
      <c r="E3210" s="12" t="inlineStr"/>
      <c r="F3210" s="12" t="inlineStr">
        <is>
          <t>CCS MV switchgear building (VFDs)</t>
        </is>
      </c>
      <c r="G3210" s="12" t="inlineStr"/>
      <c r="H3210" s="12" t="inlineStr">
        <is>
          <t>RB-C: reboiler (LP steam from ST extraction)</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45</v>
      </c>
      <c r="U3210" s="16" t="n">
        <v>47</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G-C-0151</t>
        </is>
      </c>
      <c r="B3211" s="12" t="inlineStr">
        <is>
          <t>G</t>
        </is>
      </c>
      <c r="C3211" s="12" t="inlineStr">
        <is>
          <t>Carbon capture</t>
        </is>
      </c>
      <c r="D3211" s="12" t="inlineStr">
        <is>
          <t>MOV 2: control</t>
        </is>
      </c>
      <c r="E3211" s="12" t="inlineStr"/>
      <c r="F3211" s="12" t="inlineStr">
        <is>
          <t>CCS MV switchgear building (VFDs)</t>
        </is>
      </c>
      <c r="G3211" s="12" t="inlineStr"/>
      <c r="H3211" s="12" t="inlineStr">
        <is>
          <t>RB-C: reboiler (LP steam from ST extraction)</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45</v>
      </c>
      <c r="U3211" s="16" t="n">
        <v>47</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G-C-0152</t>
        </is>
      </c>
      <c r="B3212" s="12" t="inlineStr">
        <is>
          <t>G</t>
        </is>
      </c>
      <c r="C3212" s="12" t="inlineStr">
        <is>
          <t>Carbon capture</t>
        </is>
      </c>
      <c r="D3212" s="12" t="inlineStr">
        <is>
          <t>MOV 3: control</t>
        </is>
      </c>
      <c r="E3212" s="12" t="inlineStr"/>
      <c r="F3212" s="12" t="inlineStr">
        <is>
          <t>CCS MV switchgear building (VFDs)</t>
        </is>
      </c>
      <c r="G3212" s="12" t="inlineStr"/>
      <c r="H3212" s="12" t="inlineStr">
        <is>
          <t>RB-C: reboiler (LP steam from ST extraction)</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45</v>
      </c>
      <c r="U3212" s="16" t="n">
        <v>47</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G-C-0153</t>
        </is>
      </c>
      <c r="B3213" s="12" t="inlineStr">
        <is>
          <t>G</t>
        </is>
      </c>
      <c r="C3213" s="12" t="inlineStr">
        <is>
          <t>Carbon capture</t>
        </is>
      </c>
      <c r="D3213" s="12" t="inlineStr">
        <is>
          <t>MOV 4: control</t>
        </is>
      </c>
      <c r="E3213" s="12" t="inlineStr"/>
      <c r="F3213" s="12" t="inlineStr">
        <is>
          <t>CCS MV switchgear building (VFDs)</t>
        </is>
      </c>
      <c r="G3213" s="12" t="inlineStr"/>
      <c r="H3213" s="12" t="inlineStr">
        <is>
          <t>RB-C: reboiler (LP steam from ST extraction)</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45</v>
      </c>
      <c r="U3213" s="16" t="n">
        <v>47</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G-C-0154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Reclaimer (thermal, intermittent)</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Duct bank</t>
        </is>
      </c>
      <c r="T3214" s="16" t="n">
        <v>45</v>
      </c>
      <c r="U3214" s="16" t="n">
        <v>57</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G-C-0155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Reclaimer (thermal, intermittent)</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Duct bank</t>
        </is>
      </c>
      <c r="T3215" s="16" t="n">
        <v>45</v>
      </c>
      <c r="U3215" s="16" t="n">
        <v>57</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G-C-0156</t>
        </is>
      </c>
      <c r="B3216" s="12" t="inlineStr">
        <is>
          <t>G</t>
        </is>
      </c>
      <c r="C3216" s="12" t="inlineStr">
        <is>
          <t>Carbon capture</t>
        </is>
      </c>
      <c r="D3216" s="12" t="inlineStr">
        <is>
          <t>MOV 1: control</t>
        </is>
      </c>
      <c r="E3216" s="12" t="inlineStr"/>
      <c r="F3216" s="12" t="inlineStr">
        <is>
          <t>CCS MV switchgear building (VFDs)</t>
        </is>
      </c>
      <c r="G3216" s="12" t="inlineStr">
        <is>
          <t>STR-A</t>
        </is>
      </c>
      <c r="H3216" s="12" t="inlineStr">
        <is>
          <t>STR-A: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G-C-0157</t>
        </is>
      </c>
      <c r="B3217" s="12" t="inlineStr">
        <is>
          <t>G</t>
        </is>
      </c>
      <c r="C3217" s="12" t="inlineStr">
        <is>
          <t>Carbon capture</t>
        </is>
      </c>
      <c r="D3217" s="12" t="inlineStr">
        <is>
          <t>MOV 2: control</t>
        </is>
      </c>
      <c r="E3217" s="12" t="inlineStr"/>
      <c r="F3217" s="12" t="inlineStr">
        <is>
          <t>CCS MV switchgear building (VFDs)</t>
        </is>
      </c>
      <c r="G3217" s="12" t="inlineStr">
        <is>
          <t>STR-A</t>
        </is>
      </c>
      <c r="H3217" s="12" t="inlineStr">
        <is>
          <t>STR-A: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G-C-0158</t>
        </is>
      </c>
      <c r="B3218" s="12" t="inlineStr">
        <is>
          <t>G</t>
        </is>
      </c>
      <c r="C3218" s="12" t="inlineStr">
        <is>
          <t>Carbon capture</t>
        </is>
      </c>
      <c r="D3218" s="12" t="inlineStr">
        <is>
          <t>MOV 3: control</t>
        </is>
      </c>
      <c r="E3218" s="12" t="inlineStr"/>
      <c r="F3218" s="12" t="inlineStr">
        <is>
          <t>CCS MV switchgear building (VFDs)</t>
        </is>
      </c>
      <c r="G3218" s="12" t="inlineStr">
        <is>
          <t>STR-A</t>
        </is>
      </c>
      <c r="H3218" s="12" t="inlineStr">
        <is>
          <t>STR-A: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G-C-0159</t>
        </is>
      </c>
      <c r="B3219" s="12" t="inlineStr">
        <is>
          <t>G</t>
        </is>
      </c>
      <c r="C3219" s="12" t="inlineStr">
        <is>
          <t>Carbon capture</t>
        </is>
      </c>
      <c r="D3219" s="12" t="inlineStr">
        <is>
          <t>MOV 4: control</t>
        </is>
      </c>
      <c r="E3219" s="12" t="inlineStr"/>
      <c r="F3219" s="12" t="inlineStr">
        <is>
          <t>CCS MV switchgear building (VFDs)</t>
        </is>
      </c>
      <c r="G3219" s="12" t="inlineStr">
        <is>
          <t>STR-A</t>
        </is>
      </c>
      <c r="H3219" s="12" t="inlineStr">
        <is>
          <t>STR-A: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G-C-0160</t>
        </is>
      </c>
      <c r="B3220" s="12" t="inlineStr">
        <is>
          <t>G</t>
        </is>
      </c>
      <c r="C3220" s="12" t="inlineStr">
        <is>
          <t>Carbon capture</t>
        </is>
      </c>
      <c r="D3220" s="12" t="inlineStr">
        <is>
          <t>MOV 5: control</t>
        </is>
      </c>
      <c r="E3220" s="12" t="inlineStr"/>
      <c r="F3220" s="12" t="inlineStr">
        <is>
          <t>CCS MV switchgear building (VFDs)</t>
        </is>
      </c>
      <c r="G3220" s="12" t="inlineStr">
        <is>
          <t>STR-A</t>
        </is>
      </c>
      <c r="H3220" s="12" t="inlineStr">
        <is>
          <t>STR-A: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146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G-C-0161</t>
        </is>
      </c>
      <c r="B3221" s="12" t="inlineStr">
        <is>
          <t>G</t>
        </is>
      </c>
      <c r="C3221" s="12" t="inlineStr">
        <is>
          <t>Carbon capture</t>
        </is>
      </c>
      <c r="D3221" s="12" t="inlineStr">
        <is>
          <t>MOV 6: control</t>
        </is>
      </c>
      <c r="E3221" s="12" t="inlineStr"/>
      <c r="F3221" s="12" t="inlineStr">
        <is>
          <t>CCS MV switchgear building (VFDs)</t>
        </is>
      </c>
      <c r="G3221" s="12" t="inlineStr">
        <is>
          <t>STR-A</t>
        </is>
      </c>
      <c r="H3221" s="12" t="inlineStr">
        <is>
          <t>STR-A: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146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G-C-0162</t>
        </is>
      </c>
      <c r="B3222" s="12" t="inlineStr">
        <is>
          <t>G</t>
        </is>
      </c>
      <c r="C3222" s="12" t="inlineStr">
        <is>
          <t>Carbon capture</t>
        </is>
      </c>
      <c r="D3222" s="12" t="inlineStr">
        <is>
          <t>MOV 1: control</t>
        </is>
      </c>
      <c r="E3222" s="12" t="inlineStr"/>
      <c r="F3222" s="12" t="inlineStr">
        <is>
          <t>CCS MV switchgear building (VFDs)</t>
        </is>
      </c>
      <c r="G3222" s="12" t="inlineStr">
        <is>
          <t>STR-B</t>
        </is>
      </c>
      <c r="H3222" s="12" t="inlineStr">
        <is>
          <t>STR-B: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146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G-C-0163</t>
        </is>
      </c>
      <c r="B3223" s="12" t="inlineStr">
        <is>
          <t>G</t>
        </is>
      </c>
      <c r="C3223" s="12" t="inlineStr">
        <is>
          <t>Carbon capture</t>
        </is>
      </c>
      <c r="D3223" s="12" t="inlineStr">
        <is>
          <t>MOV 2: control</t>
        </is>
      </c>
      <c r="E3223" s="12" t="inlineStr"/>
      <c r="F3223" s="12" t="inlineStr">
        <is>
          <t>CCS MV switchgear building (VFDs)</t>
        </is>
      </c>
      <c r="G3223" s="12" t="inlineStr">
        <is>
          <t>STR-B</t>
        </is>
      </c>
      <c r="H3223" s="12" t="inlineStr">
        <is>
          <t>STR-B: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146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G-C-0164</t>
        </is>
      </c>
      <c r="B3224" s="12" t="inlineStr">
        <is>
          <t>G</t>
        </is>
      </c>
      <c r="C3224" s="12" t="inlineStr">
        <is>
          <t>Carbon capture</t>
        </is>
      </c>
      <c r="D3224" s="12" t="inlineStr">
        <is>
          <t>MOV 3: control</t>
        </is>
      </c>
      <c r="E3224" s="12" t="inlineStr"/>
      <c r="F3224" s="12" t="inlineStr">
        <is>
          <t>CCS MV switchgear building (VFDs)</t>
        </is>
      </c>
      <c r="G3224" s="12" t="inlineStr">
        <is>
          <t>STR-B</t>
        </is>
      </c>
      <c r="H3224" s="12" t="inlineStr">
        <is>
          <t>STR-B: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146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G-C-0165</t>
        </is>
      </c>
      <c r="B3225" s="12" t="inlineStr">
        <is>
          <t>G</t>
        </is>
      </c>
      <c r="C3225" s="12" t="inlineStr">
        <is>
          <t>Carbon capture</t>
        </is>
      </c>
      <c r="D3225" s="12" t="inlineStr">
        <is>
          <t>MOV 4: control</t>
        </is>
      </c>
      <c r="E3225" s="12" t="inlineStr"/>
      <c r="F3225" s="12" t="inlineStr">
        <is>
          <t>CCS MV switchgear building (VFDs)</t>
        </is>
      </c>
      <c r="G3225" s="12" t="inlineStr">
        <is>
          <t>STR-B</t>
        </is>
      </c>
      <c r="H3225" s="12" t="inlineStr">
        <is>
          <t>STR-B: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146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G-C-0166</t>
        </is>
      </c>
      <c r="B3226" s="12" t="inlineStr">
        <is>
          <t>G</t>
        </is>
      </c>
      <c r="C3226" s="12" t="inlineStr">
        <is>
          <t>Carbon capture</t>
        </is>
      </c>
      <c r="D3226" s="12" t="inlineStr">
        <is>
          <t>MOV 5: control</t>
        </is>
      </c>
      <c r="E3226" s="12" t="inlineStr"/>
      <c r="F3226" s="12" t="inlineStr">
        <is>
          <t>CCS MV switchgear building (VFDs)</t>
        </is>
      </c>
      <c r="G3226" s="12" t="inlineStr">
        <is>
          <t>STR-B</t>
        </is>
      </c>
      <c r="H3226" s="12" t="inlineStr">
        <is>
          <t>STR-B: stripper / regenerator (45 ft dia x 207 ft)</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6" t="n">
        <v>146</v>
      </c>
      <c r="U3226" s="16" t="n">
        <v>36</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G-C-0167</t>
        </is>
      </c>
      <c r="B3227" s="12" t="inlineStr">
        <is>
          <t>G</t>
        </is>
      </c>
      <c r="C3227" s="12" t="inlineStr">
        <is>
          <t>Carbon capture</t>
        </is>
      </c>
      <c r="D3227" s="12" t="inlineStr">
        <is>
          <t>MOV 6: control</t>
        </is>
      </c>
      <c r="E3227" s="12" t="inlineStr"/>
      <c r="F3227" s="12" t="inlineStr">
        <is>
          <t>CCS MV switchgear building (VFDs)</t>
        </is>
      </c>
      <c r="G3227" s="12" t="inlineStr">
        <is>
          <t>STR-B</t>
        </is>
      </c>
      <c r="H3227" s="12" t="inlineStr">
        <is>
          <t>STR-B: stripper / regenerator (45 ft dia x 207 ft)</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6" t="n">
        <v>146</v>
      </c>
      <c r="U3227" s="16" t="n">
        <v>36</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G-C-0168</t>
        </is>
      </c>
      <c r="B3228" s="12" t="inlineStr">
        <is>
          <t>G</t>
        </is>
      </c>
      <c r="C3228" s="12" t="inlineStr">
        <is>
          <t>Carbon capture</t>
        </is>
      </c>
      <c r="D3228" s="12" t="inlineStr">
        <is>
          <t>MOV 1: control</t>
        </is>
      </c>
      <c r="E3228" s="12" t="inlineStr"/>
      <c r="F3228" s="12" t="inlineStr">
        <is>
          <t>CCS MV switchgear building (VFDs)</t>
        </is>
      </c>
      <c r="G3228" s="12" t="inlineStr">
        <is>
          <t>STR-C</t>
        </is>
      </c>
      <c r="H3228" s="12" t="inlineStr">
        <is>
          <t>STR-C: stripper / regenerator (45 ft dia x 207 ft)</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6" t="n">
        <v>196</v>
      </c>
      <c r="U3228" s="16" t="n">
        <v>36</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G-C-0169</t>
        </is>
      </c>
      <c r="B3229" s="12" t="inlineStr">
        <is>
          <t>G</t>
        </is>
      </c>
      <c r="C3229" s="12" t="inlineStr">
        <is>
          <t>Carbon capture</t>
        </is>
      </c>
      <c r="D3229" s="12" t="inlineStr">
        <is>
          <t>MOV 2: control</t>
        </is>
      </c>
      <c r="E3229" s="12" t="inlineStr"/>
      <c r="F3229" s="12" t="inlineStr">
        <is>
          <t>CCS MV switchgear building (VFDs)</t>
        </is>
      </c>
      <c r="G3229" s="12" t="inlineStr">
        <is>
          <t>STR-C</t>
        </is>
      </c>
      <c r="H3229" s="12" t="inlineStr">
        <is>
          <t>STR-C: stripper / regenerator (45 ft dia x 207 ft)</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6" t="n">
        <v>196</v>
      </c>
      <c r="U3229" s="16" t="n">
        <v>36</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G-C-0170</t>
        </is>
      </c>
      <c r="B3230" s="12" t="inlineStr">
        <is>
          <t>G</t>
        </is>
      </c>
      <c r="C3230" s="12" t="inlineStr">
        <is>
          <t>Carbon capture</t>
        </is>
      </c>
      <c r="D3230" s="12" t="inlineStr">
        <is>
          <t>MOV 3: control</t>
        </is>
      </c>
      <c r="E3230" s="12" t="inlineStr"/>
      <c r="F3230" s="12" t="inlineStr">
        <is>
          <t>CCS MV switchgear building (VFDs)</t>
        </is>
      </c>
      <c r="G3230" s="12" t="inlineStr">
        <is>
          <t>STR-C</t>
        </is>
      </c>
      <c r="H3230" s="12" t="inlineStr">
        <is>
          <t>STR-C: stripper / regenerator (45 ft dia x 207 ft)</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6" t="n">
        <v>196</v>
      </c>
      <c r="U3230" s="16" t="n">
        <v>36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G-C-0171</t>
        </is>
      </c>
      <c r="B3231" s="12" t="inlineStr">
        <is>
          <t>G</t>
        </is>
      </c>
      <c r="C3231" s="12" t="inlineStr">
        <is>
          <t>Carbon capture</t>
        </is>
      </c>
      <c r="D3231" s="12" t="inlineStr">
        <is>
          <t>MOV 4: control</t>
        </is>
      </c>
      <c r="E3231" s="12" t="inlineStr"/>
      <c r="F3231" s="12" t="inlineStr">
        <is>
          <t>CCS MV switchgear building (VFDs)</t>
        </is>
      </c>
      <c r="G3231" s="12" t="inlineStr">
        <is>
          <t>STR-C</t>
        </is>
      </c>
      <c r="H3231" s="12" t="inlineStr">
        <is>
          <t>STR-C: stripper / regenerator (45 ft dia x 207 ft)</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6" t="n">
        <v>196</v>
      </c>
      <c r="U3231" s="16" t="n">
        <v>36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G-C-0172</t>
        </is>
      </c>
      <c r="B3232" s="12" t="inlineStr">
        <is>
          <t>G</t>
        </is>
      </c>
      <c r="C3232" s="12" t="inlineStr">
        <is>
          <t>Carbon capture</t>
        </is>
      </c>
      <c r="D3232" s="12" t="inlineStr">
        <is>
          <t>MOV 5: control</t>
        </is>
      </c>
      <c r="E3232" s="12" t="inlineStr"/>
      <c r="F3232" s="12" t="inlineStr">
        <is>
          <t>CCS MV switchgear building (VFDs)</t>
        </is>
      </c>
      <c r="G3232" s="12" t="inlineStr">
        <is>
          <t>STR-C</t>
        </is>
      </c>
      <c r="H3232" s="12" t="inlineStr">
        <is>
          <t>STR-C: stripper / regenerator (45 ft dia x 207 ft)</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6" t="n">
        <v>196</v>
      </c>
      <c r="U3232" s="16" t="n">
        <v>36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G-C-0173</t>
        </is>
      </c>
      <c r="B3233" s="12" t="inlineStr">
        <is>
          <t>G</t>
        </is>
      </c>
      <c r="C3233" s="12" t="inlineStr">
        <is>
          <t>Carbon capture</t>
        </is>
      </c>
      <c r="D3233" s="12" t="inlineStr">
        <is>
          <t>MOV 6: control</t>
        </is>
      </c>
      <c r="E3233" s="12" t="inlineStr"/>
      <c r="F3233" s="12" t="inlineStr">
        <is>
          <t>CCS MV switchgear building (VFDs)</t>
        </is>
      </c>
      <c r="G3233" s="12" t="inlineStr">
        <is>
          <t>STR-C</t>
        </is>
      </c>
      <c r="H3233" s="12" t="inlineStr">
        <is>
          <t>STR-C: stripper / regenerator (45 ft dia x 207 ft)</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6" t="n">
        <v>196</v>
      </c>
      <c r="U3233" s="16" t="n">
        <v>36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G-C-0174</t>
        </is>
      </c>
      <c r="B3234" s="12" t="inlineStr">
        <is>
          <t>G</t>
        </is>
      </c>
      <c r="C3234" s="12" t="inlineStr">
        <is>
          <t>Carbon capture</t>
        </is>
      </c>
      <c r="D3234" s="12" t="inlineStr">
        <is>
          <t>Motor 1 of 4: control / local station</t>
        </is>
      </c>
      <c r="E3234" s="12" t="inlineStr"/>
      <c r="F3234" s="12" t="inlineStr">
        <is>
          <t>CCS MV switchgear building (VFDs)</t>
        </is>
      </c>
      <c r="G3234" s="12" t="inlineStr"/>
      <c r="H3234" s="12" t="inlineStr">
        <is>
          <t>Solvent + NaOH storage</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6" t="n">
        <v>250</v>
      </c>
      <c r="U3234" s="16" t="n">
        <v>37</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G-C-0175</t>
        </is>
      </c>
      <c r="B3235" s="12" t="inlineStr">
        <is>
          <t>G</t>
        </is>
      </c>
      <c r="C3235" s="12" t="inlineStr">
        <is>
          <t>Carbon capture</t>
        </is>
      </c>
      <c r="D3235" s="12" t="inlineStr">
        <is>
          <t>Motor 2 of 4: control / local station</t>
        </is>
      </c>
      <c r="E3235" s="12" t="inlineStr"/>
      <c r="F3235" s="12" t="inlineStr">
        <is>
          <t>CCS MV switchgear building (VFDs)</t>
        </is>
      </c>
      <c r="G3235" s="12" t="inlineStr"/>
      <c r="H3235" s="12" t="inlineStr">
        <is>
          <t>Solvent + NaOH storage</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6" t="n">
        <v>250</v>
      </c>
      <c r="U3235" s="16" t="n">
        <v>37</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G-C-0176</t>
        </is>
      </c>
      <c r="B3236" s="12" t="inlineStr">
        <is>
          <t>G</t>
        </is>
      </c>
      <c r="C3236" s="12" t="inlineStr">
        <is>
          <t>Carbon capture</t>
        </is>
      </c>
      <c r="D3236" s="12" t="inlineStr">
        <is>
          <t>Motor 3 of 4: control / local station</t>
        </is>
      </c>
      <c r="E3236" s="12" t="inlineStr"/>
      <c r="F3236" s="12" t="inlineStr">
        <is>
          <t>CCS MV switchgear building (VFDs)</t>
        </is>
      </c>
      <c r="G3236" s="12" t="inlineStr"/>
      <c r="H3236" s="12" t="inlineStr">
        <is>
          <t>Solvent + NaOH storage</t>
        </is>
      </c>
      <c r="I3236" s="12" t="inlineStr">
        <is>
          <t>Control</t>
        </is>
      </c>
      <c r="J3236" s="12" t="inlineStr">
        <is>
          <t>Control cable 600 V Type TC-ER, Cu #14 AWG, PVC jacket</t>
        </is>
      </c>
      <c r="K3236" s="12" t="inlineStr">
        <is>
          <t>CT|7/C|14</t>
        </is>
      </c>
      <c r="L3236" s="12" t="inlineStr">
        <is>
          <t>7/C</t>
        </is>
      </c>
      <c r="M3236" s="12" t="inlineStr">
        <is>
          <t>14</t>
        </is>
      </c>
      <c r="N3236" s="12" t="n">
        <v>1</v>
      </c>
      <c r="O3236" s="12" t="n">
        <v>1</v>
      </c>
      <c r="P3236" s="12" t="n"/>
      <c r="Q3236" s="12" t="n"/>
      <c r="R3236" s="12" t="n"/>
      <c r="S3236" s="12" t="inlineStr">
        <is>
          <t>Duct bank</t>
        </is>
      </c>
      <c r="T3236" s="16" t="n">
        <v>250</v>
      </c>
      <c r="U3236" s="16" t="n">
        <v>37</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G-C-0177</t>
        </is>
      </c>
      <c r="B3237" s="12" t="inlineStr">
        <is>
          <t>G</t>
        </is>
      </c>
      <c r="C3237" s="12" t="inlineStr">
        <is>
          <t>Carbon capture</t>
        </is>
      </c>
      <c r="D3237" s="12" t="inlineStr">
        <is>
          <t>Motor 4 of 4: control / local station</t>
        </is>
      </c>
      <c r="E3237" s="12" t="inlineStr"/>
      <c r="F3237" s="12" t="inlineStr">
        <is>
          <t>CCS MV switchgear building (VFDs)</t>
        </is>
      </c>
      <c r="G3237" s="12" t="inlineStr"/>
      <c r="H3237" s="12" t="inlineStr">
        <is>
          <t>Solvent + NaOH storage</t>
        </is>
      </c>
      <c r="I3237" s="12" t="inlineStr">
        <is>
          <t>Control</t>
        </is>
      </c>
      <c r="J3237" s="12" t="inlineStr">
        <is>
          <t>Control cable 600 V Type TC-ER, Cu #14 AWG, PVC jacket</t>
        </is>
      </c>
      <c r="K3237" s="12" t="inlineStr">
        <is>
          <t>CT|7/C|14</t>
        </is>
      </c>
      <c r="L3237" s="12" t="inlineStr">
        <is>
          <t>7/C</t>
        </is>
      </c>
      <c r="M3237" s="12" t="inlineStr">
        <is>
          <t>14</t>
        </is>
      </c>
      <c r="N3237" s="12" t="n">
        <v>1</v>
      </c>
      <c r="O3237" s="12" t="n">
        <v>1</v>
      </c>
      <c r="P3237" s="12" t="n"/>
      <c r="Q3237" s="12" t="n"/>
      <c r="R3237" s="12" t="n"/>
      <c r="S3237" s="12" t="inlineStr">
        <is>
          <t>Duct bank</t>
        </is>
      </c>
      <c r="T3237" s="16" t="n">
        <v>250</v>
      </c>
      <c r="U3237" s="16" t="n">
        <v>37</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G-C-0178</t>
        </is>
      </c>
      <c r="B3238" s="12" t="inlineStr">
        <is>
          <t>G</t>
        </is>
      </c>
      <c r="C3238" s="12" t="inlineStr">
        <is>
          <t>Carbon capture</t>
        </is>
      </c>
      <c r="D3238" s="12" t="inlineStr">
        <is>
          <t>Motor 1 of 2: control / local station</t>
        </is>
      </c>
      <c r="E3238" s="12" t="inlineStr"/>
      <c r="F3238" s="12" t="inlineStr">
        <is>
          <t>CCS MV switchgear building (VFDs)</t>
        </is>
      </c>
      <c r="G3238" s="12" t="inlineStr"/>
      <c r="H3238" s="12" t="inlineStr">
        <is>
          <t>Water-wash pumps A</t>
        </is>
      </c>
      <c r="I3238" s="12" t="inlineStr">
        <is>
          <t>Control</t>
        </is>
      </c>
      <c r="J3238" s="12" t="inlineStr">
        <is>
          <t>Control cable 600 V Type TC-ER, Cu #14 AWG, PVC jacket</t>
        </is>
      </c>
      <c r="K3238" s="12" t="inlineStr">
        <is>
          <t>CT|7/C|14</t>
        </is>
      </c>
      <c r="L3238" s="12" t="inlineStr">
        <is>
          <t>7/C</t>
        </is>
      </c>
      <c r="M3238" s="12" t="inlineStr">
        <is>
          <t>14</t>
        </is>
      </c>
      <c r="N3238" s="12" t="n">
        <v>1</v>
      </c>
      <c r="O3238" s="12" t="n">
        <v>1</v>
      </c>
      <c r="P3238" s="12" t="n"/>
      <c r="Q3238" s="12" t="n"/>
      <c r="R3238" s="12" t="n"/>
      <c r="S3238" s="12" t="inlineStr">
        <is>
          <t>Tray</t>
        </is>
      </c>
      <c r="T3238" s="16" t="n">
        <v>465</v>
      </c>
      <c r="U3238" s="16" t="n">
        <v>96</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G-C-0179</t>
        </is>
      </c>
      <c r="B3239" s="12" t="inlineStr">
        <is>
          <t>G</t>
        </is>
      </c>
      <c r="C3239" s="12" t="inlineStr">
        <is>
          <t>Carbon capture</t>
        </is>
      </c>
      <c r="D3239" s="12" t="inlineStr">
        <is>
          <t>Motor 2 of 2: control / local station</t>
        </is>
      </c>
      <c r="E3239" s="12" t="inlineStr"/>
      <c r="F3239" s="12" t="inlineStr">
        <is>
          <t>CCS MV switchgear building (VFDs)</t>
        </is>
      </c>
      <c r="G3239" s="12" t="inlineStr"/>
      <c r="H3239" s="12" t="inlineStr">
        <is>
          <t>Water-wash pumps A</t>
        </is>
      </c>
      <c r="I3239" s="12" t="inlineStr">
        <is>
          <t>Control</t>
        </is>
      </c>
      <c r="J3239" s="12" t="inlineStr">
        <is>
          <t>Control cable 600 V Type TC-ER, Cu #14 AWG, PVC jacket</t>
        </is>
      </c>
      <c r="K3239" s="12" t="inlineStr">
        <is>
          <t>CT|7/C|14</t>
        </is>
      </c>
      <c r="L3239" s="12" t="inlineStr">
        <is>
          <t>7/C</t>
        </is>
      </c>
      <c r="M3239" s="12" t="inlineStr">
        <is>
          <t>14</t>
        </is>
      </c>
      <c r="N3239" s="12" t="n">
        <v>1</v>
      </c>
      <c r="O3239" s="12" t="n">
        <v>1</v>
      </c>
      <c r="P3239" s="12" t="n"/>
      <c r="Q3239" s="12" t="n"/>
      <c r="R3239" s="12" t="n"/>
      <c r="S3239" s="12" t="inlineStr">
        <is>
          <t>Tray</t>
        </is>
      </c>
      <c r="T3239" s="16" t="n">
        <v>465</v>
      </c>
      <c r="U3239" s="16" t="n">
        <v>96</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G-C-0180</t>
        </is>
      </c>
      <c r="B3240" s="12" t="inlineStr">
        <is>
          <t>G</t>
        </is>
      </c>
      <c r="C3240" s="12" t="inlineStr">
        <is>
          <t>Carbon capture</t>
        </is>
      </c>
      <c r="D3240" s="12" t="inlineStr">
        <is>
          <t>Motor 1 of 2: control / local station</t>
        </is>
      </c>
      <c r="E3240" s="12" t="inlineStr"/>
      <c r="F3240" s="12" t="inlineStr">
        <is>
          <t>CCS MV switchgear building (VFDs)</t>
        </is>
      </c>
      <c r="G3240" s="12" t="inlineStr"/>
      <c r="H3240" s="12" t="inlineStr">
        <is>
          <t>Water-wash pumps B</t>
        </is>
      </c>
      <c r="I3240" s="12" t="inlineStr">
        <is>
          <t>Control</t>
        </is>
      </c>
      <c r="J3240" s="12" t="inlineStr">
        <is>
          <t>Control cable 600 V Type TC-ER, Cu #14 AWG, PVC jacket</t>
        </is>
      </c>
      <c r="K3240" s="12" t="inlineStr">
        <is>
          <t>CT|7/C|14</t>
        </is>
      </c>
      <c r="L3240" s="12" t="inlineStr">
        <is>
          <t>7/C</t>
        </is>
      </c>
      <c r="M3240" s="12" t="inlineStr">
        <is>
          <t>14</t>
        </is>
      </c>
      <c r="N3240" s="12" t="n">
        <v>1</v>
      </c>
      <c r="O3240" s="12" t="n">
        <v>1</v>
      </c>
      <c r="P3240" s="12" t="n"/>
      <c r="Q3240" s="12" t="n"/>
      <c r="R3240" s="12" t="n"/>
      <c r="S3240" s="12" t="inlineStr">
        <is>
          <t>Tray</t>
        </is>
      </c>
      <c r="T3240" s="16" t="n">
        <v>305</v>
      </c>
      <c r="U3240" s="16" t="n">
        <v>96</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G-C-0181</t>
        </is>
      </c>
      <c r="B3241" s="12" t="inlineStr">
        <is>
          <t>G</t>
        </is>
      </c>
      <c r="C3241" s="12" t="inlineStr">
        <is>
          <t>Carbon capture</t>
        </is>
      </c>
      <c r="D3241" s="12" t="inlineStr">
        <is>
          <t>Motor 2 of 2: control / local station</t>
        </is>
      </c>
      <c r="E3241" s="12" t="inlineStr"/>
      <c r="F3241" s="12" t="inlineStr">
        <is>
          <t>CCS MV switchgear building (VFDs)</t>
        </is>
      </c>
      <c r="G3241" s="12" t="inlineStr"/>
      <c r="H3241" s="12" t="inlineStr">
        <is>
          <t>Water-wash pumps B</t>
        </is>
      </c>
      <c r="I3241" s="12" t="inlineStr">
        <is>
          <t>Control</t>
        </is>
      </c>
      <c r="J3241" s="12" t="inlineStr">
        <is>
          <t>Control cable 600 V Type TC-ER, Cu #14 AWG, PVC jacket</t>
        </is>
      </c>
      <c r="K3241" s="12" t="inlineStr">
        <is>
          <t>CT|7/C|14</t>
        </is>
      </c>
      <c r="L3241" s="12" t="inlineStr">
        <is>
          <t>7/C</t>
        </is>
      </c>
      <c r="M3241" s="12" t="inlineStr">
        <is>
          <t>14</t>
        </is>
      </c>
      <c r="N3241" s="12" t="n">
        <v>1</v>
      </c>
      <c r="O3241" s="12" t="n">
        <v>1</v>
      </c>
      <c r="P3241" s="12" t="n"/>
      <c r="Q3241" s="12" t="n"/>
      <c r="R3241" s="12" t="n"/>
      <c r="S3241" s="12" t="inlineStr">
        <is>
          <t>Tray</t>
        </is>
      </c>
      <c r="T3241" s="16" t="n">
        <v>305</v>
      </c>
      <c r="U3241" s="16" t="n">
        <v>96</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G-C-0182</t>
        </is>
      </c>
      <c r="B3242" s="12" t="inlineStr">
        <is>
          <t>G</t>
        </is>
      </c>
      <c r="C3242" s="12" t="inlineStr">
        <is>
          <t>Carbon capture</t>
        </is>
      </c>
      <c r="D3242" s="12" t="inlineStr">
        <is>
          <t>Motor 1 of 2: control / local station</t>
        </is>
      </c>
      <c r="E3242" s="12" t="inlineStr"/>
      <c r="F3242" s="12" t="inlineStr">
        <is>
          <t>CCS MV switchgear building (VFDs)</t>
        </is>
      </c>
      <c r="G3242" s="12" t="inlineStr"/>
      <c r="H3242" s="12" t="inlineStr">
        <is>
          <t>Water-wash pumps C</t>
        </is>
      </c>
      <c r="I3242" s="12" t="inlineStr">
        <is>
          <t>Control</t>
        </is>
      </c>
      <c r="J3242" s="12" t="inlineStr">
        <is>
          <t>Control cable 600 V Type TC-ER, Cu #14 AWG, PVC jacket</t>
        </is>
      </c>
      <c r="K3242" s="12" t="inlineStr">
        <is>
          <t>CT|7/C|14</t>
        </is>
      </c>
      <c r="L3242" s="12" t="inlineStr">
        <is>
          <t>7/C</t>
        </is>
      </c>
      <c r="M3242" s="12" t="inlineStr">
        <is>
          <t>14</t>
        </is>
      </c>
      <c r="N3242" s="12" t="n">
        <v>1</v>
      </c>
      <c r="O3242" s="12" t="n">
        <v>1</v>
      </c>
      <c r="P3242" s="12" t="n"/>
      <c r="Q3242" s="12" t="n"/>
      <c r="R3242" s="12" t="n"/>
      <c r="S3242" s="12" t="inlineStr">
        <is>
          <t>Tray</t>
        </is>
      </c>
      <c r="T3242" s="16" t="n">
        <v>145</v>
      </c>
      <c r="U3242" s="16" t="n">
        <v>96</v>
      </c>
      <c r="V3242" s="16">
        <f>ROUNDUP((T3242+U3242+2*'Read Me'!$B$13)*(1+'Read Me'!$B$12),-1)</f>
        <v/>
      </c>
      <c r="W3242" s="16">
        <f>V3242*N3242*O3242</f>
        <v/>
      </c>
      <c r="X3242" s="12">
        <f>IF(LEFT(I3242,2)="MV",2*N3242*IF(L3242="1/C",O3242,1),0)</f>
        <v/>
      </c>
      <c r="Y3242" s="12">
        <f>IF(OR(LEFT(K3242,4)="LVAX",LEFT(K3242,6)="MV15AX",LEFT(K3242,4)="CTAX",LEFT(K3242,2)="W|"),2*N3242*O3242,0)</f>
        <v/>
      </c>
      <c r="Z3242" s="12" t="inlineStr"/>
      <c r="AA3242" s="12">
        <f>N3242*O3242</f>
        <v/>
      </c>
    </row>
    <row r="3243">
      <c r="A3243" s="12" t="inlineStr">
        <is>
          <t>G-C-0183</t>
        </is>
      </c>
      <c r="B3243" s="12" t="inlineStr">
        <is>
          <t>G</t>
        </is>
      </c>
      <c r="C3243" s="12" t="inlineStr">
        <is>
          <t>Carbon capture</t>
        </is>
      </c>
      <c r="D3243" s="12" t="inlineStr">
        <is>
          <t>Motor 2 of 2: control / local station</t>
        </is>
      </c>
      <c r="E3243" s="12" t="inlineStr"/>
      <c r="F3243" s="12" t="inlineStr">
        <is>
          <t>CCS MV switchgear building (VFDs)</t>
        </is>
      </c>
      <c r="G3243" s="12" t="inlineStr"/>
      <c r="H3243" s="12" t="inlineStr">
        <is>
          <t>Water-wash pumps C</t>
        </is>
      </c>
      <c r="I3243" s="12" t="inlineStr">
        <is>
          <t>Control</t>
        </is>
      </c>
      <c r="J3243" s="12" t="inlineStr">
        <is>
          <t>Control cable 600 V Type TC-ER, Cu #14 AWG, PVC jacket</t>
        </is>
      </c>
      <c r="K3243" s="12" t="inlineStr">
        <is>
          <t>CT|7/C|14</t>
        </is>
      </c>
      <c r="L3243" s="12" t="inlineStr">
        <is>
          <t>7/C</t>
        </is>
      </c>
      <c r="M3243" s="12" t="inlineStr">
        <is>
          <t>14</t>
        </is>
      </c>
      <c r="N3243" s="12" t="n">
        <v>1</v>
      </c>
      <c r="O3243" s="12" t="n">
        <v>1</v>
      </c>
      <c r="P3243" s="12" t="n"/>
      <c r="Q3243" s="12" t="n"/>
      <c r="R3243" s="12" t="n"/>
      <c r="S3243" s="12" t="inlineStr">
        <is>
          <t>Tray</t>
        </is>
      </c>
      <c r="T3243" s="16" t="n">
        <v>145</v>
      </c>
      <c r="U3243" s="16" t="n">
        <v>96</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G-F-0001</t>
        </is>
      </c>
      <c r="B3244" s="12" t="inlineStr">
        <is>
          <t>G</t>
        </is>
      </c>
      <c r="C3244" s="12" t="inlineStr">
        <is>
          <t>Carbon capture</t>
        </is>
      </c>
      <c r="D3244" s="12" t="inlineStr">
        <is>
          <t>Plant network / DCS fibre</t>
        </is>
      </c>
      <c r="E3244" s="12" t="inlineStr">
        <is>
          <t>CR</t>
        </is>
      </c>
      <c r="F3244" s="12" t="inlineStr">
        <is>
          <t>Control / admin building (main control room)</t>
        </is>
      </c>
      <c r="G3244" s="12" t="inlineStr"/>
      <c r="H3244" s="12" t="inlineStr">
        <is>
          <t>CCS F&amp;G / control</t>
        </is>
      </c>
      <c r="I3244" s="12" t="inlineStr">
        <is>
          <t>Fibre / data</t>
        </is>
      </c>
      <c r="J3244" s="12" t="inlineStr">
        <is>
          <t>Fibre optic, single-mode, 12-fibre, armored, orange jacket</t>
        </is>
      </c>
      <c r="K3244" s="12" t="inlineStr">
        <is>
          <t>FO|12 SM|-</t>
        </is>
      </c>
      <c r="L3244" s="12" t="inlineStr">
        <is>
          <t>12 SM</t>
        </is>
      </c>
      <c r="M3244" s="12" t="inlineStr">
        <is>
          <t>-</t>
        </is>
      </c>
      <c r="N3244" s="12" t="n">
        <v>1</v>
      </c>
      <c r="O3244" s="12" t="n">
        <v>1</v>
      </c>
      <c r="P3244" s="12" t="n"/>
      <c r="Q3244" s="12" t="n"/>
      <c r="R3244" s="12" t="n"/>
      <c r="S3244" s="12" t="inlineStr">
        <is>
          <t>Tray</t>
        </is>
      </c>
      <c r="T3244" s="16" t="n">
        <v>2379</v>
      </c>
      <c r="U3244" s="16" t="n">
        <v>333</v>
      </c>
      <c r="V3244" s="16">
        <f>ROUNDUP((T3244+U3244+2*'Read Me'!$B$13)*(1+'Read Me'!$B$12),-1)</f>
        <v/>
      </c>
      <c r="W3244" s="16">
        <f>V3244*N3244*O3244</f>
        <v/>
      </c>
      <c r="X3244" s="12">
        <f>IF(LEFT(I3244,2)="MV",2*N3244*IF(L3244="1/C",O3244,1),0)</f>
        <v/>
      </c>
      <c r="Y3244" s="12">
        <f>IF(OR(LEFT(K3244,4)="LVAX",LEFT(K3244,6)="MV15AX",LEFT(K3244,4)="CTAX",LEFT(K3244,2)="W|"),2*N3244*O3244,0)</f>
        <v/>
      </c>
      <c r="Z3244" s="12" t="inlineStr"/>
      <c r="AA3244" s="12">
        <f>N3244*O3244</f>
        <v/>
      </c>
    </row>
    <row r="3245">
      <c r="A3245" s="12" t="inlineStr">
        <is>
          <t>G-F-0002</t>
        </is>
      </c>
      <c r="B3245" s="12" t="inlineStr">
        <is>
          <t>G</t>
        </is>
      </c>
      <c r="C3245" s="12" t="inlineStr">
        <is>
          <t>Carbon capture</t>
        </is>
      </c>
      <c r="D3245" s="12" t="inlineStr">
        <is>
          <t>Plant network / DCS fibre</t>
        </is>
      </c>
      <c r="E3245" s="12" t="inlineStr">
        <is>
          <t>CR</t>
        </is>
      </c>
      <c r="F3245" s="12" t="inlineStr">
        <is>
          <t>Control / admin building (main control room)</t>
        </is>
      </c>
      <c r="G3245" s="12" t="inlineStr"/>
      <c r="H3245" s="12" t="inlineStr">
        <is>
          <t>CCS MV switchgear building (VFDs)</t>
        </is>
      </c>
      <c r="I3245" s="12" t="inlineStr">
        <is>
          <t>Fibre / data</t>
        </is>
      </c>
      <c r="J3245" s="12" t="inlineStr">
        <is>
          <t>Fibre optic, single-mode, 12-fibre, armored, orange jacket</t>
        </is>
      </c>
      <c r="K3245" s="12" t="inlineStr">
        <is>
          <t>FO|12 SM|-</t>
        </is>
      </c>
      <c r="L3245" s="12" t="inlineStr">
        <is>
          <t>12 SM</t>
        </is>
      </c>
      <c r="M3245" s="12" t="inlineStr">
        <is>
          <t>-</t>
        </is>
      </c>
      <c r="N3245" s="12" t="n">
        <v>1</v>
      </c>
      <c r="O3245" s="12" t="n">
        <v>1</v>
      </c>
      <c r="P3245" s="12" t="n"/>
      <c r="Q3245" s="12" t="n"/>
      <c r="R3245" s="12" t="n"/>
      <c r="S3245" s="12" t="inlineStr">
        <is>
          <t>Duct bank</t>
        </is>
      </c>
      <c r="T3245" s="16" t="n">
        <v>2585</v>
      </c>
      <c r="U3245" s="16" t="n">
        <v>264</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G-F-0003</t>
        </is>
      </c>
      <c r="B3246" s="12" t="inlineStr">
        <is>
          <t>G</t>
        </is>
      </c>
      <c r="C3246" s="12" t="inlineStr">
        <is>
          <t>Carbon capture</t>
        </is>
      </c>
      <c r="D3246" s="12" t="inlineStr">
        <is>
          <t>Plant network / DCS fibre</t>
        </is>
      </c>
      <c r="E3246" s="12" t="inlineStr">
        <is>
          <t>CR</t>
        </is>
      </c>
      <c r="F3246" s="12" t="inlineStr">
        <is>
          <t>Control / admin building (main control room)</t>
        </is>
      </c>
      <c r="G3246" s="12" t="inlineStr"/>
      <c r="H3246" s="12" t="inlineStr">
        <is>
          <t>CT MCC / VFD e-house</t>
        </is>
      </c>
      <c r="I3246" s="12" t="inlineStr">
        <is>
          <t>Fibre / data</t>
        </is>
      </c>
      <c r="J3246" s="12" t="inlineStr">
        <is>
          <t>Fibre optic, single-mode, 12-fibre, armored, orange jacket</t>
        </is>
      </c>
      <c r="K3246" s="12" t="inlineStr">
        <is>
          <t>FO|12 SM|-</t>
        </is>
      </c>
      <c r="L3246" s="12" t="inlineStr">
        <is>
          <t>12 SM</t>
        </is>
      </c>
      <c r="M3246" s="12" t="inlineStr">
        <is>
          <t>-</t>
        </is>
      </c>
      <c r="N3246" s="12" t="n">
        <v>1</v>
      </c>
      <c r="O3246" s="12" t="n">
        <v>1</v>
      </c>
      <c r="P3246" s="12" t="n"/>
      <c r="Q3246" s="12" t="n"/>
      <c r="R3246" s="12" t="n"/>
      <c r="S3246" s="12" t="inlineStr">
        <is>
          <t>Duct bank</t>
        </is>
      </c>
      <c r="T3246" s="16" t="n">
        <v>3200</v>
      </c>
      <c r="U3246" s="16" t="n">
        <v>264</v>
      </c>
      <c r="V3246" s="16">
        <f>ROUNDUP((T3246+U3246+2*'Read Me'!$B$13)*(1+'Read Me'!$B$12),-1)</f>
        <v/>
      </c>
      <c r="W3246" s="16">
        <f>V3246*N3246*O3246</f>
        <v/>
      </c>
      <c r="X3246" s="12">
        <f>IF(LEFT(I3246,2)="MV",2*N3246*IF(L3246="1/C",O3246,1),0)</f>
        <v/>
      </c>
      <c r="Y3246" s="12">
        <f>IF(OR(LEFT(K3246,4)="LVAX",LEFT(K3246,6)="MV15AX",LEFT(K3246,4)="CTAX",LEFT(K3246,2)="W|"),2*N3246*O3246,0)</f>
        <v/>
      </c>
      <c r="Z3246" s="12" t="inlineStr"/>
      <c r="AA3246" s="12">
        <f>N3246*O3246</f>
        <v/>
      </c>
    </row>
    <row r="3247">
      <c r="A3247" s="12" t="inlineStr">
        <is>
          <t>G-FA-0001</t>
        </is>
      </c>
      <c r="B3247" s="12" t="inlineStr">
        <is>
          <t>G</t>
        </is>
      </c>
      <c r="C3247" s="12" t="inlineStr">
        <is>
          <t>Carbon capture</t>
        </is>
      </c>
      <c r="D3247" s="12" t="inlineStr">
        <is>
          <t>Fire alarm / F&amp;G loop (to the local FACP / F&amp;G node)</t>
        </is>
      </c>
      <c r="E3247" s="12" t="inlineStr"/>
      <c r="F3247" s="12" t="inlineStr">
        <is>
          <t>CCS F&amp;G / control</t>
        </is>
      </c>
      <c r="G3247" s="12" t="inlineStr"/>
      <c r="H3247" s="12" t="inlineStr">
        <is>
          <t>CCS F&amp;G / control</t>
        </is>
      </c>
      <c r="I3247" s="12" t="inlineStr">
        <is>
          <t>Fire alarm</t>
        </is>
      </c>
      <c r="J3247" s="12" t="inlineStr">
        <is>
          <t>Fire alarm FPLR 2/C #14 shielded, red jacket (NEC 760)</t>
        </is>
      </c>
      <c r="K3247" s="12" t="inlineStr">
        <is>
          <t>FA|2/C|14</t>
        </is>
      </c>
      <c r="L3247" s="12" t="inlineStr">
        <is>
          <t>2/C</t>
        </is>
      </c>
      <c r="M3247" s="12" t="inlineStr">
        <is>
          <t>14</t>
        </is>
      </c>
      <c r="N3247" s="12" t="n">
        <v>1</v>
      </c>
      <c r="O3247" s="12" t="n">
        <v>1</v>
      </c>
      <c r="P3247" s="12" t="n"/>
      <c r="Q3247" s="12" t="n"/>
      <c r="R3247" s="12" t="n"/>
      <c r="S3247" s="12" t="inlineStr">
        <is>
          <t>Tray</t>
        </is>
      </c>
      <c r="T3247" s="16" t="n">
        <v>0</v>
      </c>
      <c r="U3247" s="16" t="n">
        <v>170</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G-FA-0002</t>
        </is>
      </c>
      <c r="B3248" s="12" t="inlineStr">
        <is>
          <t>G</t>
        </is>
      </c>
      <c r="C3248" s="12" t="inlineStr">
        <is>
          <t>Carbon capture</t>
        </is>
      </c>
      <c r="D3248" s="12" t="inlineStr">
        <is>
          <t>Fire alarm / F&amp;G loop (to the local FACP / F&amp;G node)</t>
        </is>
      </c>
      <c r="E3248" s="12" t="inlineStr"/>
      <c r="F3248" s="12" t="inlineStr">
        <is>
          <t>CCS F&amp;G / control</t>
        </is>
      </c>
      <c r="G3248" s="12" t="inlineStr"/>
      <c r="H3248" s="12" t="inlineStr">
        <is>
          <t>CCS MV switchgear building (VFDs)</t>
        </is>
      </c>
      <c r="I3248" s="12" t="inlineStr">
        <is>
          <t>Fire alarm</t>
        </is>
      </c>
      <c r="J3248" s="12" t="inlineStr">
        <is>
          <t>Fire alarm FPLR 2/C #14 shielded, red jacket (NEC 760)</t>
        </is>
      </c>
      <c r="K3248" s="12" t="inlineStr">
        <is>
          <t>FA|2/C|14</t>
        </is>
      </c>
      <c r="L3248" s="12" t="inlineStr">
        <is>
          <t>2/C</t>
        </is>
      </c>
      <c r="M3248" s="12" t="inlineStr">
        <is>
          <t>14</t>
        </is>
      </c>
      <c r="N3248" s="12" t="n">
        <v>1</v>
      </c>
      <c r="O3248" s="12" t="n">
        <v>1</v>
      </c>
      <c r="P3248" s="12" t="n"/>
      <c r="Q3248" s="12" t="n"/>
      <c r="R3248" s="12" t="n"/>
      <c r="S3248" s="12" t="inlineStr">
        <is>
          <t>Duct bank</t>
        </is>
      </c>
      <c r="T3248" s="16" t="n">
        <v>206</v>
      </c>
      <c r="U3248" s="16" t="n">
        <v>101</v>
      </c>
      <c r="V3248" s="16">
        <f>ROUNDUP((T3248+U3248+2*'Read Me'!$B$13)*(1+'Read Me'!$B$12),-1)</f>
        <v/>
      </c>
      <c r="W3248" s="16">
        <f>V3248*N3248*O3248</f>
        <v/>
      </c>
      <c r="X3248" s="12">
        <f>IF(LEFT(I3248,2)="MV",2*N3248*IF(L3248="1/C",O3248,1),0)</f>
        <v/>
      </c>
      <c r="Y3248" s="12">
        <f>IF(OR(LEFT(K3248,4)="LVAX",LEFT(K3248,6)="MV15AX",LEFT(K3248,4)="CTAX",LEFT(K3248,2)="W|"),2*N3248*O3248,0)</f>
        <v/>
      </c>
      <c r="Z3248" s="12" t="inlineStr"/>
      <c r="AA3248" s="12">
        <f>N3248*O3248</f>
        <v/>
      </c>
    </row>
    <row r="3249">
      <c r="A3249" s="12" t="inlineStr">
        <is>
          <t>G-FA-0003</t>
        </is>
      </c>
      <c r="B3249" s="12" t="inlineStr">
        <is>
          <t>G</t>
        </is>
      </c>
      <c r="C3249" s="12" t="inlineStr">
        <is>
          <t>Carbon capture</t>
        </is>
      </c>
      <c r="D3249" s="12" t="inlineStr">
        <is>
          <t>Fire alarm / F&amp;G loop (to the local FACP / F&amp;G node)</t>
        </is>
      </c>
      <c r="E3249" s="12" t="inlineStr"/>
      <c r="F3249" s="12" t="inlineStr">
        <is>
          <t>CCS F&amp;G / control</t>
        </is>
      </c>
      <c r="G3249" s="12" t="inlineStr"/>
      <c r="H3249" s="12" t="inlineStr">
        <is>
          <t>CT MCC / VFD e-house</t>
        </is>
      </c>
      <c r="I3249" s="12" t="inlineStr">
        <is>
          <t>Fire alarm</t>
        </is>
      </c>
      <c r="J3249" s="12" t="inlineStr">
        <is>
          <t>Fire alarm FPLR 2/C #14 shielded, red jacket (NEC 760)</t>
        </is>
      </c>
      <c r="K3249" s="12" t="inlineStr">
        <is>
          <t>FA|2/C|14</t>
        </is>
      </c>
      <c r="L3249" s="12" t="inlineStr">
        <is>
          <t>2/C</t>
        </is>
      </c>
      <c r="M3249" s="12" t="inlineStr">
        <is>
          <t>14</t>
        </is>
      </c>
      <c r="N3249" s="12" t="n">
        <v>1</v>
      </c>
      <c r="O3249" s="12" t="n">
        <v>1</v>
      </c>
      <c r="P3249" s="12" t="n"/>
      <c r="Q3249" s="12" t="n"/>
      <c r="R3249" s="12" t="n"/>
      <c r="S3249" s="12" t="inlineStr">
        <is>
          <t>Duct bank</t>
        </is>
      </c>
      <c r="T3249" s="16" t="n">
        <v>821</v>
      </c>
      <c r="U3249" s="16" t="n">
        <v>101</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G-I-0001</t>
        </is>
      </c>
      <c r="B3250" s="12" t="inlineStr">
        <is>
          <t>G</t>
        </is>
      </c>
      <c r="C3250" s="12" t="inlineStr">
        <is>
          <t>Carbon capture</t>
        </is>
      </c>
      <c r="D3250" s="12" t="inlineStr">
        <is>
          <t>Analog instrument to JB JB-ABS-A-AI01: 20 x 1 pr (field cables)</t>
        </is>
      </c>
      <c r="E3250" s="12" t="inlineStr">
        <is>
          <t>ABS-A</t>
        </is>
      </c>
      <c r="F3250" s="12" t="inlineStr">
        <is>
          <t>Absorber A (62 ft dia x 262 ft, stack to 313 ft)</t>
        </is>
      </c>
      <c r="G3250" s="12" t="inlineStr">
        <is>
          <t>JB-ABS-A-AI01</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G-I-0002</t>
        </is>
      </c>
      <c r="B3251" s="12" t="inlineStr">
        <is>
          <t>G</t>
        </is>
      </c>
      <c r="C3251" s="12" t="inlineStr">
        <is>
          <t>Carbon capture</t>
        </is>
      </c>
      <c r="D3251" s="12" t="inlineStr">
        <is>
          <t>Home run JB-ABS-A-AI01 to the control / marshalling room</t>
        </is>
      </c>
      <c r="E3251" s="12" t="inlineStr"/>
      <c r="F3251" s="12" t="inlineStr">
        <is>
          <t>CCS F&amp;G / control</t>
        </is>
      </c>
      <c r="G3251" s="12" t="inlineStr">
        <is>
          <t>JB-ABS-A-AI01</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G-I-0003</t>
        </is>
      </c>
      <c r="B3252" s="12" t="inlineStr">
        <is>
          <t>G</t>
        </is>
      </c>
      <c r="C3252" s="12" t="inlineStr">
        <is>
          <t>Carbon capture</t>
        </is>
      </c>
      <c r="D3252" s="12" t="inlineStr">
        <is>
          <t>Analog instrument to JB JB-ABS-A-AI02: 20 x 1 pr (field cables)</t>
        </is>
      </c>
      <c r="E3252" s="12" t="inlineStr">
        <is>
          <t>ABS-A</t>
        </is>
      </c>
      <c r="F3252" s="12" t="inlineStr">
        <is>
          <t>Absorber A (62 ft dia x 262 ft, stack to 313 ft)</t>
        </is>
      </c>
      <c r="G3252" s="12" t="inlineStr">
        <is>
          <t>JB-ABS-A-AI02</t>
        </is>
      </c>
      <c r="H3252" s="12" t="inlineStr">
        <is>
          <t>Absorber A (62 ft dia x 262 ft, stack to 313 ft)</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212</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G-I-0004</t>
        </is>
      </c>
      <c r="B3253" s="12" t="inlineStr">
        <is>
          <t>G</t>
        </is>
      </c>
      <c r="C3253" s="12" t="inlineStr">
        <is>
          <t>Carbon capture</t>
        </is>
      </c>
      <c r="D3253" s="12" t="inlineStr">
        <is>
          <t>Home run JB-ABS-A-AI02 to the control / marshalling room</t>
        </is>
      </c>
      <c r="E3253" s="12" t="inlineStr"/>
      <c r="F3253" s="12" t="inlineStr">
        <is>
          <t>CCS F&amp;G / control</t>
        </is>
      </c>
      <c r="G3253" s="12" t="inlineStr">
        <is>
          <t>JB-ABS-A-AI02</t>
        </is>
      </c>
      <c r="H3253" s="12" t="inlineStr">
        <is>
          <t>Absorber A (62 ft dia x 262 ft, stack to 313 ft)</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939</v>
      </c>
      <c r="U3253" s="16" t="n">
        <v>149</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G-I-0005</t>
        </is>
      </c>
      <c r="B3254" s="12" t="inlineStr">
        <is>
          <t>G</t>
        </is>
      </c>
      <c r="C3254" s="12" t="inlineStr">
        <is>
          <t>Carbon capture</t>
        </is>
      </c>
      <c r="D3254" s="12" t="inlineStr">
        <is>
          <t>Analog instrument to JB JB-ABS-A-AI03: 20 x 1 pr (field cables)</t>
        </is>
      </c>
      <c r="E3254" s="12" t="inlineStr">
        <is>
          <t>ABS-A</t>
        </is>
      </c>
      <c r="F3254" s="12" t="inlineStr">
        <is>
          <t>Absorber A (62 ft dia x 262 ft, stack to 313 ft)</t>
        </is>
      </c>
      <c r="G3254" s="12" t="inlineStr">
        <is>
          <t>JB-ABS-A-AI03</t>
        </is>
      </c>
      <c r="H3254" s="12" t="inlineStr">
        <is>
          <t>Absorber A (62 ft dia x 262 ft, stack to 313 ft)</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212</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G-I-0006</t>
        </is>
      </c>
      <c r="B3255" s="12" t="inlineStr">
        <is>
          <t>G</t>
        </is>
      </c>
      <c r="C3255" s="12" t="inlineStr">
        <is>
          <t>Carbon capture</t>
        </is>
      </c>
      <c r="D3255" s="12" t="inlineStr">
        <is>
          <t>Home run JB-ABS-A-AI03 to the control / marshalling room</t>
        </is>
      </c>
      <c r="E3255" s="12" t="inlineStr"/>
      <c r="F3255" s="12" t="inlineStr">
        <is>
          <t>CCS F&amp;G / control</t>
        </is>
      </c>
      <c r="G3255" s="12" t="inlineStr">
        <is>
          <t>JB-ABS-A-AI03</t>
        </is>
      </c>
      <c r="H3255" s="12" t="inlineStr">
        <is>
          <t>Absorber A (62 ft dia x 262 ft, stack to 313 ft)</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939</v>
      </c>
      <c r="U3255" s="16" t="n">
        <v>149</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G-I-0007</t>
        </is>
      </c>
      <c r="B3256" s="12" t="inlineStr">
        <is>
          <t>G</t>
        </is>
      </c>
      <c r="C3256" s="12" t="inlineStr">
        <is>
          <t>Carbon capture</t>
        </is>
      </c>
      <c r="D3256" s="12" t="inlineStr">
        <is>
          <t>Discrete device to JB JB-ABS-A-DI01: 20 x 1 pr (field cables)</t>
        </is>
      </c>
      <c r="E3256" s="12" t="inlineStr">
        <is>
          <t>ABS-A</t>
        </is>
      </c>
      <c r="F3256" s="12" t="inlineStr">
        <is>
          <t>Absorber A (62 ft dia x 262 ft, stack to 313 ft)</t>
        </is>
      </c>
      <c r="G3256" s="12" t="inlineStr">
        <is>
          <t>JB-ABS-A-DI01</t>
        </is>
      </c>
      <c r="H3256" s="12" t="inlineStr">
        <is>
          <t>Absorber A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G-I-0008</t>
        </is>
      </c>
      <c r="B3257" s="12" t="inlineStr">
        <is>
          <t>G</t>
        </is>
      </c>
      <c r="C3257" s="12" t="inlineStr">
        <is>
          <t>Carbon capture</t>
        </is>
      </c>
      <c r="D3257" s="12" t="inlineStr">
        <is>
          <t>Home run JB-ABS-A-DI01 to the control / marshalling room</t>
        </is>
      </c>
      <c r="E3257" s="12" t="inlineStr"/>
      <c r="F3257" s="12" t="inlineStr">
        <is>
          <t>CCS F&amp;G / control</t>
        </is>
      </c>
      <c r="G3257" s="12" t="inlineStr">
        <is>
          <t>JB-ABS-A-DI01</t>
        </is>
      </c>
      <c r="H3257" s="12" t="inlineStr">
        <is>
          <t>Absorber A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939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G-I-0009</t>
        </is>
      </c>
      <c r="B3258" s="12" t="inlineStr">
        <is>
          <t>G</t>
        </is>
      </c>
      <c r="C3258" s="12" t="inlineStr">
        <is>
          <t>Carbon capture</t>
        </is>
      </c>
      <c r="D3258" s="12" t="inlineStr">
        <is>
          <t>Discrete device to JB JB-ABS-A-DI02: 20 x 1 pr (field cables)</t>
        </is>
      </c>
      <c r="E3258" s="12" t="inlineStr">
        <is>
          <t>ABS-A</t>
        </is>
      </c>
      <c r="F3258" s="12" t="inlineStr">
        <is>
          <t>Absorber A (62 ft dia x 262 ft, stack to 313 ft)</t>
        </is>
      </c>
      <c r="G3258" s="12" t="inlineStr">
        <is>
          <t>JB-ABS-A-DI02</t>
        </is>
      </c>
      <c r="H3258" s="12" t="inlineStr">
        <is>
          <t>Absorber A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G-I-0010</t>
        </is>
      </c>
      <c r="B3259" s="12" t="inlineStr">
        <is>
          <t>G</t>
        </is>
      </c>
      <c r="C3259" s="12" t="inlineStr">
        <is>
          <t>Carbon capture</t>
        </is>
      </c>
      <c r="D3259" s="12" t="inlineStr">
        <is>
          <t>Home run JB-ABS-A-DI02 to the control / marshalling room</t>
        </is>
      </c>
      <c r="E3259" s="12" t="inlineStr"/>
      <c r="F3259" s="12" t="inlineStr">
        <is>
          <t>CCS F&amp;G / control</t>
        </is>
      </c>
      <c r="G3259" s="12" t="inlineStr">
        <is>
          <t>JB-ABS-A-DI02</t>
        </is>
      </c>
      <c r="H3259" s="12" t="inlineStr">
        <is>
          <t>Absorber A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939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G-I-0011</t>
        </is>
      </c>
      <c r="B3260" s="12" t="inlineStr">
        <is>
          <t>G</t>
        </is>
      </c>
      <c r="C3260" s="12" t="inlineStr">
        <is>
          <t>Carbon capture</t>
        </is>
      </c>
      <c r="D3260" s="12" t="inlineStr">
        <is>
          <t>Analog instrument to JB JB-Absorber A interco-AI01: 15 x 1 pr (field cables)</t>
        </is>
      </c>
      <c r="E3260" s="12" t="inlineStr"/>
      <c r="F3260" s="12" t="inlineStr">
        <is>
          <t>Absorber A intercooler (pumps + plate exchanger)</t>
        </is>
      </c>
      <c r="G3260" s="12" t="inlineStr">
        <is>
          <t>JB-Absorber A interco-AI01</t>
        </is>
      </c>
      <c r="H3260" s="12" t="inlineStr">
        <is>
          <t>Absorber A intercooler (pumps + plate exchanger)</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15</v>
      </c>
      <c r="O3260" s="12" t="n">
        <v>1</v>
      </c>
      <c r="P3260" s="12" t="n"/>
      <c r="Q3260" s="12" t="n"/>
      <c r="R3260" s="12" t="n"/>
      <c r="S3260" s="12" t="inlineStr">
        <is>
          <t>Tray / conduit</t>
        </is>
      </c>
      <c r="T3260" s="16" t="n">
        <v>55</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G-I-0012</t>
        </is>
      </c>
      <c r="B3261" s="12" t="inlineStr">
        <is>
          <t>G</t>
        </is>
      </c>
      <c r="C3261" s="12" t="inlineStr">
        <is>
          <t>Carbon capture</t>
        </is>
      </c>
      <c r="D3261" s="12" t="inlineStr">
        <is>
          <t>Home run JB-Absorber A interco-AI01 to the control / marshalling room</t>
        </is>
      </c>
      <c r="E3261" s="12" t="inlineStr"/>
      <c r="F3261" s="12" t="inlineStr">
        <is>
          <t>CCS F&amp;G / control</t>
        </is>
      </c>
      <c r="G3261" s="12" t="inlineStr">
        <is>
          <t>JB-Absorber A interco-AI01</t>
        </is>
      </c>
      <c r="H3261" s="12" t="inlineStr">
        <is>
          <t>Absorber A intercooler (pumps + plate exchanger)</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921</v>
      </c>
      <c r="U3261" s="16" t="n">
        <v>150</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G-I-0013</t>
        </is>
      </c>
      <c r="B3262" s="12" t="inlineStr">
        <is>
          <t>G</t>
        </is>
      </c>
      <c r="C3262" s="12" t="inlineStr">
        <is>
          <t>Carbon capture</t>
        </is>
      </c>
      <c r="D3262" s="12" t="inlineStr">
        <is>
          <t>Discrete device to JB JB-Absorber A interco-DI01: 15 x 1 pr (field cables)</t>
        </is>
      </c>
      <c r="E3262" s="12" t="inlineStr"/>
      <c r="F3262" s="12" t="inlineStr">
        <is>
          <t>Absorber A intercooler (pumps + plate exchanger)</t>
        </is>
      </c>
      <c r="G3262" s="12" t="inlineStr">
        <is>
          <t>JB-Absorber A interco-DI01</t>
        </is>
      </c>
      <c r="H3262" s="12" t="inlineStr">
        <is>
          <t>Absorber A intercooler (pumps + plate exchanger)</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15</v>
      </c>
      <c r="O3262" s="12" t="n">
        <v>1</v>
      </c>
      <c r="P3262" s="12" t="n"/>
      <c r="Q3262" s="12" t="n"/>
      <c r="R3262" s="12" t="n"/>
      <c r="S3262" s="12" t="inlineStr">
        <is>
          <t>Tray / conduit</t>
        </is>
      </c>
      <c r="T3262" s="16" t="n">
        <v>55</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G-I-0014</t>
        </is>
      </c>
      <c r="B3263" s="12" t="inlineStr">
        <is>
          <t>G</t>
        </is>
      </c>
      <c r="C3263" s="12" t="inlineStr">
        <is>
          <t>Carbon capture</t>
        </is>
      </c>
      <c r="D3263" s="12" t="inlineStr">
        <is>
          <t>Home run JB-Absorber A interco-DI01 to the control / marshalling room</t>
        </is>
      </c>
      <c r="E3263" s="12" t="inlineStr"/>
      <c r="F3263" s="12" t="inlineStr">
        <is>
          <t>CCS F&amp;G / control</t>
        </is>
      </c>
      <c r="G3263" s="12" t="inlineStr">
        <is>
          <t>JB-Absorber A interco-DI01</t>
        </is>
      </c>
      <c r="H3263" s="12" t="inlineStr">
        <is>
          <t>Absorber A intercooler (pumps + plate exchanger)</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921</v>
      </c>
      <c r="U3263" s="16" t="n">
        <v>150</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G-I-0015</t>
        </is>
      </c>
      <c r="B3264" s="12" t="inlineStr">
        <is>
          <t>G</t>
        </is>
      </c>
      <c r="C3264" s="12" t="inlineStr">
        <is>
          <t>Carbon capture</t>
        </is>
      </c>
      <c r="D3264" s="12" t="inlineStr">
        <is>
          <t>Analog instrument to JB JB-ABS-B-AI01: 20 x 1 pr (field cables)</t>
        </is>
      </c>
      <c r="E3264" s="12" t="inlineStr">
        <is>
          <t>ABS-B</t>
        </is>
      </c>
      <c r="F3264" s="12" t="inlineStr">
        <is>
          <t>Absorber B (62 ft dia x 262 ft, stack to 313 ft)</t>
        </is>
      </c>
      <c r="G3264" s="12" t="inlineStr">
        <is>
          <t>JB-ABS-B-AI01</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G-I-0016</t>
        </is>
      </c>
      <c r="B3265" s="12" t="inlineStr">
        <is>
          <t>G</t>
        </is>
      </c>
      <c r="C3265" s="12" t="inlineStr">
        <is>
          <t>Carbon capture</t>
        </is>
      </c>
      <c r="D3265" s="12" t="inlineStr">
        <is>
          <t>Home run JB-ABS-B-AI01 to the control / marshalling room</t>
        </is>
      </c>
      <c r="E3265" s="12" t="inlineStr"/>
      <c r="F3265" s="12" t="inlineStr">
        <is>
          <t>CCS F&amp;G / control</t>
        </is>
      </c>
      <c r="G3265" s="12" t="inlineStr">
        <is>
          <t>JB-ABS-B-AI01</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G-I-0017</t>
        </is>
      </c>
      <c r="B3266" s="12" t="inlineStr">
        <is>
          <t>G</t>
        </is>
      </c>
      <c r="C3266" s="12" t="inlineStr">
        <is>
          <t>Carbon capture</t>
        </is>
      </c>
      <c r="D3266" s="12" t="inlineStr">
        <is>
          <t>Analog instrument to JB JB-ABS-B-AI02: 20 x 1 pr (field cables)</t>
        </is>
      </c>
      <c r="E3266" s="12" t="inlineStr">
        <is>
          <t>ABS-B</t>
        </is>
      </c>
      <c r="F3266" s="12" t="inlineStr">
        <is>
          <t>Absorber B (62 ft dia x 262 ft, stack to 313 ft)</t>
        </is>
      </c>
      <c r="G3266" s="12" t="inlineStr">
        <is>
          <t>JB-ABS-B-AI02</t>
        </is>
      </c>
      <c r="H3266" s="12" t="inlineStr">
        <is>
          <t>Absorber B (62 ft dia x 262 ft, stack to 313 ft)</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6" t="n">
        <v>212</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G-I-0018</t>
        </is>
      </c>
      <c r="B3267" s="12" t="inlineStr">
        <is>
          <t>G</t>
        </is>
      </c>
      <c r="C3267" s="12" t="inlineStr">
        <is>
          <t>Carbon capture</t>
        </is>
      </c>
      <c r="D3267" s="12" t="inlineStr">
        <is>
          <t>Home run JB-ABS-B-AI02 to the control / marshalling room</t>
        </is>
      </c>
      <c r="E3267" s="12" t="inlineStr"/>
      <c r="F3267" s="12" t="inlineStr">
        <is>
          <t>CCS F&amp;G / control</t>
        </is>
      </c>
      <c r="G3267" s="12" t="inlineStr">
        <is>
          <t>JB-ABS-B-AI02</t>
        </is>
      </c>
      <c r="H3267" s="12" t="inlineStr">
        <is>
          <t>Absorber B (62 ft dia x 262 ft, stack to 313 ft)</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779</v>
      </c>
      <c r="U3267" s="16" t="n">
        <v>149</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G-I-0019</t>
        </is>
      </c>
      <c r="B3268" s="12" t="inlineStr">
        <is>
          <t>G</t>
        </is>
      </c>
      <c r="C3268" s="12" t="inlineStr">
        <is>
          <t>Carbon capture</t>
        </is>
      </c>
      <c r="D3268" s="12" t="inlineStr">
        <is>
          <t>Analog instrument to JB JB-ABS-B-AI03: 20 x 1 pr (field cables)</t>
        </is>
      </c>
      <c r="E3268" s="12" t="inlineStr">
        <is>
          <t>ABS-B</t>
        </is>
      </c>
      <c r="F3268" s="12" t="inlineStr">
        <is>
          <t>Absorber B (62 ft dia x 262 ft, stack to 313 ft)</t>
        </is>
      </c>
      <c r="G3268" s="12" t="inlineStr">
        <is>
          <t>JB-ABS-B-AI03</t>
        </is>
      </c>
      <c r="H3268" s="12" t="inlineStr">
        <is>
          <t>Absorber B (62 ft dia x 262 ft, stack to 313 ft)</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6" t="n">
        <v>212</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G-I-0020</t>
        </is>
      </c>
      <c r="B3269" s="12" t="inlineStr">
        <is>
          <t>G</t>
        </is>
      </c>
      <c r="C3269" s="12" t="inlineStr">
        <is>
          <t>Carbon capture</t>
        </is>
      </c>
      <c r="D3269" s="12" t="inlineStr">
        <is>
          <t>Home run JB-ABS-B-AI03 to the control / marshalling room</t>
        </is>
      </c>
      <c r="E3269" s="12" t="inlineStr"/>
      <c r="F3269" s="12" t="inlineStr">
        <is>
          <t>CCS F&amp;G / control</t>
        </is>
      </c>
      <c r="G3269" s="12" t="inlineStr">
        <is>
          <t>JB-ABS-B-AI03</t>
        </is>
      </c>
      <c r="H3269" s="12" t="inlineStr">
        <is>
          <t>Absorber B (62 ft dia x 262 ft, stack to 313 ft)</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779</v>
      </c>
      <c r="U3269" s="16" t="n">
        <v>149</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G-I-0021</t>
        </is>
      </c>
      <c r="B3270" s="12" t="inlineStr">
        <is>
          <t>G</t>
        </is>
      </c>
      <c r="C3270" s="12" t="inlineStr">
        <is>
          <t>Carbon capture</t>
        </is>
      </c>
      <c r="D3270" s="12" t="inlineStr">
        <is>
          <t>Discrete device to JB JB-ABS-B-DI01: 20 x 1 pr (field cables)</t>
        </is>
      </c>
      <c r="E3270" s="12" t="inlineStr">
        <is>
          <t>ABS-B</t>
        </is>
      </c>
      <c r="F3270" s="12" t="inlineStr">
        <is>
          <t>Absorber B (62 ft dia x 262 ft, stack to 313 ft)</t>
        </is>
      </c>
      <c r="G3270" s="12" t="inlineStr">
        <is>
          <t>JB-ABS-B-DI01</t>
        </is>
      </c>
      <c r="H3270" s="12" t="inlineStr">
        <is>
          <t>Absorber B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G-I-0022</t>
        </is>
      </c>
      <c r="B3271" s="12" t="inlineStr">
        <is>
          <t>G</t>
        </is>
      </c>
      <c r="C3271" s="12" t="inlineStr">
        <is>
          <t>Carbon capture</t>
        </is>
      </c>
      <c r="D3271" s="12" t="inlineStr">
        <is>
          <t>Home run JB-ABS-B-DI01 to the control / marshalling room</t>
        </is>
      </c>
      <c r="E3271" s="12" t="inlineStr"/>
      <c r="F3271" s="12" t="inlineStr">
        <is>
          <t>CCS F&amp;G / control</t>
        </is>
      </c>
      <c r="G3271" s="12" t="inlineStr">
        <is>
          <t>JB-ABS-B-DI01</t>
        </is>
      </c>
      <c r="H3271" s="12" t="inlineStr">
        <is>
          <t>Absorber B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6" t="n">
        <v>779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G-I-0023</t>
        </is>
      </c>
      <c r="B3272" s="12" t="inlineStr">
        <is>
          <t>G</t>
        </is>
      </c>
      <c r="C3272" s="12" t="inlineStr">
        <is>
          <t>Carbon capture</t>
        </is>
      </c>
      <c r="D3272" s="12" t="inlineStr">
        <is>
          <t>Discrete device to JB JB-ABS-B-DI02: 20 x 1 pr (field cables)</t>
        </is>
      </c>
      <c r="E3272" s="12" t="inlineStr">
        <is>
          <t>ABS-B</t>
        </is>
      </c>
      <c r="F3272" s="12" t="inlineStr">
        <is>
          <t>Absorber B (62 ft dia x 262 ft, stack to 313 ft)</t>
        </is>
      </c>
      <c r="G3272" s="12" t="inlineStr">
        <is>
          <t>JB-ABS-B-DI02</t>
        </is>
      </c>
      <c r="H3272" s="12" t="inlineStr">
        <is>
          <t>Absorber B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G-I-0024</t>
        </is>
      </c>
      <c r="B3273" s="12" t="inlineStr">
        <is>
          <t>G</t>
        </is>
      </c>
      <c r="C3273" s="12" t="inlineStr">
        <is>
          <t>Carbon capture</t>
        </is>
      </c>
      <c r="D3273" s="12" t="inlineStr">
        <is>
          <t>Home run JB-ABS-B-DI02 to the control / marshalling room</t>
        </is>
      </c>
      <c r="E3273" s="12" t="inlineStr"/>
      <c r="F3273" s="12" t="inlineStr">
        <is>
          <t>CCS F&amp;G / control</t>
        </is>
      </c>
      <c r="G3273" s="12" t="inlineStr">
        <is>
          <t>JB-ABS-B-DI02</t>
        </is>
      </c>
      <c r="H3273" s="12" t="inlineStr">
        <is>
          <t>Absorber B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6" t="n">
        <v>779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G-I-0025</t>
        </is>
      </c>
      <c r="B3274" s="12" t="inlineStr">
        <is>
          <t>G</t>
        </is>
      </c>
      <c r="C3274" s="12" t="inlineStr">
        <is>
          <t>Carbon capture</t>
        </is>
      </c>
      <c r="D3274" s="12" t="inlineStr">
        <is>
          <t>Analog instrument to JB JB-Absorber B interco-AI01: 15 x 1 pr (field cables)</t>
        </is>
      </c>
      <c r="E3274" s="12" t="inlineStr"/>
      <c r="F3274" s="12" t="inlineStr">
        <is>
          <t>Absorber B intercooler (pumps + plate exchanger)</t>
        </is>
      </c>
      <c r="G3274" s="12" t="inlineStr">
        <is>
          <t>JB-Absorber B interco-AI01</t>
        </is>
      </c>
      <c r="H3274" s="12" t="inlineStr">
        <is>
          <t>Absorber B intercooler (pumps + plate exchanger)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15</v>
      </c>
      <c r="O3274" s="12" t="n">
        <v>1</v>
      </c>
      <c r="P3274" s="12" t="n"/>
      <c r="Q3274" s="12" t="n"/>
      <c r="R3274" s="12" t="n"/>
      <c r="S3274" s="12" t="inlineStr">
        <is>
          <t>Tray / conduit</t>
        </is>
      </c>
      <c r="T3274" s="16" t="n">
        <v>55</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G-I-0026</t>
        </is>
      </c>
      <c r="B3275" s="12" t="inlineStr">
        <is>
          <t>G</t>
        </is>
      </c>
      <c r="C3275" s="12" t="inlineStr">
        <is>
          <t>Carbon capture</t>
        </is>
      </c>
      <c r="D3275" s="12" t="inlineStr">
        <is>
          <t>Home run JB-Absorber B interco-AI01 to the control / marshalling room</t>
        </is>
      </c>
      <c r="E3275" s="12" t="inlineStr"/>
      <c r="F3275" s="12" t="inlineStr">
        <is>
          <t>CCS F&amp;G / control</t>
        </is>
      </c>
      <c r="G3275" s="12" t="inlineStr">
        <is>
          <t>JB-Absorber B interco-AI01</t>
        </is>
      </c>
      <c r="H3275" s="12" t="inlineStr">
        <is>
          <t>Absorber B intercooler (pumps + plate exchanger)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6" t="n">
        <v>761</v>
      </c>
      <c r="U3275" s="16" t="n">
        <v>150</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G-I-0027</t>
        </is>
      </c>
      <c r="B3276" s="12" t="inlineStr">
        <is>
          <t>G</t>
        </is>
      </c>
      <c r="C3276" s="12" t="inlineStr">
        <is>
          <t>Carbon capture</t>
        </is>
      </c>
      <c r="D3276" s="12" t="inlineStr">
        <is>
          <t>Discrete device to JB JB-Absorber B interco-DI01: 15 x 1 pr (field cables)</t>
        </is>
      </c>
      <c r="E3276" s="12" t="inlineStr"/>
      <c r="F3276" s="12" t="inlineStr">
        <is>
          <t>Absorber B intercooler (pumps + plate exchanger)</t>
        </is>
      </c>
      <c r="G3276" s="12" t="inlineStr">
        <is>
          <t>JB-Absorber B interco-DI01</t>
        </is>
      </c>
      <c r="H3276" s="12" t="inlineStr">
        <is>
          <t>Absorber B intercooler (pumps + plate exchanger)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15</v>
      </c>
      <c r="O3276" s="12" t="n">
        <v>1</v>
      </c>
      <c r="P3276" s="12" t="n"/>
      <c r="Q3276" s="12" t="n"/>
      <c r="R3276" s="12" t="n"/>
      <c r="S3276" s="12" t="inlineStr">
        <is>
          <t>Tray / conduit</t>
        </is>
      </c>
      <c r="T3276" s="16" t="n">
        <v>55</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G-I-0028</t>
        </is>
      </c>
      <c r="B3277" s="12" t="inlineStr">
        <is>
          <t>G</t>
        </is>
      </c>
      <c r="C3277" s="12" t="inlineStr">
        <is>
          <t>Carbon capture</t>
        </is>
      </c>
      <c r="D3277" s="12" t="inlineStr">
        <is>
          <t>Home run JB-Absorber B interco-DI01 to the control / marshalling room</t>
        </is>
      </c>
      <c r="E3277" s="12" t="inlineStr"/>
      <c r="F3277" s="12" t="inlineStr">
        <is>
          <t>CCS F&amp;G / control</t>
        </is>
      </c>
      <c r="G3277" s="12" t="inlineStr">
        <is>
          <t>JB-Absorber B interco-DI01</t>
        </is>
      </c>
      <c r="H3277" s="12" t="inlineStr">
        <is>
          <t>Absorber B intercooler (pumps + plate exchanger)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6" t="n">
        <v>761</v>
      </c>
      <c r="U3277" s="16" t="n">
        <v>150</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G-I-0029</t>
        </is>
      </c>
      <c r="B3278" s="12" t="inlineStr">
        <is>
          <t>G</t>
        </is>
      </c>
      <c r="C3278" s="12" t="inlineStr">
        <is>
          <t>Carbon capture</t>
        </is>
      </c>
      <c r="D3278" s="12" t="inlineStr">
        <is>
          <t>Analog instrument to JB JB-ABS-C-AI01: 20 x 1 pr (field cables)</t>
        </is>
      </c>
      <c r="E3278" s="12" t="inlineStr">
        <is>
          <t>ABS-C</t>
        </is>
      </c>
      <c r="F3278" s="12" t="inlineStr">
        <is>
          <t>Absorber C (62 ft dia x 262 ft, stack to 313 ft)</t>
        </is>
      </c>
      <c r="G3278" s="12" t="inlineStr">
        <is>
          <t>JB-ABS-C-AI01</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G-I-0030</t>
        </is>
      </c>
      <c r="B3279" s="12" t="inlineStr">
        <is>
          <t>G</t>
        </is>
      </c>
      <c r="C3279" s="12" t="inlineStr">
        <is>
          <t>Carbon capture</t>
        </is>
      </c>
      <c r="D3279" s="12" t="inlineStr">
        <is>
          <t>Home run JB-ABS-C-AI01 to the control / marshalling room</t>
        </is>
      </c>
      <c r="E3279" s="12" t="inlineStr"/>
      <c r="F3279" s="12" t="inlineStr">
        <is>
          <t>CCS F&amp;G / control</t>
        </is>
      </c>
      <c r="G3279" s="12" t="inlineStr">
        <is>
          <t>JB-ABS-C-AI01</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G-I-0031</t>
        </is>
      </c>
      <c r="B3280" s="12" t="inlineStr">
        <is>
          <t>G</t>
        </is>
      </c>
      <c r="C3280" s="12" t="inlineStr">
        <is>
          <t>Carbon capture</t>
        </is>
      </c>
      <c r="D3280" s="12" t="inlineStr">
        <is>
          <t>Analog instrument to JB JB-ABS-C-AI02: 20 x 1 pr (field cables)</t>
        </is>
      </c>
      <c r="E3280" s="12" t="inlineStr">
        <is>
          <t>ABS-C</t>
        </is>
      </c>
      <c r="F3280" s="12" t="inlineStr">
        <is>
          <t>Absorber C (62 ft dia x 262 ft, stack to 313 ft)</t>
        </is>
      </c>
      <c r="G3280" s="12" t="inlineStr">
        <is>
          <t>JB-ABS-C-AI02</t>
        </is>
      </c>
      <c r="H3280" s="12" t="inlineStr">
        <is>
          <t>Absorber C (62 ft dia x 262 ft, stack to 313 ft)</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6" t="n">
        <v>212</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G-I-0032</t>
        </is>
      </c>
      <c r="B3281" s="12" t="inlineStr">
        <is>
          <t>G</t>
        </is>
      </c>
      <c r="C3281" s="12" t="inlineStr">
        <is>
          <t>Carbon capture</t>
        </is>
      </c>
      <c r="D3281" s="12" t="inlineStr">
        <is>
          <t>Home run JB-ABS-C-AI02 to the control / marshalling room</t>
        </is>
      </c>
      <c r="E3281" s="12" t="inlineStr"/>
      <c r="F3281" s="12" t="inlineStr">
        <is>
          <t>CCS F&amp;G / control</t>
        </is>
      </c>
      <c r="G3281" s="12" t="inlineStr">
        <is>
          <t>JB-ABS-C-AI02</t>
        </is>
      </c>
      <c r="H3281" s="12" t="inlineStr">
        <is>
          <t>Absorber C (62 ft dia x 262 ft, stack to 313 ft)</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619</v>
      </c>
      <c r="U3281" s="16" t="n">
        <v>149</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G-I-0033</t>
        </is>
      </c>
      <c r="B3282" s="12" t="inlineStr">
        <is>
          <t>G</t>
        </is>
      </c>
      <c r="C3282" s="12" t="inlineStr">
        <is>
          <t>Carbon capture</t>
        </is>
      </c>
      <c r="D3282" s="12" t="inlineStr">
        <is>
          <t>Analog instrument to JB JB-ABS-C-AI03: 20 x 1 pr (field cables)</t>
        </is>
      </c>
      <c r="E3282" s="12" t="inlineStr">
        <is>
          <t>ABS-C</t>
        </is>
      </c>
      <c r="F3282" s="12" t="inlineStr">
        <is>
          <t>Absorber C (62 ft dia x 262 ft, stack to 313 ft)</t>
        </is>
      </c>
      <c r="G3282" s="12" t="inlineStr">
        <is>
          <t>JB-ABS-C-AI03</t>
        </is>
      </c>
      <c r="H3282" s="12" t="inlineStr">
        <is>
          <t>Absorber C (62 ft dia x 262 ft, stack to 313 ft)</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20</v>
      </c>
      <c r="O3282" s="12" t="n">
        <v>1</v>
      </c>
      <c r="P3282" s="12" t="n"/>
      <c r="Q3282" s="12" t="n"/>
      <c r="R3282" s="12" t="n"/>
      <c r="S3282" s="12" t="inlineStr">
        <is>
          <t>Tray / conduit</t>
        </is>
      </c>
      <c r="T3282" s="16" t="n">
        <v>212</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G-I-0034</t>
        </is>
      </c>
      <c r="B3283" s="12" t="inlineStr">
        <is>
          <t>G</t>
        </is>
      </c>
      <c r="C3283" s="12" t="inlineStr">
        <is>
          <t>Carbon capture</t>
        </is>
      </c>
      <c r="D3283" s="12" t="inlineStr">
        <is>
          <t>Home run JB-ABS-C-AI03 to the control / marshalling room</t>
        </is>
      </c>
      <c r="E3283" s="12" t="inlineStr"/>
      <c r="F3283" s="12" t="inlineStr">
        <is>
          <t>CCS F&amp;G / control</t>
        </is>
      </c>
      <c r="G3283" s="12" t="inlineStr">
        <is>
          <t>JB-ABS-C-AI03</t>
        </is>
      </c>
      <c r="H3283" s="12" t="inlineStr">
        <is>
          <t>Absorber C (62 ft dia x 262 ft, stack to 313 ft)</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619</v>
      </c>
      <c r="U3283" s="16" t="n">
        <v>149</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G-I-0035</t>
        </is>
      </c>
      <c r="B3284" s="12" t="inlineStr">
        <is>
          <t>G</t>
        </is>
      </c>
      <c r="C3284" s="12" t="inlineStr">
        <is>
          <t>Carbon capture</t>
        </is>
      </c>
      <c r="D3284" s="12" t="inlineStr">
        <is>
          <t>Discrete device to JB JB-ABS-C-DI01: 20 x 1 pr (field cables)</t>
        </is>
      </c>
      <c r="E3284" s="12" t="inlineStr">
        <is>
          <t>ABS-C</t>
        </is>
      </c>
      <c r="F3284" s="12" t="inlineStr">
        <is>
          <t>Absorber C (62 ft dia x 262 ft, stack to 313 ft)</t>
        </is>
      </c>
      <c r="G3284" s="12" t="inlineStr">
        <is>
          <t>JB-ABS-C-DI01</t>
        </is>
      </c>
      <c r="H3284" s="12" t="inlineStr">
        <is>
          <t>Absorber C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212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G-I-0036</t>
        </is>
      </c>
      <c r="B3285" s="12" t="inlineStr">
        <is>
          <t>G</t>
        </is>
      </c>
      <c r="C3285" s="12" t="inlineStr">
        <is>
          <t>Carbon capture</t>
        </is>
      </c>
      <c r="D3285" s="12" t="inlineStr">
        <is>
          <t>Home run JB-ABS-C-DI01 to the control / marshalling room</t>
        </is>
      </c>
      <c r="E3285" s="12" t="inlineStr"/>
      <c r="F3285" s="12" t="inlineStr">
        <is>
          <t>CCS F&amp;G / control</t>
        </is>
      </c>
      <c r="G3285" s="12" t="inlineStr">
        <is>
          <t>JB-ABS-C-DI01</t>
        </is>
      </c>
      <c r="H3285" s="12" t="inlineStr">
        <is>
          <t>Absorber C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619</v>
      </c>
      <c r="U3285" s="16" t="n">
        <v>149</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G-I-0037</t>
        </is>
      </c>
      <c r="B3286" s="12" t="inlineStr">
        <is>
          <t>G</t>
        </is>
      </c>
      <c r="C3286" s="12" t="inlineStr">
        <is>
          <t>Carbon capture</t>
        </is>
      </c>
      <c r="D3286" s="12" t="inlineStr">
        <is>
          <t>Discrete device to JB JB-ABS-C-DI02: 20 x 1 pr (field cables)</t>
        </is>
      </c>
      <c r="E3286" s="12" t="inlineStr">
        <is>
          <t>ABS-C</t>
        </is>
      </c>
      <c r="F3286" s="12" t="inlineStr">
        <is>
          <t>Absorber C (62 ft dia x 262 ft, stack to 313 ft)</t>
        </is>
      </c>
      <c r="G3286" s="12" t="inlineStr">
        <is>
          <t>JB-ABS-C-DI02</t>
        </is>
      </c>
      <c r="H3286" s="12" t="inlineStr">
        <is>
          <t>Absorber C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212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G-I-0038</t>
        </is>
      </c>
      <c r="B3287" s="12" t="inlineStr">
        <is>
          <t>G</t>
        </is>
      </c>
      <c r="C3287" s="12" t="inlineStr">
        <is>
          <t>Carbon capture</t>
        </is>
      </c>
      <c r="D3287" s="12" t="inlineStr">
        <is>
          <t>Home run JB-ABS-C-DI02 to the control / marshalling room</t>
        </is>
      </c>
      <c r="E3287" s="12" t="inlineStr"/>
      <c r="F3287" s="12" t="inlineStr">
        <is>
          <t>CCS F&amp;G / control</t>
        </is>
      </c>
      <c r="G3287" s="12" t="inlineStr">
        <is>
          <t>JB-ABS-C-DI02</t>
        </is>
      </c>
      <c r="H3287" s="12" t="inlineStr">
        <is>
          <t>Absorber C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619</v>
      </c>
      <c r="U3287" s="16" t="n">
        <v>149</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G-I-0039</t>
        </is>
      </c>
      <c r="B3288" s="12" t="inlineStr">
        <is>
          <t>G</t>
        </is>
      </c>
      <c r="C3288" s="12" t="inlineStr">
        <is>
          <t>Carbon capture</t>
        </is>
      </c>
      <c r="D3288" s="12" t="inlineStr">
        <is>
          <t>Analog instrument to JB JB-Absorber C interco-AI01: 15 x 1 pr (field cables)</t>
        </is>
      </c>
      <c r="E3288" s="12" t="inlineStr"/>
      <c r="F3288" s="12" t="inlineStr">
        <is>
          <t>Absorber C intercooler (pumps + plate exchanger)</t>
        </is>
      </c>
      <c r="G3288" s="12" t="inlineStr">
        <is>
          <t>JB-Absorber C interco-AI01</t>
        </is>
      </c>
      <c r="H3288" s="12" t="inlineStr">
        <is>
          <t>Absorber C intercooler (pumps + plate exchanger)</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15</v>
      </c>
      <c r="O3288" s="12" t="n">
        <v>1</v>
      </c>
      <c r="P3288" s="12" t="n"/>
      <c r="Q3288" s="12" t="n"/>
      <c r="R3288" s="12" t="n"/>
      <c r="S3288" s="12" t="inlineStr">
        <is>
          <t>Tray / conduit</t>
        </is>
      </c>
      <c r="T3288" s="16" t="n">
        <v>55</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G-I-0040</t>
        </is>
      </c>
      <c r="B3289" s="12" t="inlineStr">
        <is>
          <t>G</t>
        </is>
      </c>
      <c r="C3289" s="12" t="inlineStr">
        <is>
          <t>Carbon capture</t>
        </is>
      </c>
      <c r="D3289" s="12" t="inlineStr">
        <is>
          <t>Home run JB-Absorber C interco-AI01 to the control / marshalling room</t>
        </is>
      </c>
      <c r="E3289" s="12" t="inlineStr"/>
      <c r="F3289" s="12" t="inlineStr">
        <is>
          <t>CCS F&amp;G / control</t>
        </is>
      </c>
      <c r="G3289" s="12" t="inlineStr">
        <is>
          <t>JB-Absorber C interco-AI01</t>
        </is>
      </c>
      <c r="H3289" s="12" t="inlineStr">
        <is>
          <t>Absorber C intercooler (pumps + plate exchanger)</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601</v>
      </c>
      <c r="U3289" s="16" t="n">
        <v>150</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G-I-0041</t>
        </is>
      </c>
      <c r="B3290" s="12" t="inlineStr">
        <is>
          <t>G</t>
        </is>
      </c>
      <c r="C3290" s="12" t="inlineStr">
        <is>
          <t>Carbon capture</t>
        </is>
      </c>
      <c r="D3290" s="12" t="inlineStr">
        <is>
          <t>Discrete device to JB JB-Absorber C interco-DI01: 15 x 1 pr (field cables)</t>
        </is>
      </c>
      <c r="E3290" s="12" t="inlineStr"/>
      <c r="F3290" s="12" t="inlineStr">
        <is>
          <t>Absorber C intercooler (pumps + plate exchanger)</t>
        </is>
      </c>
      <c r="G3290" s="12" t="inlineStr">
        <is>
          <t>JB-Absorber C interco-DI01</t>
        </is>
      </c>
      <c r="H3290" s="12" t="inlineStr">
        <is>
          <t>Absorber C intercooler (pumps + plate exchanger)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15</v>
      </c>
      <c r="O3290" s="12" t="n">
        <v>1</v>
      </c>
      <c r="P3290" s="12" t="n"/>
      <c r="Q3290" s="12" t="n"/>
      <c r="R3290" s="12" t="n"/>
      <c r="S3290" s="12" t="inlineStr">
        <is>
          <t>Tray / conduit</t>
        </is>
      </c>
      <c r="T3290" s="16" t="n">
        <v>55</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G-I-0042</t>
        </is>
      </c>
      <c r="B3291" s="12" t="inlineStr">
        <is>
          <t>G</t>
        </is>
      </c>
      <c r="C3291" s="12" t="inlineStr">
        <is>
          <t>Carbon capture</t>
        </is>
      </c>
      <c r="D3291" s="12" t="inlineStr">
        <is>
          <t>Home run JB-Absorber C interco-DI01 to the control / marshalling room</t>
        </is>
      </c>
      <c r="E3291" s="12" t="inlineStr"/>
      <c r="F3291" s="12" t="inlineStr">
        <is>
          <t>CCS F&amp;G / control</t>
        </is>
      </c>
      <c r="G3291" s="12" t="inlineStr">
        <is>
          <t>JB-Absorber C interco-DI01</t>
        </is>
      </c>
      <c r="H3291" s="12" t="inlineStr">
        <is>
          <t>Absorber C intercooler (pumps + plate exchanger)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601</v>
      </c>
      <c r="U3291" s="16" t="n">
        <v>150</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G-I-0043</t>
        </is>
      </c>
      <c r="B3292" s="12" t="inlineStr">
        <is>
          <t>G</t>
        </is>
      </c>
      <c r="C3292" s="12" t="inlineStr">
        <is>
          <t>Carbon capture</t>
        </is>
      </c>
      <c r="D3292" s="12" t="inlineStr">
        <is>
          <t>Analog instrument to JB JB-Activated-carbon f-AI01: 6 x 1 pr (field cables)</t>
        </is>
      </c>
      <c r="E3292" s="12" t="inlineStr"/>
      <c r="F3292" s="12" t="inlineStr">
        <is>
          <t>Activated-carbon filter</t>
        </is>
      </c>
      <c r="G3292" s="12" t="inlineStr">
        <is>
          <t>JB-Activated-carbon f-AI01</t>
        </is>
      </c>
      <c r="H3292" s="12" t="inlineStr">
        <is>
          <t>Activated-carbon filter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6</v>
      </c>
      <c r="O3292" s="12" t="n">
        <v>1</v>
      </c>
      <c r="P3292" s="12" t="n"/>
      <c r="Q3292" s="12" t="n"/>
      <c r="R3292" s="12" t="n"/>
      <c r="S3292" s="12" t="inlineStr">
        <is>
          <t>Tray / conduit</t>
        </is>
      </c>
      <c r="T3292" s="16" t="n">
        <v>91</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G-I-0044</t>
        </is>
      </c>
      <c r="B3293" s="12" t="inlineStr">
        <is>
          <t>G</t>
        </is>
      </c>
      <c r="C3293" s="12" t="inlineStr">
        <is>
          <t>Carbon capture</t>
        </is>
      </c>
      <c r="D3293" s="12" t="inlineStr">
        <is>
          <t>Home run JB-Activated-carbon f-AI01 to the control / marshalling room</t>
        </is>
      </c>
      <c r="E3293" s="12" t="inlineStr"/>
      <c r="F3293" s="12" t="inlineStr">
        <is>
          <t>CCS F&amp;G / control</t>
        </is>
      </c>
      <c r="G3293" s="12" t="inlineStr">
        <is>
          <t>JB-Activated-carbon f-AI01</t>
        </is>
      </c>
      <c r="H3293" s="12" t="inlineStr">
        <is>
          <t>Activated-carbon filter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185</v>
      </c>
      <c r="U3293" s="16" t="n">
        <v>112</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G-I-0045</t>
        </is>
      </c>
      <c r="B3294" s="12" t="inlineStr">
        <is>
          <t>G</t>
        </is>
      </c>
      <c r="C3294" s="12" t="inlineStr">
        <is>
          <t>Carbon capture</t>
        </is>
      </c>
      <c r="D3294" s="12" t="inlineStr">
        <is>
          <t>Discrete device to JB JB-Activated-carbon f-DI01: 6 x 1 pr (field cables)</t>
        </is>
      </c>
      <c r="E3294" s="12" t="inlineStr"/>
      <c r="F3294" s="12" t="inlineStr">
        <is>
          <t>Activated-carbon filter</t>
        </is>
      </c>
      <c r="G3294" s="12" t="inlineStr">
        <is>
          <t>JB-Activated-carbon f-DI01</t>
        </is>
      </c>
      <c r="H3294" s="12" t="inlineStr">
        <is>
          <t>Activated-carbon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6</v>
      </c>
      <c r="O3294" s="12" t="n">
        <v>1</v>
      </c>
      <c r="P3294" s="12" t="n"/>
      <c r="Q3294" s="12" t="n"/>
      <c r="R3294" s="12" t="n"/>
      <c r="S3294" s="12" t="inlineStr">
        <is>
          <t>Tray / conduit</t>
        </is>
      </c>
      <c r="T3294" s="16" t="n">
        <v>91</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G-I-0046</t>
        </is>
      </c>
      <c r="B3295" s="12" t="inlineStr">
        <is>
          <t>G</t>
        </is>
      </c>
      <c r="C3295" s="12" t="inlineStr">
        <is>
          <t>Carbon capture</t>
        </is>
      </c>
      <c r="D3295" s="12" t="inlineStr">
        <is>
          <t>Home run JB-Activated-carbon f-DI01 to the control / marshalling room</t>
        </is>
      </c>
      <c r="E3295" s="12" t="inlineStr"/>
      <c r="F3295" s="12" t="inlineStr">
        <is>
          <t>CCS F&amp;G / control</t>
        </is>
      </c>
      <c r="G3295" s="12" t="inlineStr">
        <is>
          <t>JB-Activated-carbon f-DI01</t>
        </is>
      </c>
      <c r="H3295" s="12" t="inlineStr">
        <is>
          <t>Activated-carbon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6" t="n">
        <v>185</v>
      </c>
      <c r="U3295" s="16" t="n">
        <v>112</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G-I-0047</t>
        </is>
      </c>
      <c r="B3296" s="12" t="inlineStr">
        <is>
          <t>G</t>
        </is>
      </c>
      <c r="C3296" s="12" t="inlineStr">
        <is>
          <t>Carbon capture</t>
        </is>
      </c>
      <c r="D3296" s="12" t="inlineStr">
        <is>
          <t>Analog instrument to JB JB-BF-A-AI01: 20 x 1 pr (field cables)</t>
        </is>
      </c>
      <c r="E3296" s="12" t="inlineStr">
        <is>
          <t>BF-A</t>
        </is>
      </c>
      <c r="F3296" s="12" t="inlineStr">
        <is>
          <t>BF-A: booster fan (~16 MW)</t>
        </is>
      </c>
      <c r="G3296" s="12" t="inlineStr">
        <is>
          <t>JB-BF-A-AI01</t>
        </is>
      </c>
      <c r="H3296" s="12" t="inlineStr">
        <is>
          <t>BF-A: booster fan (~16 MW)</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20</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G-I-0048</t>
        </is>
      </c>
      <c r="B3297" s="12" t="inlineStr">
        <is>
          <t>G</t>
        </is>
      </c>
      <c r="C3297" s="12" t="inlineStr">
        <is>
          <t>Carbon capture</t>
        </is>
      </c>
      <c r="D3297" s="12" t="inlineStr">
        <is>
          <t>Home run JB-BF-A-AI01 to the control / marshalling room</t>
        </is>
      </c>
      <c r="E3297" s="12" t="inlineStr"/>
      <c r="F3297" s="12" t="inlineStr">
        <is>
          <t>CCS F&amp;G / control</t>
        </is>
      </c>
      <c r="G3297" s="12" t="inlineStr">
        <is>
          <t>JB-BF-A-AI01</t>
        </is>
      </c>
      <c r="H3297" s="12" t="inlineStr">
        <is>
          <t>BF-A: booster fan (~16 MW)</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G-I-0049</t>
        </is>
      </c>
      <c r="B3298" s="12" t="inlineStr">
        <is>
          <t>G</t>
        </is>
      </c>
      <c r="C3298" s="12" t="inlineStr">
        <is>
          <t>Carbon capture</t>
        </is>
      </c>
      <c r="D3298" s="12" t="inlineStr">
        <is>
          <t>Analog instrument to JB JB-BF-A-AI02: 10 x 1 pr (field cables)</t>
        </is>
      </c>
      <c r="E3298" s="12" t="inlineStr">
        <is>
          <t>BF-A</t>
        </is>
      </c>
      <c r="F3298" s="12" t="inlineStr">
        <is>
          <t>BF-A: booster fan (~16 MW)</t>
        </is>
      </c>
      <c r="G3298" s="12" t="inlineStr">
        <is>
          <t>JB-BF-A-AI02</t>
        </is>
      </c>
      <c r="H3298" s="12" t="inlineStr">
        <is>
          <t>BF-A: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G-I-0050</t>
        </is>
      </c>
      <c r="B3299" s="12" t="inlineStr">
        <is>
          <t>G</t>
        </is>
      </c>
      <c r="C3299" s="12" t="inlineStr">
        <is>
          <t>Carbon capture</t>
        </is>
      </c>
      <c r="D3299" s="12" t="inlineStr">
        <is>
          <t>Home run JB-BF-A-AI02 to the control / marshalling room</t>
        </is>
      </c>
      <c r="E3299" s="12" t="inlineStr"/>
      <c r="F3299" s="12" t="inlineStr">
        <is>
          <t>CCS F&amp;G / control</t>
        </is>
      </c>
      <c r="G3299" s="12" t="inlineStr">
        <is>
          <t>JB-BF-A-AI02</t>
        </is>
      </c>
      <c r="H3299" s="12" t="inlineStr">
        <is>
          <t>BF-A: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G-I-0051</t>
        </is>
      </c>
      <c r="B3300" s="12" t="inlineStr">
        <is>
          <t>G</t>
        </is>
      </c>
      <c r="C3300" s="12" t="inlineStr">
        <is>
          <t>Carbon capture</t>
        </is>
      </c>
      <c r="D3300" s="12" t="inlineStr">
        <is>
          <t>Discrete device to JB JB-BF-A-DI01: 20 x 1 pr (field cables)</t>
        </is>
      </c>
      <c r="E3300" s="12" t="inlineStr">
        <is>
          <t>BF-A</t>
        </is>
      </c>
      <c r="F3300" s="12" t="inlineStr">
        <is>
          <t>BF-A: booster fan (~16 MW)</t>
        </is>
      </c>
      <c r="G3300" s="12" t="inlineStr">
        <is>
          <t>JB-BF-A-DI01</t>
        </is>
      </c>
      <c r="H3300" s="12" t="inlineStr">
        <is>
          <t>BF-A: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G-I-0052</t>
        </is>
      </c>
      <c r="B3301" s="12" t="inlineStr">
        <is>
          <t>G</t>
        </is>
      </c>
      <c r="C3301" s="12" t="inlineStr">
        <is>
          <t>Carbon capture</t>
        </is>
      </c>
      <c r="D3301" s="12" t="inlineStr">
        <is>
          <t>Home run JB-BF-A-DI01 to the control / marshalling room</t>
        </is>
      </c>
      <c r="E3301" s="12" t="inlineStr"/>
      <c r="F3301" s="12" t="inlineStr">
        <is>
          <t>CCS F&amp;G / control</t>
        </is>
      </c>
      <c r="G3301" s="12" t="inlineStr">
        <is>
          <t>JB-BF-A-DI01</t>
        </is>
      </c>
      <c r="H3301" s="12" t="inlineStr">
        <is>
          <t>BF-A: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G-I-0053</t>
        </is>
      </c>
      <c r="B3302" s="12" t="inlineStr">
        <is>
          <t>G</t>
        </is>
      </c>
      <c r="C3302" s="12" t="inlineStr">
        <is>
          <t>Carbon capture</t>
        </is>
      </c>
      <c r="D3302" s="12" t="inlineStr">
        <is>
          <t>RTD to JB JB-BF-A-RTD01: 10 x 1 tri (field cables)</t>
        </is>
      </c>
      <c r="E3302" s="12" t="inlineStr">
        <is>
          <t>BF-A</t>
        </is>
      </c>
      <c r="F3302" s="12" t="inlineStr">
        <is>
          <t>BF-A: booster fan (~16 MW)</t>
        </is>
      </c>
      <c r="G3302" s="12" t="inlineStr">
        <is>
          <t>JB-BF-A-RTD01</t>
        </is>
      </c>
      <c r="H3302" s="12" t="inlineStr">
        <is>
          <t>BF-A: booster fan (~16 MW)</t>
        </is>
      </c>
      <c r="I3302" s="12" t="inlineStr">
        <is>
          <t>Instrumentation</t>
        </is>
      </c>
      <c r="J3302" s="12" t="inlineStr">
        <is>
          <t>RTD cable, #18 shielded triads, PLTC</t>
        </is>
      </c>
      <c r="K3302" s="12" t="inlineStr">
        <is>
          <t>RTD|1 tri|18</t>
        </is>
      </c>
      <c r="L3302" s="12" t="inlineStr">
        <is>
          <t>1 tri</t>
        </is>
      </c>
      <c r="M3302" s="12" t="inlineStr">
        <is>
          <t>18</t>
        </is>
      </c>
      <c r="N3302" s="12" t="n">
        <v>10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G-I-0054</t>
        </is>
      </c>
      <c r="B3303" s="12" t="inlineStr">
        <is>
          <t>G</t>
        </is>
      </c>
      <c r="C3303" s="12" t="inlineStr">
        <is>
          <t>Carbon capture</t>
        </is>
      </c>
      <c r="D3303" s="12" t="inlineStr">
        <is>
          <t>Home run JB-BF-A-RTD01 to the control / marshalling room</t>
        </is>
      </c>
      <c r="E3303" s="12" t="inlineStr"/>
      <c r="F3303" s="12" t="inlineStr">
        <is>
          <t>CCS F&amp;G / control</t>
        </is>
      </c>
      <c r="G3303" s="12" t="inlineStr">
        <is>
          <t>JB-BF-A-RTD01</t>
        </is>
      </c>
      <c r="H3303" s="12" t="inlineStr">
        <is>
          <t>BF-A: booster fan (~16 MW)</t>
        </is>
      </c>
      <c r="I3303" s="12" t="inlineStr">
        <is>
          <t>Instrumentation</t>
        </is>
      </c>
      <c r="J3303" s="12" t="inlineStr">
        <is>
          <t>RTD cable, #18 shielded triads, PLTC</t>
        </is>
      </c>
      <c r="K3303" s="12" t="inlineStr">
        <is>
          <t>RTD|12 tri|18</t>
        </is>
      </c>
      <c r="L3303" s="12" t="inlineStr">
        <is>
          <t>12 tri</t>
        </is>
      </c>
      <c r="M3303" s="12" t="inlineStr">
        <is>
          <t>18</t>
        </is>
      </c>
      <c r="N3303" s="12" t="n">
        <v>1</v>
      </c>
      <c r="O3303" s="12" t="n">
        <v>1</v>
      </c>
      <c r="P3303" s="12" t="n"/>
      <c r="Q3303" s="12" t="n"/>
      <c r="R3303" s="12" t="n"/>
      <c r="S3303" s="12" t="inlineStr">
        <is>
          <t>Duct bank</t>
        </is>
      </c>
      <c r="T3303" s="16" t="n">
        <v>861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G-I-0055</t>
        </is>
      </c>
      <c r="B3304" s="12" t="inlineStr">
        <is>
          <t>G</t>
        </is>
      </c>
      <c r="C3304" s="12" t="inlineStr">
        <is>
          <t>Carbon capture</t>
        </is>
      </c>
      <c r="D3304" s="12" t="inlineStr">
        <is>
          <t>RTD to JB JB-BF-A-RTD02: 8 x 1 tri (field cables)</t>
        </is>
      </c>
      <c r="E3304" s="12" t="inlineStr">
        <is>
          <t>BF-A</t>
        </is>
      </c>
      <c r="F3304" s="12" t="inlineStr">
        <is>
          <t>BF-A: booster fan (~16 MW)</t>
        </is>
      </c>
      <c r="G3304" s="12" t="inlineStr">
        <is>
          <t>JB-BF-A-RTD02</t>
        </is>
      </c>
      <c r="H3304" s="12" t="inlineStr">
        <is>
          <t>BF-A: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8</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G-I-0056</t>
        </is>
      </c>
      <c r="B3305" s="12" t="inlineStr">
        <is>
          <t>G</t>
        </is>
      </c>
      <c r="C3305" s="12" t="inlineStr">
        <is>
          <t>Carbon capture</t>
        </is>
      </c>
      <c r="D3305" s="12" t="inlineStr">
        <is>
          <t>Home run JB-BF-A-RTD02 to the control / marshalling room</t>
        </is>
      </c>
      <c r="E3305" s="12" t="inlineStr"/>
      <c r="F3305" s="12" t="inlineStr">
        <is>
          <t>CCS F&amp;G / control</t>
        </is>
      </c>
      <c r="G3305" s="12" t="inlineStr">
        <is>
          <t>JB-BF-A-RTD02</t>
        </is>
      </c>
      <c r="H3305" s="12" t="inlineStr">
        <is>
          <t>BF-A: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861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G-I-0057</t>
        </is>
      </c>
      <c r="B3306" s="12" t="inlineStr">
        <is>
          <t>G</t>
        </is>
      </c>
      <c r="C3306" s="12" t="inlineStr">
        <is>
          <t>Carbon capture</t>
        </is>
      </c>
      <c r="D3306" s="12" t="inlineStr">
        <is>
          <t>Analog instrument to JB JB-BF-B-AI01: 20 x 1 pr (field cables)</t>
        </is>
      </c>
      <c r="E3306" s="12" t="inlineStr">
        <is>
          <t>BF-B</t>
        </is>
      </c>
      <c r="F3306" s="12" t="inlineStr">
        <is>
          <t>BF-B: booster fan (~16 MW)</t>
        </is>
      </c>
      <c r="G3306" s="12" t="inlineStr">
        <is>
          <t>JB-BF-B-AI01</t>
        </is>
      </c>
      <c r="H3306" s="12" t="inlineStr">
        <is>
          <t>BF-B: booster fan (~16 MW)</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G-I-0058</t>
        </is>
      </c>
      <c r="B3307" s="12" t="inlineStr">
        <is>
          <t>G</t>
        </is>
      </c>
      <c r="C3307" s="12" t="inlineStr">
        <is>
          <t>Carbon capture</t>
        </is>
      </c>
      <c r="D3307" s="12" t="inlineStr">
        <is>
          <t>Home run JB-BF-B-AI01 to the control / marshalling room</t>
        </is>
      </c>
      <c r="E3307" s="12" t="inlineStr"/>
      <c r="F3307" s="12" t="inlineStr">
        <is>
          <t>CCS F&amp;G / control</t>
        </is>
      </c>
      <c r="G3307" s="12" t="inlineStr">
        <is>
          <t>JB-BF-B-AI01</t>
        </is>
      </c>
      <c r="H3307" s="12" t="inlineStr">
        <is>
          <t>BF-B: booster fan (~16 MW)</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G-I-0059</t>
        </is>
      </c>
      <c r="B3308" s="12" t="inlineStr">
        <is>
          <t>G</t>
        </is>
      </c>
      <c r="C3308" s="12" t="inlineStr">
        <is>
          <t>Carbon capture</t>
        </is>
      </c>
      <c r="D3308" s="12" t="inlineStr">
        <is>
          <t>Analog instrument to JB JB-BF-B-AI02: 10 x 1 pr (field cables)</t>
        </is>
      </c>
      <c r="E3308" s="12" t="inlineStr">
        <is>
          <t>BF-B</t>
        </is>
      </c>
      <c r="F3308" s="12" t="inlineStr">
        <is>
          <t>BF-B: booster fan (~16 MW)</t>
        </is>
      </c>
      <c r="G3308" s="12" t="inlineStr">
        <is>
          <t>JB-BF-B-AI02</t>
        </is>
      </c>
      <c r="H3308" s="12" t="inlineStr">
        <is>
          <t>BF-B: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G-I-0060</t>
        </is>
      </c>
      <c r="B3309" s="12" t="inlineStr">
        <is>
          <t>G</t>
        </is>
      </c>
      <c r="C3309" s="12" t="inlineStr">
        <is>
          <t>Carbon capture</t>
        </is>
      </c>
      <c r="D3309" s="12" t="inlineStr">
        <is>
          <t>Home run JB-BF-B-AI02 to the control / marshalling room</t>
        </is>
      </c>
      <c r="E3309" s="12" t="inlineStr"/>
      <c r="F3309" s="12" t="inlineStr">
        <is>
          <t>CCS F&amp;G / control</t>
        </is>
      </c>
      <c r="G3309" s="12" t="inlineStr">
        <is>
          <t>JB-BF-B-AI02</t>
        </is>
      </c>
      <c r="H3309" s="12" t="inlineStr">
        <is>
          <t>BF-B: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101</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G-I-0061</t>
        </is>
      </c>
      <c r="B3310" s="12" t="inlineStr">
        <is>
          <t>G</t>
        </is>
      </c>
      <c r="C3310" s="12" t="inlineStr">
        <is>
          <t>Carbon capture</t>
        </is>
      </c>
      <c r="D3310" s="12" t="inlineStr">
        <is>
          <t>Discrete device to JB JB-BF-B-DI01: 20 x 1 pr (field cables)</t>
        </is>
      </c>
      <c r="E3310" s="12" t="inlineStr">
        <is>
          <t>BF-B</t>
        </is>
      </c>
      <c r="F3310" s="12" t="inlineStr">
        <is>
          <t>BF-B: booster fan (~16 MW)</t>
        </is>
      </c>
      <c r="G3310" s="12" t="inlineStr">
        <is>
          <t>JB-BF-B-DI01</t>
        </is>
      </c>
      <c r="H3310" s="12" t="inlineStr">
        <is>
          <t>BF-B: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20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G-I-0062</t>
        </is>
      </c>
      <c r="B3311" s="12" t="inlineStr">
        <is>
          <t>G</t>
        </is>
      </c>
      <c r="C3311" s="12" t="inlineStr">
        <is>
          <t>Carbon capture</t>
        </is>
      </c>
      <c r="D3311" s="12" t="inlineStr">
        <is>
          <t>Home run JB-BF-B-DI01 to the control / marshalling room</t>
        </is>
      </c>
      <c r="E3311" s="12" t="inlineStr"/>
      <c r="F3311" s="12" t="inlineStr">
        <is>
          <t>CCS F&amp;G / control</t>
        </is>
      </c>
      <c r="G3311" s="12" t="inlineStr">
        <is>
          <t>JB-BF-B-DI01</t>
        </is>
      </c>
      <c r="H3311" s="12" t="inlineStr">
        <is>
          <t>BF-B: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701</v>
      </c>
      <c r="U3311" s="16" t="n">
        <v>101</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G-I-0063</t>
        </is>
      </c>
      <c r="B3312" s="12" t="inlineStr">
        <is>
          <t>G</t>
        </is>
      </c>
      <c r="C3312" s="12" t="inlineStr">
        <is>
          <t>Carbon capture</t>
        </is>
      </c>
      <c r="D3312" s="12" t="inlineStr">
        <is>
          <t>RTD to JB JB-BF-B-RTD01: 10 x 1 tri (field cables)</t>
        </is>
      </c>
      <c r="E3312" s="12" t="inlineStr">
        <is>
          <t>BF-B</t>
        </is>
      </c>
      <c r="F3312" s="12" t="inlineStr">
        <is>
          <t>BF-B: booster fan (~16 MW)</t>
        </is>
      </c>
      <c r="G3312" s="12" t="inlineStr">
        <is>
          <t>JB-BF-B-RTD01</t>
        </is>
      </c>
      <c r="H3312" s="12" t="inlineStr">
        <is>
          <t>BF-B: booster fan (~16 MW)</t>
        </is>
      </c>
      <c r="I3312" s="12" t="inlineStr">
        <is>
          <t>Instrumentation</t>
        </is>
      </c>
      <c r="J3312" s="12" t="inlineStr">
        <is>
          <t>RTD cable, #18 shielded triads, PLTC</t>
        </is>
      </c>
      <c r="K3312" s="12" t="inlineStr">
        <is>
          <t>RTD|1 tri|18</t>
        </is>
      </c>
      <c r="L3312" s="12" t="inlineStr">
        <is>
          <t>1 tri</t>
        </is>
      </c>
      <c r="M3312" s="12" t="inlineStr">
        <is>
          <t>18</t>
        </is>
      </c>
      <c r="N3312" s="12" t="n">
        <v>10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G-I-0064</t>
        </is>
      </c>
      <c r="B3313" s="12" t="inlineStr">
        <is>
          <t>G</t>
        </is>
      </c>
      <c r="C3313" s="12" t="inlineStr">
        <is>
          <t>Carbon capture</t>
        </is>
      </c>
      <c r="D3313" s="12" t="inlineStr">
        <is>
          <t>Home run JB-BF-B-RTD01 to the control / marshalling room</t>
        </is>
      </c>
      <c r="E3313" s="12" t="inlineStr"/>
      <c r="F3313" s="12" t="inlineStr">
        <is>
          <t>CCS F&amp;G / control</t>
        </is>
      </c>
      <c r="G3313" s="12" t="inlineStr">
        <is>
          <t>JB-BF-B-RTD01</t>
        </is>
      </c>
      <c r="H3313" s="12" t="inlineStr">
        <is>
          <t>BF-B: booster fan (~16 MW)</t>
        </is>
      </c>
      <c r="I3313" s="12" t="inlineStr">
        <is>
          <t>Instrumentation</t>
        </is>
      </c>
      <c r="J3313" s="12" t="inlineStr">
        <is>
          <t>RTD cable, #18 shielded triads, PLTC</t>
        </is>
      </c>
      <c r="K3313" s="12" t="inlineStr">
        <is>
          <t>RTD|12 tri|18</t>
        </is>
      </c>
      <c r="L3313" s="12" t="inlineStr">
        <is>
          <t>12 tri</t>
        </is>
      </c>
      <c r="M3313" s="12" t="inlineStr">
        <is>
          <t>18</t>
        </is>
      </c>
      <c r="N3313" s="12" t="n">
        <v>1</v>
      </c>
      <c r="O3313" s="12" t="n">
        <v>1</v>
      </c>
      <c r="P3313" s="12" t="n"/>
      <c r="Q3313" s="12" t="n"/>
      <c r="R3313" s="12" t="n"/>
      <c r="S3313" s="12" t="inlineStr">
        <is>
          <t>Duct bank</t>
        </is>
      </c>
      <c r="T3313" s="16" t="n">
        <v>701</v>
      </c>
      <c r="U3313" s="16" t="n">
        <v>101</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G-I-0065</t>
        </is>
      </c>
      <c r="B3314" s="12" t="inlineStr">
        <is>
          <t>G</t>
        </is>
      </c>
      <c r="C3314" s="12" t="inlineStr">
        <is>
          <t>Carbon capture</t>
        </is>
      </c>
      <c r="D3314" s="12" t="inlineStr">
        <is>
          <t>RTD to JB JB-BF-B-RTD02: 8 x 1 tri (field cables)</t>
        </is>
      </c>
      <c r="E3314" s="12" t="inlineStr">
        <is>
          <t>BF-B</t>
        </is>
      </c>
      <c r="F3314" s="12" t="inlineStr">
        <is>
          <t>BF-B: booster fan (~16 MW)</t>
        </is>
      </c>
      <c r="G3314" s="12" t="inlineStr">
        <is>
          <t>JB-BF-B-RTD02</t>
        </is>
      </c>
      <c r="H3314" s="12" t="inlineStr">
        <is>
          <t>BF-B: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8</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G-I-0066</t>
        </is>
      </c>
      <c r="B3315" s="12" t="inlineStr">
        <is>
          <t>G</t>
        </is>
      </c>
      <c r="C3315" s="12" t="inlineStr">
        <is>
          <t>Carbon capture</t>
        </is>
      </c>
      <c r="D3315" s="12" t="inlineStr">
        <is>
          <t>Home run JB-BF-B-RTD02 to the control / marshalling room</t>
        </is>
      </c>
      <c r="E3315" s="12" t="inlineStr"/>
      <c r="F3315" s="12" t="inlineStr">
        <is>
          <t>CCS F&amp;G / control</t>
        </is>
      </c>
      <c r="G3315" s="12" t="inlineStr">
        <is>
          <t>JB-BF-B-RTD02</t>
        </is>
      </c>
      <c r="H3315" s="12" t="inlineStr">
        <is>
          <t>BF-B: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701</v>
      </c>
      <c r="U3315" s="16" t="n">
        <v>101</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G-I-0067</t>
        </is>
      </c>
      <c r="B3316" s="12" t="inlineStr">
        <is>
          <t>G</t>
        </is>
      </c>
      <c r="C3316" s="12" t="inlineStr">
        <is>
          <t>Carbon capture</t>
        </is>
      </c>
      <c r="D3316" s="12" t="inlineStr">
        <is>
          <t>Analog instrument to JB JB-BF-C-AI01: 20 x 1 pr (field cables)</t>
        </is>
      </c>
      <c r="E3316" s="12" t="inlineStr">
        <is>
          <t>BF-C</t>
        </is>
      </c>
      <c r="F3316" s="12" t="inlineStr">
        <is>
          <t>BF-C: booster fan (~16 MW)</t>
        </is>
      </c>
      <c r="G3316" s="12" t="inlineStr">
        <is>
          <t>JB-BF-C-AI01</t>
        </is>
      </c>
      <c r="H3316" s="12" t="inlineStr">
        <is>
          <t>BF-C: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G-I-0068</t>
        </is>
      </c>
      <c r="B3317" s="12" t="inlineStr">
        <is>
          <t>G</t>
        </is>
      </c>
      <c r="C3317" s="12" t="inlineStr">
        <is>
          <t>Carbon capture</t>
        </is>
      </c>
      <c r="D3317" s="12" t="inlineStr">
        <is>
          <t>Home run JB-BF-C-AI01 to the control / marshalling room</t>
        </is>
      </c>
      <c r="E3317" s="12" t="inlineStr"/>
      <c r="F3317" s="12" t="inlineStr">
        <is>
          <t>CCS F&amp;G / control</t>
        </is>
      </c>
      <c r="G3317" s="12" t="inlineStr">
        <is>
          <t>JB-BF-C-AI01</t>
        </is>
      </c>
      <c r="H3317" s="12" t="inlineStr">
        <is>
          <t>BF-C: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G-I-0069</t>
        </is>
      </c>
      <c r="B3318" s="12" t="inlineStr">
        <is>
          <t>G</t>
        </is>
      </c>
      <c r="C3318" s="12" t="inlineStr">
        <is>
          <t>Carbon capture</t>
        </is>
      </c>
      <c r="D3318" s="12" t="inlineStr">
        <is>
          <t>Analog instrument to JB JB-BF-C-AI02: 10 x 1 pr (field cables)</t>
        </is>
      </c>
      <c r="E3318" s="12" t="inlineStr">
        <is>
          <t>BF-C</t>
        </is>
      </c>
      <c r="F3318" s="12" t="inlineStr">
        <is>
          <t>BF-C: booster fan (~16 MW)</t>
        </is>
      </c>
      <c r="G3318" s="12" t="inlineStr">
        <is>
          <t>JB-BF-C-AI02</t>
        </is>
      </c>
      <c r="H3318" s="12" t="inlineStr">
        <is>
          <t>BF-C: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G-I-0070</t>
        </is>
      </c>
      <c r="B3319" s="12" t="inlineStr">
        <is>
          <t>G</t>
        </is>
      </c>
      <c r="C3319" s="12" t="inlineStr">
        <is>
          <t>Carbon capture</t>
        </is>
      </c>
      <c r="D3319" s="12" t="inlineStr">
        <is>
          <t>Home run JB-BF-C-AI02 to the control / marshalling room</t>
        </is>
      </c>
      <c r="E3319" s="12" t="inlineStr"/>
      <c r="F3319" s="12" t="inlineStr">
        <is>
          <t>CCS F&amp;G / control</t>
        </is>
      </c>
      <c r="G3319" s="12" t="inlineStr">
        <is>
          <t>JB-BF-C-AI02</t>
        </is>
      </c>
      <c r="H3319" s="12" t="inlineStr">
        <is>
          <t>BF-C: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385</v>
      </c>
      <c r="U3319" s="16" t="n">
        <v>219</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G-I-0071</t>
        </is>
      </c>
      <c r="B3320" s="12" t="inlineStr">
        <is>
          <t>G</t>
        </is>
      </c>
      <c r="C3320" s="12" t="inlineStr">
        <is>
          <t>Carbon capture</t>
        </is>
      </c>
      <c r="D3320" s="12" t="inlineStr">
        <is>
          <t>Discrete device to JB JB-BF-C-DI01: 20 x 1 pr (field cables)</t>
        </is>
      </c>
      <c r="E3320" s="12" t="inlineStr">
        <is>
          <t>BF-C</t>
        </is>
      </c>
      <c r="F3320" s="12" t="inlineStr">
        <is>
          <t>BF-C: booster fan (~16 MW)</t>
        </is>
      </c>
      <c r="G3320" s="12" t="inlineStr">
        <is>
          <t>JB-BF-C-DI01</t>
        </is>
      </c>
      <c r="H3320" s="12" t="inlineStr">
        <is>
          <t>BF-C: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G-I-0072</t>
        </is>
      </c>
      <c r="B3321" s="12" t="inlineStr">
        <is>
          <t>G</t>
        </is>
      </c>
      <c r="C3321" s="12" t="inlineStr">
        <is>
          <t>Carbon capture</t>
        </is>
      </c>
      <c r="D3321" s="12" t="inlineStr">
        <is>
          <t>Home run JB-BF-C-DI01 to the control / marshalling room</t>
        </is>
      </c>
      <c r="E3321" s="12" t="inlineStr"/>
      <c r="F3321" s="12" t="inlineStr">
        <is>
          <t>CCS F&amp;G / control</t>
        </is>
      </c>
      <c r="G3321" s="12" t="inlineStr">
        <is>
          <t>JB-BF-C-DI01</t>
        </is>
      </c>
      <c r="H3321" s="12" t="inlineStr">
        <is>
          <t>BF-C: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385</v>
      </c>
      <c r="U3321" s="16" t="n">
        <v>219</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G-I-0073</t>
        </is>
      </c>
      <c r="B3322" s="12" t="inlineStr">
        <is>
          <t>G</t>
        </is>
      </c>
      <c r="C3322" s="12" t="inlineStr">
        <is>
          <t>Carbon capture</t>
        </is>
      </c>
      <c r="D3322" s="12" t="inlineStr">
        <is>
          <t>RTD to JB JB-BF-C-RTD01: 10 x 1 tri (field cables)</t>
        </is>
      </c>
      <c r="E3322" s="12" t="inlineStr">
        <is>
          <t>BF-C</t>
        </is>
      </c>
      <c r="F3322" s="12" t="inlineStr">
        <is>
          <t>BF-C: booster fan (~16 MW)</t>
        </is>
      </c>
      <c r="G3322" s="12" t="inlineStr">
        <is>
          <t>JB-BF-C-RTD01</t>
        </is>
      </c>
      <c r="H3322" s="12" t="inlineStr">
        <is>
          <t>BF-C: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G-I-0074</t>
        </is>
      </c>
      <c r="B3323" s="12" t="inlineStr">
        <is>
          <t>G</t>
        </is>
      </c>
      <c r="C3323" s="12" t="inlineStr">
        <is>
          <t>Carbon capture</t>
        </is>
      </c>
      <c r="D3323" s="12" t="inlineStr">
        <is>
          <t>Home run JB-BF-C-RTD01 to the control / marshalling room</t>
        </is>
      </c>
      <c r="E3323" s="12" t="inlineStr"/>
      <c r="F3323" s="12" t="inlineStr">
        <is>
          <t>CCS F&amp;G / control</t>
        </is>
      </c>
      <c r="G3323" s="12" t="inlineStr">
        <is>
          <t>JB-BF-C-RTD01</t>
        </is>
      </c>
      <c r="H3323" s="12" t="inlineStr">
        <is>
          <t>BF-C: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6" t="n">
        <v>385</v>
      </c>
      <c r="U3323" s="16" t="n">
        <v>219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G-I-0075</t>
        </is>
      </c>
      <c r="B3324" s="12" t="inlineStr">
        <is>
          <t>G</t>
        </is>
      </c>
      <c r="C3324" s="12" t="inlineStr">
        <is>
          <t>Carbon capture</t>
        </is>
      </c>
      <c r="D3324" s="12" t="inlineStr">
        <is>
          <t>RTD to JB JB-BF-C-RTD02: 8 x 1 tri (field cables)</t>
        </is>
      </c>
      <c r="E3324" s="12" t="inlineStr">
        <is>
          <t>BF-C</t>
        </is>
      </c>
      <c r="F3324" s="12" t="inlineStr">
        <is>
          <t>BF-C: booster fan (~16 MW)</t>
        </is>
      </c>
      <c r="G3324" s="12" t="inlineStr">
        <is>
          <t>JB-BF-C-RTD02</t>
        </is>
      </c>
      <c r="H3324" s="12" t="inlineStr">
        <is>
          <t>BF-C: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G-I-0076</t>
        </is>
      </c>
      <c r="B3325" s="12" t="inlineStr">
        <is>
          <t>G</t>
        </is>
      </c>
      <c r="C3325" s="12" t="inlineStr">
        <is>
          <t>Carbon capture</t>
        </is>
      </c>
      <c r="D3325" s="12" t="inlineStr">
        <is>
          <t>Home run JB-BF-C-RTD02 to the control / marshalling room</t>
        </is>
      </c>
      <c r="E3325" s="12" t="inlineStr"/>
      <c r="F3325" s="12" t="inlineStr">
        <is>
          <t>CCS F&amp;G / control</t>
        </is>
      </c>
      <c r="G3325" s="12" t="inlineStr">
        <is>
          <t>JB-BF-C-RTD02</t>
        </is>
      </c>
      <c r="H3325" s="12" t="inlineStr">
        <is>
          <t>BF-C: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6" t="n">
        <v>385</v>
      </c>
      <c r="U3325" s="16" t="n">
        <v>219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G-I-0077</t>
        </is>
      </c>
      <c r="B3326" s="12" t="inlineStr">
        <is>
          <t>G</t>
        </is>
      </c>
      <c r="C3326" s="12" t="inlineStr">
        <is>
          <t>Carbon capture</t>
        </is>
      </c>
      <c r="D3326" s="12" t="inlineStr">
        <is>
          <t>Analog instrument to JB JB-CCS T-1-AI01: 8 x 1 pr (field cables)</t>
        </is>
      </c>
      <c r="E3326" s="12" t="inlineStr">
        <is>
          <t>CCS T-1</t>
        </is>
      </c>
      <c r="F3326" s="12" t="inlineStr">
        <is>
          <t>CCS T-1: 230/13.8 kV</t>
        </is>
      </c>
      <c r="G3326" s="12" t="inlineStr">
        <is>
          <t>JB-CCS T-1-AI01</t>
        </is>
      </c>
      <c r="H3326" s="12" t="inlineStr">
        <is>
          <t>CCS T-1: 230/13.8 kV</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82</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G-I-0078</t>
        </is>
      </c>
      <c r="B3327" s="12" t="inlineStr">
        <is>
          <t>G</t>
        </is>
      </c>
      <c r="C3327" s="12" t="inlineStr">
        <is>
          <t>Carbon capture</t>
        </is>
      </c>
      <c r="D3327" s="12" t="inlineStr">
        <is>
          <t>Home run JB-CCS T-1-AI01 to the control / marshalling room</t>
        </is>
      </c>
      <c r="E3327" s="12" t="inlineStr"/>
      <c r="F3327" s="12" t="inlineStr">
        <is>
          <t>CCS F&amp;G / control</t>
        </is>
      </c>
      <c r="G3327" s="12" t="inlineStr">
        <is>
          <t>JB-CCS T-1-AI01</t>
        </is>
      </c>
      <c r="H3327" s="12" t="inlineStr">
        <is>
          <t>CCS T-1: 230/13.8 kV</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HV duct bank</t>
        </is>
      </c>
      <c r="T3327" s="16" t="n">
        <v>77</v>
      </c>
      <c r="U3327" s="16" t="n">
        <v>103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G-I-0079</t>
        </is>
      </c>
      <c r="B3328" s="12" t="inlineStr">
        <is>
          <t>G</t>
        </is>
      </c>
      <c r="C3328" s="12" t="inlineStr">
        <is>
          <t>Carbon capture</t>
        </is>
      </c>
      <c r="D3328" s="12" t="inlineStr">
        <is>
          <t>Discrete device to JB JB-CCS T-1-DI01: 16 x 1 pr (field cables)</t>
        </is>
      </c>
      <c r="E3328" s="12" t="inlineStr">
        <is>
          <t>CCS T-1</t>
        </is>
      </c>
      <c r="F3328" s="12" t="inlineStr">
        <is>
          <t>CCS T-1: 230/13.8 kV</t>
        </is>
      </c>
      <c r="G3328" s="12" t="inlineStr">
        <is>
          <t>JB-CCS T-1-DI01</t>
        </is>
      </c>
      <c r="H3328" s="12" t="inlineStr">
        <is>
          <t>CCS T-1: 230/13.8 kV</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82</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G-I-0080</t>
        </is>
      </c>
      <c r="B3329" s="12" t="inlineStr">
        <is>
          <t>G</t>
        </is>
      </c>
      <c r="C3329" s="12" t="inlineStr">
        <is>
          <t>Carbon capture</t>
        </is>
      </c>
      <c r="D3329" s="12" t="inlineStr">
        <is>
          <t>Home run JB-CCS T-1-DI01 to the control / marshalling room</t>
        </is>
      </c>
      <c r="E3329" s="12" t="inlineStr"/>
      <c r="F3329" s="12" t="inlineStr">
        <is>
          <t>CCS F&amp;G / control</t>
        </is>
      </c>
      <c r="G3329" s="12" t="inlineStr">
        <is>
          <t>JB-CCS T-1-DI01</t>
        </is>
      </c>
      <c r="H3329" s="12" t="inlineStr">
        <is>
          <t>CCS T-1: 230/13.8 kV</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HV duct bank</t>
        </is>
      </c>
      <c r="T3329" s="16" t="n">
        <v>77</v>
      </c>
      <c r="U3329" s="16" t="n">
        <v>103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G-I-0081</t>
        </is>
      </c>
      <c r="B3330" s="12" t="inlineStr">
        <is>
          <t>G</t>
        </is>
      </c>
      <c r="C3330" s="12" t="inlineStr">
        <is>
          <t>Carbon capture</t>
        </is>
      </c>
      <c r="D3330" s="12" t="inlineStr">
        <is>
          <t>Analog instrument to JB JB-CCS T-2-AI01: 8 x 1 pr (field cables)</t>
        </is>
      </c>
      <c r="E3330" s="12" t="inlineStr">
        <is>
          <t>CCS T-2</t>
        </is>
      </c>
      <c r="F3330" s="12" t="inlineStr">
        <is>
          <t>CCS T-2: 230/13.8 kV</t>
        </is>
      </c>
      <c r="G3330" s="12" t="inlineStr">
        <is>
          <t>JB-CCS T-2-AI01</t>
        </is>
      </c>
      <c r="H3330" s="12" t="inlineStr">
        <is>
          <t>CCS T-2: 230/13.8 kV</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8</v>
      </c>
      <c r="O3330" s="12" t="n">
        <v>1</v>
      </c>
      <c r="P3330" s="12" t="n"/>
      <c r="Q3330" s="12" t="n"/>
      <c r="R3330" s="12" t="n"/>
      <c r="S3330" s="12" t="inlineStr">
        <is>
          <t>Tray / conduit</t>
        </is>
      </c>
      <c r="T3330" s="16" t="n">
        <v>82</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G-I-0082</t>
        </is>
      </c>
      <c r="B3331" s="12" t="inlineStr">
        <is>
          <t>G</t>
        </is>
      </c>
      <c r="C3331" s="12" t="inlineStr">
        <is>
          <t>Carbon capture</t>
        </is>
      </c>
      <c r="D3331" s="12" t="inlineStr">
        <is>
          <t>Home run JB-CCS T-2-AI01 to the control / marshalling room</t>
        </is>
      </c>
      <c r="E3331" s="12" t="inlineStr"/>
      <c r="F3331" s="12" t="inlineStr">
        <is>
          <t>CCS F&amp;G / control</t>
        </is>
      </c>
      <c r="G3331" s="12" t="inlineStr">
        <is>
          <t>JB-CCS T-2-AI01</t>
        </is>
      </c>
      <c r="H3331" s="12" t="inlineStr">
        <is>
          <t>CCS T-2: 230/13.8 kV</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Tray</t>
        </is>
      </c>
      <c r="T3331" s="16" t="n">
        <v>11</v>
      </c>
      <c r="U3331" s="16" t="n">
        <v>101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G-I-0083</t>
        </is>
      </c>
      <c r="B3332" s="12" t="inlineStr">
        <is>
          <t>G</t>
        </is>
      </c>
      <c r="C3332" s="12" t="inlineStr">
        <is>
          <t>Carbon capture</t>
        </is>
      </c>
      <c r="D3332" s="12" t="inlineStr">
        <is>
          <t>Discrete device to JB JB-CCS T-2-DI01: 16 x 1 pr (field cables)</t>
        </is>
      </c>
      <c r="E3332" s="12" t="inlineStr">
        <is>
          <t>CCS T-2</t>
        </is>
      </c>
      <c r="F3332" s="12" t="inlineStr">
        <is>
          <t>CCS T-2: 230/13.8 kV</t>
        </is>
      </c>
      <c r="G3332" s="12" t="inlineStr">
        <is>
          <t>JB-CCS T-2-DI01</t>
        </is>
      </c>
      <c r="H3332" s="12" t="inlineStr">
        <is>
          <t>CCS T-2: 230/13.8 kV</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16</v>
      </c>
      <c r="O3332" s="12" t="n">
        <v>1</v>
      </c>
      <c r="P3332" s="12" t="n"/>
      <c r="Q3332" s="12" t="n"/>
      <c r="R3332" s="12" t="n"/>
      <c r="S3332" s="12" t="inlineStr">
        <is>
          <t>Tray / conduit</t>
        </is>
      </c>
      <c r="T3332" s="16" t="n">
        <v>82</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G-I-0084</t>
        </is>
      </c>
      <c r="B3333" s="12" t="inlineStr">
        <is>
          <t>G</t>
        </is>
      </c>
      <c r="C3333" s="12" t="inlineStr">
        <is>
          <t>Carbon capture</t>
        </is>
      </c>
      <c r="D3333" s="12" t="inlineStr">
        <is>
          <t>Home run JB-CCS T-2-DI01 to the control / marshalling room</t>
        </is>
      </c>
      <c r="E3333" s="12" t="inlineStr"/>
      <c r="F3333" s="12" t="inlineStr">
        <is>
          <t>CCS F&amp;G / control</t>
        </is>
      </c>
      <c r="G3333" s="12" t="inlineStr">
        <is>
          <t>JB-CCS T-2-DI01</t>
        </is>
      </c>
      <c r="H3333" s="12" t="inlineStr">
        <is>
          <t>CCS T-2: 230/13.8 kV</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Tray</t>
        </is>
      </c>
      <c r="T3333" s="16" t="n">
        <v>11</v>
      </c>
      <c r="U3333" s="16" t="n">
        <v>101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G-I-0085</t>
        </is>
      </c>
      <c r="B3334" s="12" t="inlineStr">
        <is>
          <t>G</t>
        </is>
      </c>
      <c r="C3334" s="12" t="inlineStr">
        <is>
          <t>Carbon capture</t>
        </is>
      </c>
      <c r="D3334" s="12" t="inlineStr">
        <is>
          <t>Analog instrument to JB JB-CCS circulating-wa-AI01: 20 x 1 pr (field cables)</t>
        </is>
      </c>
      <c r="E3334" s="12" t="inlineStr"/>
      <c r="F3334" s="12" t="inlineStr">
        <is>
          <t>CCS circulating-water pumps</t>
        </is>
      </c>
      <c r="G3334" s="12" t="inlineStr">
        <is>
          <t>JB-CCS circulating-wa-AI01</t>
        </is>
      </c>
      <c r="H3334" s="12" t="inlineStr">
        <is>
          <t>CCS circulating-water pumps</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100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G-I-0086</t>
        </is>
      </c>
      <c r="B3335" s="12" t="inlineStr">
        <is>
          <t>G</t>
        </is>
      </c>
      <c r="C3335" s="12" t="inlineStr">
        <is>
          <t>Carbon capture</t>
        </is>
      </c>
      <c r="D3335" s="12" t="inlineStr">
        <is>
          <t>Home run JB-CCS circulating-wa-AI01 to the control / marshalling room</t>
        </is>
      </c>
      <c r="E3335" s="12" t="inlineStr"/>
      <c r="F3335" s="12" t="inlineStr">
        <is>
          <t>CCS F&amp;G / control</t>
        </is>
      </c>
      <c r="G3335" s="12" t="inlineStr">
        <is>
          <t>JB-CCS circulating-wa-AI01</t>
        </is>
      </c>
      <c r="H3335" s="12" t="inlineStr">
        <is>
          <t>CCS circulating-water pumps</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821</v>
      </c>
      <c r="U3335" s="16" t="n">
        <v>141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G-I-0087</t>
        </is>
      </c>
      <c r="B3336" s="12" t="inlineStr">
        <is>
          <t>G</t>
        </is>
      </c>
      <c r="C3336" s="12" t="inlineStr">
        <is>
          <t>Carbon capture</t>
        </is>
      </c>
      <c r="D3336" s="12" t="inlineStr">
        <is>
          <t>Discrete device to JB JB-CCS circulating-wa-DI01: 20 x 1 pr (field cables)</t>
        </is>
      </c>
      <c r="E3336" s="12" t="inlineStr"/>
      <c r="F3336" s="12" t="inlineStr">
        <is>
          <t>CCS circulating-water pumps</t>
        </is>
      </c>
      <c r="G3336" s="12" t="inlineStr">
        <is>
          <t>JB-CCS circulating-wa-DI01</t>
        </is>
      </c>
      <c r="H3336" s="12" t="inlineStr">
        <is>
          <t>CCS circulating-water pumps</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100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G-I-0088</t>
        </is>
      </c>
      <c r="B3337" s="12" t="inlineStr">
        <is>
          <t>G</t>
        </is>
      </c>
      <c r="C3337" s="12" t="inlineStr">
        <is>
          <t>Carbon capture</t>
        </is>
      </c>
      <c r="D3337" s="12" t="inlineStr">
        <is>
          <t>Home run JB-CCS circulating-wa-DI01 to the control / marshalling room</t>
        </is>
      </c>
      <c r="E3337" s="12" t="inlineStr"/>
      <c r="F3337" s="12" t="inlineStr">
        <is>
          <t>CCS F&amp;G / control</t>
        </is>
      </c>
      <c r="G3337" s="12" t="inlineStr">
        <is>
          <t>JB-CCS circulating-wa-DI01</t>
        </is>
      </c>
      <c r="H3337" s="12" t="inlineStr">
        <is>
          <t>CCS circulating-water pumps</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821</v>
      </c>
      <c r="U3337" s="16" t="n">
        <v>141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G-I-0089</t>
        </is>
      </c>
      <c r="B3338" s="12" t="inlineStr">
        <is>
          <t>G</t>
        </is>
      </c>
      <c r="C3338" s="12" t="inlineStr">
        <is>
          <t>Carbon capture</t>
        </is>
      </c>
      <c r="D3338" s="12" t="inlineStr">
        <is>
          <t>Analog instrument to JB JB-CCS-CT-AI01: 20 x 1 pr (field cables)</t>
        </is>
      </c>
      <c r="E3338" s="12" t="inlineStr">
        <is>
          <t>CCS-CT</t>
        </is>
      </c>
      <c r="F3338" s="12" t="inlineStr">
        <is>
          <t>CCS cooling tower (~30 cells): CCS process cooling only</t>
        </is>
      </c>
      <c r="G3338" s="12" t="inlineStr">
        <is>
          <t>JB-CCS-CT-AI01</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G-I-0090</t>
        </is>
      </c>
      <c r="B3339" s="12" t="inlineStr">
        <is>
          <t>G</t>
        </is>
      </c>
      <c r="C3339" s="12" t="inlineStr">
        <is>
          <t>Carbon capture</t>
        </is>
      </c>
      <c r="D3339" s="12" t="inlineStr">
        <is>
          <t>Home run JB-CCS-CT-AI01 to the control / marshalling room</t>
        </is>
      </c>
      <c r="E3339" s="12" t="inlineStr"/>
      <c r="F3339" s="12" t="inlineStr">
        <is>
          <t>CCS F&amp;G / control</t>
        </is>
      </c>
      <c r="G3339" s="12" t="inlineStr">
        <is>
          <t>JB-CCS-CT-AI01</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G-I-0091</t>
        </is>
      </c>
      <c r="B3340" s="12" t="inlineStr">
        <is>
          <t>G</t>
        </is>
      </c>
      <c r="C3340" s="12" t="inlineStr">
        <is>
          <t>Carbon capture</t>
        </is>
      </c>
      <c r="D3340" s="12" t="inlineStr">
        <is>
          <t>Analog instrument to JB JB-CCS-CT-AI02: 10 x 1 pr (field cables)</t>
        </is>
      </c>
      <c r="E3340" s="12" t="inlineStr">
        <is>
          <t>CCS-CT</t>
        </is>
      </c>
      <c r="F3340" s="12" t="inlineStr">
        <is>
          <t>CCS cooling tower (~30 cells): CCS process cooling only</t>
        </is>
      </c>
      <c r="G3340" s="12" t="inlineStr">
        <is>
          <t>JB-CCS-CT-AI02</t>
        </is>
      </c>
      <c r="H3340" s="12" t="inlineStr">
        <is>
          <t>CCS cooling tower (~30 cells): CCS process cooling only</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250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G-I-0092</t>
        </is>
      </c>
      <c r="B3341" s="12" t="inlineStr">
        <is>
          <t>G</t>
        </is>
      </c>
      <c r="C3341" s="12" t="inlineStr">
        <is>
          <t>Carbon capture</t>
        </is>
      </c>
      <c r="D3341" s="12" t="inlineStr">
        <is>
          <t>Home run JB-CCS-CT-AI02 to the control / marshalling room</t>
        </is>
      </c>
      <c r="E3341" s="12" t="inlineStr"/>
      <c r="F3341" s="12" t="inlineStr">
        <is>
          <t>CCS F&amp;G / control</t>
        </is>
      </c>
      <c r="G3341" s="12" t="inlineStr">
        <is>
          <t>JB-CCS-CT-AI02</t>
        </is>
      </c>
      <c r="H3341" s="12" t="inlineStr">
        <is>
          <t>CCS cooling tower (~30 cells): CCS process cooling only</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911</v>
      </c>
      <c r="U3341" s="16" t="n">
        <v>111</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G-I-0093</t>
        </is>
      </c>
      <c r="B3342" s="12" t="inlineStr">
        <is>
          <t>G</t>
        </is>
      </c>
      <c r="C3342" s="12" t="inlineStr">
        <is>
          <t>Carbon capture</t>
        </is>
      </c>
      <c r="D3342" s="12" t="inlineStr">
        <is>
          <t>Discrete device to JB JB-CCS-CT-DI01: 20 x 1 pr (field cables)</t>
        </is>
      </c>
      <c r="E3342" s="12" t="inlineStr">
        <is>
          <t>CCS-CT</t>
        </is>
      </c>
      <c r="F3342" s="12" t="inlineStr">
        <is>
          <t>CCS cooling tower (~30 cells): CCS process cooling only</t>
        </is>
      </c>
      <c r="G3342" s="12" t="inlineStr">
        <is>
          <t>JB-CCS-CT-DI01</t>
        </is>
      </c>
      <c r="H3342" s="12" t="inlineStr">
        <is>
          <t>CCS cooling tower (~30 cells): CCS process cooling only</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20</v>
      </c>
      <c r="O3342" s="12" t="n">
        <v>1</v>
      </c>
      <c r="P3342" s="12" t="n"/>
      <c r="Q3342" s="12" t="n"/>
      <c r="R3342" s="12" t="n"/>
      <c r="S3342" s="12" t="inlineStr">
        <is>
          <t>Tray / conduit</t>
        </is>
      </c>
      <c r="T3342" s="16" t="n">
        <v>250</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G-I-0094</t>
        </is>
      </c>
      <c r="B3343" s="12" t="inlineStr">
        <is>
          <t>G</t>
        </is>
      </c>
      <c r="C3343" s="12" t="inlineStr">
        <is>
          <t>Carbon capture</t>
        </is>
      </c>
      <c r="D3343" s="12" t="inlineStr">
        <is>
          <t>Home run JB-CCS-CT-DI01 to the control / marshalling room</t>
        </is>
      </c>
      <c r="E3343" s="12" t="inlineStr"/>
      <c r="F3343" s="12" t="inlineStr">
        <is>
          <t>CCS F&amp;G / control</t>
        </is>
      </c>
      <c r="G3343" s="12" t="inlineStr">
        <is>
          <t>JB-CCS-CT-DI01</t>
        </is>
      </c>
      <c r="H3343" s="12" t="inlineStr">
        <is>
          <t>CCS cooling tower (~30 cells): CCS process cooling only</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911</v>
      </c>
      <c r="U3343" s="16" t="n">
        <v>111</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G-I-0095</t>
        </is>
      </c>
      <c r="B3344" s="12" t="inlineStr">
        <is>
          <t>G</t>
        </is>
      </c>
      <c r="C3344" s="12" t="inlineStr">
        <is>
          <t>Carbon capture</t>
        </is>
      </c>
      <c r="D3344" s="12" t="inlineStr">
        <is>
          <t>Discrete device to JB JB-CCS-CT-DI02: 20 x 1 pr (field cables)</t>
        </is>
      </c>
      <c r="E3344" s="12" t="inlineStr">
        <is>
          <t>CCS-CT</t>
        </is>
      </c>
      <c r="F3344" s="12" t="inlineStr">
        <is>
          <t>CCS cooling tower (~30 cells): CCS process cooling only</t>
        </is>
      </c>
      <c r="G3344" s="12" t="inlineStr">
        <is>
          <t>JB-CCS-CT-DI02</t>
        </is>
      </c>
      <c r="H3344" s="12" t="inlineStr">
        <is>
          <t>CCS cooling tower (~30 cells): CCS process cooling only</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6" t="n">
        <v>250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G-I-0096</t>
        </is>
      </c>
      <c r="B3345" s="12" t="inlineStr">
        <is>
          <t>G</t>
        </is>
      </c>
      <c r="C3345" s="12" t="inlineStr">
        <is>
          <t>Carbon capture</t>
        </is>
      </c>
      <c r="D3345" s="12" t="inlineStr">
        <is>
          <t>Home run JB-CCS-CT-DI02 to the control / marshalling room</t>
        </is>
      </c>
      <c r="E3345" s="12" t="inlineStr"/>
      <c r="F3345" s="12" t="inlineStr">
        <is>
          <t>CCS F&amp;G / control</t>
        </is>
      </c>
      <c r="G3345" s="12" t="inlineStr">
        <is>
          <t>JB-CCS-CT-DI02</t>
        </is>
      </c>
      <c r="H3345" s="12" t="inlineStr">
        <is>
          <t>CCS cooling tower (~30 cells): CCS process cooling only</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911</v>
      </c>
      <c r="U3345" s="16" t="n">
        <v>111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G-I-0097</t>
        </is>
      </c>
      <c r="B3346" s="12" t="inlineStr">
        <is>
          <t>G</t>
        </is>
      </c>
      <c r="C3346" s="12" t="inlineStr">
        <is>
          <t>Carbon capture</t>
        </is>
      </c>
      <c r="D3346" s="12" t="inlineStr">
        <is>
          <t>Discrete device to JB JB-CCS-CT-DI03: 20 x 1 pr (field cables)</t>
        </is>
      </c>
      <c r="E3346" s="12" t="inlineStr">
        <is>
          <t>CCS-CT</t>
        </is>
      </c>
      <c r="F3346" s="12" t="inlineStr">
        <is>
          <t>CCS cooling tower (~30 cells): CCS process cooling only</t>
        </is>
      </c>
      <c r="G3346" s="12" t="inlineStr">
        <is>
          <t>JB-CCS-CT-DI03</t>
        </is>
      </c>
      <c r="H3346" s="12" t="inlineStr">
        <is>
          <t>CCS cooling tower (~30 cells): CCS process cooling only</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250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G-I-0098</t>
        </is>
      </c>
      <c r="B3347" s="12" t="inlineStr">
        <is>
          <t>G</t>
        </is>
      </c>
      <c r="C3347" s="12" t="inlineStr">
        <is>
          <t>Carbon capture</t>
        </is>
      </c>
      <c r="D3347" s="12" t="inlineStr">
        <is>
          <t>Home run JB-CCS-CT-DI03 to the control / marshalling room</t>
        </is>
      </c>
      <c r="E3347" s="12" t="inlineStr"/>
      <c r="F3347" s="12" t="inlineStr">
        <is>
          <t>CCS F&amp;G / control</t>
        </is>
      </c>
      <c r="G3347" s="12" t="inlineStr">
        <is>
          <t>JB-CCS-CT-DI03</t>
        </is>
      </c>
      <c r="H3347" s="12" t="inlineStr">
        <is>
          <t>CCS cooling tower (~30 cells): CCS process cooling only</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911</v>
      </c>
      <c r="U3347" s="16" t="n">
        <v>111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G-I-0099</t>
        </is>
      </c>
      <c r="B3348" s="12" t="inlineStr">
        <is>
          <t>G</t>
        </is>
      </c>
      <c r="C3348" s="12" t="inlineStr">
        <is>
          <t>Carbon capture</t>
        </is>
      </c>
      <c r="D3348" s="12" t="inlineStr">
        <is>
          <t>Analog instrument to JB JB-CCS instrument air-AI01: 10 x 1 pr (field cables)</t>
        </is>
      </c>
      <c r="E3348" s="12" t="inlineStr"/>
      <c r="F3348" s="12" t="inlineStr">
        <is>
          <t>CCS instrument air</t>
        </is>
      </c>
      <c r="G3348" s="12" t="inlineStr">
        <is>
          <t>JB-CCS instrument air-AI01</t>
        </is>
      </c>
      <c r="H3348" s="12" t="inlineStr">
        <is>
          <t>CCS instrument air</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10</v>
      </c>
      <c r="O3348" s="12" t="n">
        <v>1</v>
      </c>
      <c r="P3348" s="12" t="n"/>
      <c r="Q3348" s="12" t="n"/>
      <c r="R3348" s="12" t="n"/>
      <c r="S3348" s="12" t="inlineStr">
        <is>
          <t>Tray / conduit</t>
        </is>
      </c>
      <c r="T3348" s="16" t="n">
        <v>72</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G-I-0100</t>
        </is>
      </c>
      <c r="B3349" s="12" t="inlineStr">
        <is>
          <t>G</t>
        </is>
      </c>
      <c r="C3349" s="12" t="inlineStr">
        <is>
          <t>Carbon capture</t>
        </is>
      </c>
      <c r="D3349" s="12" t="inlineStr">
        <is>
          <t>Home run JB-CCS instrument air-AI01 to the control / marshalling room</t>
        </is>
      </c>
      <c r="E3349" s="12" t="inlineStr"/>
      <c r="F3349" s="12" t="inlineStr">
        <is>
          <t>CCS F&amp;G / control</t>
        </is>
      </c>
      <c r="G3349" s="12" t="inlineStr">
        <is>
          <t>JB-CCS instrument air-AI01</t>
        </is>
      </c>
      <c r="H3349" s="12" t="inlineStr">
        <is>
          <t>CCS instrument air</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0</v>
      </c>
      <c r="U3349" s="16" t="n">
        <v>120</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G-I-0101</t>
        </is>
      </c>
      <c r="B3350" s="12" t="inlineStr">
        <is>
          <t>G</t>
        </is>
      </c>
      <c r="C3350" s="12" t="inlineStr">
        <is>
          <t>Carbon capture</t>
        </is>
      </c>
      <c r="D3350" s="12" t="inlineStr">
        <is>
          <t>Discrete device to JB JB-CCS instrument air-DI01: 10 x 1 pr (field cables)</t>
        </is>
      </c>
      <c r="E3350" s="12" t="inlineStr"/>
      <c r="F3350" s="12" t="inlineStr">
        <is>
          <t>CCS instrument air</t>
        </is>
      </c>
      <c r="G3350" s="12" t="inlineStr">
        <is>
          <t>JB-CCS instrument air-DI01</t>
        </is>
      </c>
      <c r="H3350" s="12" t="inlineStr">
        <is>
          <t>CCS instrument air</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6" t="n">
        <v>72</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G-I-0102</t>
        </is>
      </c>
      <c r="B3351" s="12" t="inlineStr">
        <is>
          <t>G</t>
        </is>
      </c>
      <c r="C3351" s="12" t="inlineStr">
        <is>
          <t>Carbon capture</t>
        </is>
      </c>
      <c r="D3351" s="12" t="inlineStr">
        <is>
          <t>Home run JB-CCS instrument air-DI01 to the control / marshalling room</t>
        </is>
      </c>
      <c r="E3351" s="12" t="inlineStr"/>
      <c r="F3351" s="12" t="inlineStr">
        <is>
          <t>CCS F&amp;G / control</t>
        </is>
      </c>
      <c r="G3351" s="12" t="inlineStr">
        <is>
          <t>JB-CCS instrument air-DI01</t>
        </is>
      </c>
      <c r="H3351" s="12" t="inlineStr">
        <is>
          <t>CCS instrument air</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0</v>
      </c>
      <c r="U3351" s="16" t="n">
        <v>120</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G-I-0103</t>
        </is>
      </c>
      <c r="B3352" s="12" t="inlineStr">
        <is>
          <t>G</t>
        </is>
      </c>
      <c r="C3352" s="12" t="inlineStr">
        <is>
          <t>Carbon capture</t>
        </is>
      </c>
      <c r="D3352" s="12" t="inlineStr">
        <is>
          <t>Analog instrument to JB JB-CCS wastewater (DC-AI01: 15 x 1 pr (field cables)</t>
        </is>
      </c>
      <c r="E3352" s="12" t="inlineStr"/>
      <c r="F3352" s="12" t="inlineStr">
        <is>
          <t>CCS wastewater (DCC + tower blowdown)</t>
        </is>
      </c>
      <c r="G3352" s="12" t="inlineStr">
        <is>
          <t>JB-CCS wastewater (DC-AI01</t>
        </is>
      </c>
      <c r="H3352" s="12" t="inlineStr">
        <is>
          <t>CCS wastewater (DCC + tower blowdown)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6" t="n">
        <v>140</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G-I-0104</t>
        </is>
      </c>
      <c r="B3353" s="12" t="inlineStr">
        <is>
          <t>G</t>
        </is>
      </c>
      <c r="C3353" s="12" t="inlineStr">
        <is>
          <t>Carbon capture</t>
        </is>
      </c>
      <c r="D3353" s="12" t="inlineStr">
        <is>
          <t>Home run JB-CCS wastewater (DC-AI01 to the control / marshalling room</t>
        </is>
      </c>
      <c r="E3353" s="12" t="inlineStr"/>
      <c r="F3353" s="12" t="inlineStr">
        <is>
          <t>CCS F&amp;G / control</t>
        </is>
      </c>
      <c r="G3353" s="12" t="inlineStr">
        <is>
          <t>JB-CCS wastewater (DC-AI01</t>
        </is>
      </c>
      <c r="H3353" s="12" t="inlineStr">
        <is>
          <t>CCS wastewater (DCC + tower blowdown)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656</v>
      </c>
      <c r="U3353" s="16" t="n">
        <v>121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G-I-0105</t>
        </is>
      </c>
      <c r="B3354" s="12" t="inlineStr">
        <is>
          <t>G</t>
        </is>
      </c>
      <c r="C3354" s="12" t="inlineStr">
        <is>
          <t>Carbon capture</t>
        </is>
      </c>
      <c r="D3354" s="12" t="inlineStr">
        <is>
          <t>Discrete device to JB JB-CCS wastewater (DC-DI01: 15 x 1 pr (field cables)</t>
        </is>
      </c>
      <c r="E3354" s="12" t="inlineStr"/>
      <c r="F3354" s="12" t="inlineStr">
        <is>
          <t>CCS wastewater (DCC + tower blowdown)</t>
        </is>
      </c>
      <c r="G3354" s="12" t="inlineStr">
        <is>
          <t>JB-CCS wastewater (DC-DI01</t>
        </is>
      </c>
      <c r="H3354" s="12" t="inlineStr">
        <is>
          <t>CCS wastewater (DCC + tower blowdown)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15</v>
      </c>
      <c r="O3354" s="12" t="n">
        <v>1</v>
      </c>
      <c r="P3354" s="12" t="n"/>
      <c r="Q3354" s="12" t="n"/>
      <c r="R3354" s="12" t="n"/>
      <c r="S3354" s="12" t="inlineStr">
        <is>
          <t>Tray / conduit</t>
        </is>
      </c>
      <c r="T3354" s="16" t="n">
        <v>140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G-I-0106</t>
        </is>
      </c>
      <c r="B3355" s="12" t="inlineStr">
        <is>
          <t>G</t>
        </is>
      </c>
      <c r="C3355" s="12" t="inlineStr">
        <is>
          <t>Carbon capture</t>
        </is>
      </c>
      <c r="D3355" s="12" t="inlineStr">
        <is>
          <t>Home run JB-CCS wastewater (DC-DI01 to the control / marshalling room</t>
        </is>
      </c>
      <c r="E3355" s="12" t="inlineStr"/>
      <c r="F3355" s="12" t="inlineStr">
        <is>
          <t>CCS F&amp;G / control</t>
        </is>
      </c>
      <c r="G3355" s="12" t="inlineStr">
        <is>
          <t>JB-CCS wastewater (DC-DI01</t>
        </is>
      </c>
      <c r="H3355" s="12" t="inlineStr">
        <is>
          <t>CCS wastewater (DCC + tower blowdown)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656</v>
      </c>
      <c r="U3355" s="16" t="n">
        <v>121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G-I-0107</t>
        </is>
      </c>
      <c r="B3356" s="12" t="inlineStr">
        <is>
          <t>G</t>
        </is>
      </c>
      <c r="C3356" s="12" t="inlineStr">
        <is>
          <t>Carbon capture</t>
        </is>
      </c>
      <c r="D3356" s="12" t="inlineStr">
        <is>
          <t>Analog instrument to JB JB-CO2 compression 3 -AI01: 20 x 1 pr (field cables)</t>
        </is>
      </c>
      <c r="E3356" s="12" t="inlineStr"/>
      <c r="F3356" s="12" t="inlineStr">
        <is>
          <t>CO2 compression 3 x ~19 MW + dehydration</t>
        </is>
      </c>
      <c r="G3356" s="12" t="inlineStr">
        <is>
          <t>JB-CO2 compression 3 -AI01</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G-I-0108</t>
        </is>
      </c>
      <c r="B3357" s="12" t="inlineStr">
        <is>
          <t>G</t>
        </is>
      </c>
      <c r="C3357" s="12" t="inlineStr">
        <is>
          <t>Carbon capture</t>
        </is>
      </c>
      <c r="D3357" s="12" t="inlineStr">
        <is>
          <t>Home run JB-CO2 compression 3 -AI01 to the control / marshalling room</t>
        </is>
      </c>
      <c r="E3357" s="12" t="inlineStr"/>
      <c r="F3357" s="12" t="inlineStr">
        <is>
          <t>CCS F&amp;G / control</t>
        </is>
      </c>
      <c r="G3357" s="12" t="inlineStr">
        <is>
          <t>JB-CO2 compression 3 -AI01</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G-I-0109</t>
        </is>
      </c>
      <c r="B3358" s="12" t="inlineStr">
        <is>
          <t>G</t>
        </is>
      </c>
      <c r="C3358" s="12" t="inlineStr">
        <is>
          <t>Carbon capture</t>
        </is>
      </c>
      <c r="D3358" s="12" t="inlineStr">
        <is>
          <t>Analog instrument to JB JB-CO2 compression 3 -AI02: 20 x 1 pr (field cables)</t>
        </is>
      </c>
      <c r="E3358" s="12" t="inlineStr"/>
      <c r="F3358" s="12" t="inlineStr">
        <is>
          <t>CO2 compression 3 x ~19 MW + dehydration</t>
        </is>
      </c>
      <c r="G3358" s="12" t="inlineStr">
        <is>
          <t>JB-CO2 compression 3 -AI02</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G-I-0110</t>
        </is>
      </c>
      <c r="B3359" s="12" t="inlineStr">
        <is>
          <t>G</t>
        </is>
      </c>
      <c r="C3359" s="12" t="inlineStr">
        <is>
          <t>Carbon capture</t>
        </is>
      </c>
      <c r="D3359" s="12" t="inlineStr">
        <is>
          <t>Home run JB-CO2 compression 3 -AI02 to the control / marshalling room</t>
        </is>
      </c>
      <c r="E3359" s="12" t="inlineStr"/>
      <c r="F3359" s="12" t="inlineStr">
        <is>
          <t>CCS F&amp;G / control</t>
        </is>
      </c>
      <c r="G3359" s="12" t="inlineStr">
        <is>
          <t>JB-CO2 compression 3 -AI02</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G-I-0111</t>
        </is>
      </c>
      <c r="B3360" s="12" t="inlineStr">
        <is>
          <t>G</t>
        </is>
      </c>
      <c r="C3360" s="12" t="inlineStr">
        <is>
          <t>Carbon capture</t>
        </is>
      </c>
      <c r="D3360" s="12" t="inlineStr">
        <is>
          <t>Analog instrument to JB JB-CO2 compression 3 -AI03: 20 x 1 pr (field cables)</t>
        </is>
      </c>
      <c r="E3360" s="12" t="inlineStr"/>
      <c r="F3360" s="12" t="inlineStr">
        <is>
          <t>CO2 compression 3 x ~19 MW + dehydration</t>
        </is>
      </c>
      <c r="G3360" s="12" t="inlineStr">
        <is>
          <t>JB-CO2 compression 3 -AI03</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G-I-0112</t>
        </is>
      </c>
      <c r="B3361" s="12" t="inlineStr">
        <is>
          <t>G</t>
        </is>
      </c>
      <c r="C3361" s="12" t="inlineStr">
        <is>
          <t>Carbon capture</t>
        </is>
      </c>
      <c r="D3361" s="12" t="inlineStr">
        <is>
          <t>Home run JB-CO2 compression 3 -AI03 to the control / marshalling room</t>
        </is>
      </c>
      <c r="E3361" s="12" t="inlineStr"/>
      <c r="F3361" s="12" t="inlineStr">
        <is>
          <t>CCS F&amp;G / control</t>
        </is>
      </c>
      <c r="G3361" s="12" t="inlineStr">
        <is>
          <t>JB-CO2 compression 3 -AI03</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G-I-0113</t>
        </is>
      </c>
      <c r="B3362" s="12" t="inlineStr">
        <is>
          <t>G</t>
        </is>
      </c>
      <c r="C3362" s="12" t="inlineStr">
        <is>
          <t>Carbon capture</t>
        </is>
      </c>
      <c r="D3362" s="12" t="inlineStr">
        <is>
          <t>Analog instrument to JB JB-CO2 compression 3 -AI04: 20 x 1 pr (field cables)</t>
        </is>
      </c>
      <c r="E3362" s="12" t="inlineStr"/>
      <c r="F3362" s="12" t="inlineStr">
        <is>
          <t>CO2 compression 3 x ~19 MW + dehydration</t>
        </is>
      </c>
      <c r="G3362" s="12" t="inlineStr">
        <is>
          <t>JB-CO2 compression 3 -AI04</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G-I-0114</t>
        </is>
      </c>
      <c r="B3363" s="12" t="inlineStr">
        <is>
          <t>G</t>
        </is>
      </c>
      <c r="C3363" s="12" t="inlineStr">
        <is>
          <t>Carbon capture</t>
        </is>
      </c>
      <c r="D3363" s="12" t="inlineStr">
        <is>
          <t>Home run JB-CO2 compression 3 -AI04 to the control / marshalling room</t>
        </is>
      </c>
      <c r="E3363" s="12" t="inlineStr"/>
      <c r="F3363" s="12" t="inlineStr">
        <is>
          <t>CCS F&amp;G / control</t>
        </is>
      </c>
      <c r="G3363" s="12" t="inlineStr">
        <is>
          <t>JB-CO2 compression 3 -AI04</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G-I-0115</t>
        </is>
      </c>
      <c r="B3364" s="12" t="inlineStr">
        <is>
          <t>G</t>
        </is>
      </c>
      <c r="C3364" s="12" t="inlineStr">
        <is>
          <t>Carbon capture</t>
        </is>
      </c>
      <c r="D3364" s="12" t="inlineStr">
        <is>
          <t>Analog instrument to JB JB-CO2 compression 3 -AI05: 20 x 1 pr (field cables)</t>
        </is>
      </c>
      <c r="E3364" s="12" t="inlineStr"/>
      <c r="F3364" s="12" t="inlineStr">
        <is>
          <t>CO2 compression 3 x ~19 MW + dehydration</t>
        </is>
      </c>
      <c r="G3364" s="12" t="inlineStr">
        <is>
          <t>JB-CO2 compression 3 -AI05</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G-I-0116</t>
        </is>
      </c>
      <c r="B3365" s="12" t="inlineStr">
        <is>
          <t>G</t>
        </is>
      </c>
      <c r="C3365" s="12" t="inlineStr">
        <is>
          <t>Carbon capture</t>
        </is>
      </c>
      <c r="D3365" s="12" t="inlineStr">
        <is>
          <t>Home run JB-CO2 compression 3 -AI05 to the control / marshalling room</t>
        </is>
      </c>
      <c r="E3365" s="12" t="inlineStr"/>
      <c r="F3365" s="12" t="inlineStr">
        <is>
          <t>CCS F&amp;G / control</t>
        </is>
      </c>
      <c r="G3365" s="12" t="inlineStr">
        <is>
          <t>JB-CO2 compression 3 -AI05</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G-I-0117</t>
        </is>
      </c>
      <c r="B3366" s="12" t="inlineStr">
        <is>
          <t>G</t>
        </is>
      </c>
      <c r="C3366" s="12" t="inlineStr">
        <is>
          <t>Carbon capture</t>
        </is>
      </c>
      <c r="D3366" s="12" t="inlineStr">
        <is>
          <t>Analog instrument to JB JB-CO2 compression 3 -AI06: 20 x 1 pr (field cables)</t>
        </is>
      </c>
      <c r="E3366" s="12" t="inlineStr"/>
      <c r="F3366" s="12" t="inlineStr">
        <is>
          <t>CO2 compression 3 x ~19 MW + dehydration</t>
        </is>
      </c>
      <c r="G3366" s="12" t="inlineStr">
        <is>
          <t>JB-CO2 compression 3 -AI06</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G-I-0118</t>
        </is>
      </c>
      <c r="B3367" s="12" t="inlineStr">
        <is>
          <t>G</t>
        </is>
      </c>
      <c r="C3367" s="12" t="inlineStr">
        <is>
          <t>Carbon capture</t>
        </is>
      </c>
      <c r="D3367" s="12" t="inlineStr">
        <is>
          <t>Home run JB-CO2 compression 3 -AI06 to the control / marshalling room</t>
        </is>
      </c>
      <c r="E3367" s="12" t="inlineStr"/>
      <c r="F3367" s="12" t="inlineStr">
        <is>
          <t>CCS F&amp;G / control</t>
        </is>
      </c>
      <c r="G3367" s="12" t="inlineStr">
        <is>
          <t>JB-CO2 compression 3 -AI06</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G-I-0119</t>
        </is>
      </c>
      <c r="B3368" s="12" t="inlineStr">
        <is>
          <t>G</t>
        </is>
      </c>
      <c r="C3368" s="12" t="inlineStr">
        <is>
          <t>Carbon capture</t>
        </is>
      </c>
      <c r="D3368" s="12" t="inlineStr">
        <is>
          <t>Analog instrument to JB JB-CO2 compression 3 -AI07: 20 x 1 pr (field cables)</t>
        </is>
      </c>
      <c r="E3368" s="12" t="inlineStr"/>
      <c r="F3368" s="12" t="inlineStr">
        <is>
          <t>CO2 compression 3 x ~19 MW + dehydration</t>
        </is>
      </c>
      <c r="G3368" s="12" t="inlineStr">
        <is>
          <t>JB-CO2 compression 3 -AI07</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G-I-0120</t>
        </is>
      </c>
      <c r="B3369" s="12" t="inlineStr">
        <is>
          <t>G</t>
        </is>
      </c>
      <c r="C3369" s="12" t="inlineStr">
        <is>
          <t>Carbon capture</t>
        </is>
      </c>
      <c r="D3369" s="12" t="inlineStr">
        <is>
          <t>Home run JB-CO2 compression 3 -AI07 to the control / marshalling room</t>
        </is>
      </c>
      <c r="E3369" s="12" t="inlineStr"/>
      <c r="F3369" s="12" t="inlineStr">
        <is>
          <t>CCS F&amp;G / control</t>
        </is>
      </c>
      <c r="G3369" s="12" t="inlineStr">
        <is>
          <t>JB-CO2 compression 3 -AI07</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G-I-0121</t>
        </is>
      </c>
      <c r="B3370" s="12" t="inlineStr">
        <is>
          <t>G</t>
        </is>
      </c>
      <c r="C3370" s="12" t="inlineStr">
        <is>
          <t>Carbon capture</t>
        </is>
      </c>
      <c r="D3370" s="12" t="inlineStr">
        <is>
          <t>Analog instrument to JB JB-CO2 compression 3 -AI08: 10 x 1 pr (field cables)</t>
        </is>
      </c>
      <c r="E3370" s="12" t="inlineStr"/>
      <c r="F3370" s="12" t="inlineStr">
        <is>
          <t>CO2 compression 3 x ~19 MW + dehydration</t>
        </is>
      </c>
      <c r="G3370" s="12" t="inlineStr">
        <is>
          <t>JB-CO2 compression 3 -AI08</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G-I-0122</t>
        </is>
      </c>
      <c r="B3371" s="12" t="inlineStr">
        <is>
          <t>G</t>
        </is>
      </c>
      <c r="C3371" s="12" t="inlineStr">
        <is>
          <t>Carbon capture</t>
        </is>
      </c>
      <c r="D3371" s="12" t="inlineStr">
        <is>
          <t>Home run JB-CO2 compression 3 -AI08 to the control / marshalling room</t>
        </is>
      </c>
      <c r="E3371" s="12" t="inlineStr"/>
      <c r="F3371" s="12" t="inlineStr">
        <is>
          <t>CCS F&amp;G / control</t>
        </is>
      </c>
      <c r="G3371" s="12" t="inlineStr">
        <is>
          <t>JB-CO2 compression 3 -AI08</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G-I-0123</t>
        </is>
      </c>
      <c r="B3372" s="12" t="inlineStr">
        <is>
          <t>G</t>
        </is>
      </c>
      <c r="C3372" s="12" t="inlineStr">
        <is>
          <t>Carbon capture</t>
        </is>
      </c>
      <c r="D3372" s="12" t="inlineStr">
        <is>
          <t>Discrete device to JB JB-CO2 compression 3 -DI01: 20 x 1 pr (field cables)</t>
        </is>
      </c>
      <c r="E3372" s="12" t="inlineStr"/>
      <c r="F3372" s="12" t="inlineStr">
        <is>
          <t>CO2 compression 3 x ~19 MW + dehydration</t>
        </is>
      </c>
      <c r="G3372" s="12" t="inlineStr">
        <is>
          <t>JB-CO2 compression 3 -DI01</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G-I-0124</t>
        </is>
      </c>
      <c r="B3373" s="12" t="inlineStr">
        <is>
          <t>G</t>
        </is>
      </c>
      <c r="C3373" s="12" t="inlineStr">
        <is>
          <t>Carbon capture</t>
        </is>
      </c>
      <c r="D3373" s="12" t="inlineStr">
        <is>
          <t>Home run JB-CO2 compression 3 -DI01 to the control / marshalling room</t>
        </is>
      </c>
      <c r="E3373" s="12" t="inlineStr"/>
      <c r="F3373" s="12" t="inlineStr">
        <is>
          <t>CCS F&amp;G / control</t>
        </is>
      </c>
      <c r="G3373" s="12" t="inlineStr">
        <is>
          <t>JB-CO2 compression 3 -DI01</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G-I-0125</t>
        </is>
      </c>
      <c r="B3374" s="12" t="inlineStr">
        <is>
          <t>G</t>
        </is>
      </c>
      <c r="C3374" s="12" t="inlineStr">
        <is>
          <t>Carbon capture</t>
        </is>
      </c>
      <c r="D3374" s="12" t="inlineStr">
        <is>
          <t>Discrete device to JB JB-CO2 compression 3 -DI02: 20 x 1 pr (field cables)</t>
        </is>
      </c>
      <c r="E3374" s="12" t="inlineStr"/>
      <c r="F3374" s="12" t="inlineStr">
        <is>
          <t>CO2 compression 3 x ~19 MW + dehydration</t>
        </is>
      </c>
      <c r="G3374" s="12" t="inlineStr">
        <is>
          <t>JB-CO2 compression 3 -DI02</t>
        </is>
      </c>
      <c r="H3374" s="12" t="inlineStr">
        <is>
          <t>CO2 compression 3 x ~19 MW + dehydration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G-I-0126</t>
        </is>
      </c>
      <c r="B3375" s="12" t="inlineStr">
        <is>
          <t>G</t>
        </is>
      </c>
      <c r="C3375" s="12" t="inlineStr">
        <is>
          <t>Carbon capture</t>
        </is>
      </c>
      <c r="D3375" s="12" t="inlineStr">
        <is>
          <t>Home run JB-CO2 compression 3 -DI02 to the control / marshalling room</t>
        </is>
      </c>
      <c r="E3375" s="12" t="inlineStr"/>
      <c r="F3375" s="12" t="inlineStr">
        <is>
          <t>CCS F&amp;G / control</t>
        </is>
      </c>
      <c r="G3375" s="12" t="inlineStr">
        <is>
          <t>JB-CO2 compression 3 -DI02</t>
        </is>
      </c>
      <c r="H3375" s="12" t="inlineStr">
        <is>
          <t>CO2 compression 3 x ~19 MW + dehydration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G-I-0127</t>
        </is>
      </c>
      <c r="B3376" s="12" t="inlineStr">
        <is>
          <t>G</t>
        </is>
      </c>
      <c r="C3376" s="12" t="inlineStr">
        <is>
          <t>Carbon capture</t>
        </is>
      </c>
      <c r="D3376" s="12" t="inlineStr">
        <is>
          <t>Discrete device to JB JB-CO2 compression 3 -DI03: 20 x 1 pr (field cables)</t>
        </is>
      </c>
      <c r="E3376" s="12" t="inlineStr"/>
      <c r="F3376" s="12" t="inlineStr">
        <is>
          <t>CO2 compression 3 x ~19 MW + dehydration</t>
        </is>
      </c>
      <c r="G3376" s="12" t="inlineStr">
        <is>
          <t>JB-CO2 compression 3 -DI03</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G-I-0128</t>
        </is>
      </c>
      <c r="B3377" s="12" t="inlineStr">
        <is>
          <t>G</t>
        </is>
      </c>
      <c r="C3377" s="12" t="inlineStr">
        <is>
          <t>Carbon capture</t>
        </is>
      </c>
      <c r="D3377" s="12" t="inlineStr">
        <is>
          <t>Home run JB-CO2 compression 3 -DI03 to the control / marshalling room</t>
        </is>
      </c>
      <c r="E3377" s="12" t="inlineStr"/>
      <c r="F3377" s="12" t="inlineStr">
        <is>
          <t>CCS F&amp;G / control</t>
        </is>
      </c>
      <c r="G3377" s="12" t="inlineStr">
        <is>
          <t>JB-CO2 compression 3 -DI03</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G-I-0129</t>
        </is>
      </c>
      <c r="B3378" s="12" t="inlineStr">
        <is>
          <t>G</t>
        </is>
      </c>
      <c r="C3378" s="12" t="inlineStr">
        <is>
          <t>Carbon capture</t>
        </is>
      </c>
      <c r="D3378" s="12" t="inlineStr">
        <is>
          <t>Discrete device to JB JB-CO2 compression 3 -DI04: 20 x 1 pr (field cables)</t>
        </is>
      </c>
      <c r="E3378" s="12" t="inlineStr"/>
      <c r="F3378" s="12" t="inlineStr">
        <is>
          <t>CO2 compression 3 x ~19 MW + dehydration</t>
        </is>
      </c>
      <c r="G3378" s="12" t="inlineStr">
        <is>
          <t>JB-CO2 compression 3 -DI04</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G-I-0130</t>
        </is>
      </c>
      <c r="B3379" s="12" t="inlineStr">
        <is>
          <t>G</t>
        </is>
      </c>
      <c r="C3379" s="12" t="inlineStr">
        <is>
          <t>Carbon capture</t>
        </is>
      </c>
      <c r="D3379" s="12" t="inlineStr">
        <is>
          <t>Home run JB-CO2 compression 3 -DI04 to the control / marshalling room</t>
        </is>
      </c>
      <c r="E3379" s="12" t="inlineStr"/>
      <c r="F3379" s="12" t="inlineStr">
        <is>
          <t>CCS F&amp;G / control</t>
        </is>
      </c>
      <c r="G3379" s="12" t="inlineStr">
        <is>
          <t>JB-CO2 compression 3 -DI04</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G-I-0131</t>
        </is>
      </c>
      <c r="B3380" s="12" t="inlineStr">
        <is>
          <t>G</t>
        </is>
      </c>
      <c r="C3380" s="12" t="inlineStr">
        <is>
          <t>Carbon capture</t>
        </is>
      </c>
      <c r="D3380" s="12" t="inlineStr">
        <is>
          <t>Discrete device to JB JB-CO2 compression 3 -DI05: 20 x 1 pr (field cables)</t>
        </is>
      </c>
      <c r="E3380" s="12" t="inlineStr"/>
      <c r="F3380" s="12" t="inlineStr">
        <is>
          <t>CO2 compression 3 x ~19 MW + dehydration</t>
        </is>
      </c>
      <c r="G3380" s="12" t="inlineStr">
        <is>
          <t>JB-CO2 compression 3 -DI05</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G-I-0132</t>
        </is>
      </c>
      <c r="B3381" s="12" t="inlineStr">
        <is>
          <t>G</t>
        </is>
      </c>
      <c r="C3381" s="12" t="inlineStr">
        <is>
          <t>Carbon capture</t>
        </is>
      </c>
      <c r="D3381" s="12" t="inlineStr">
        <is>
          <t>Home run JB-CO2 compression 3 -DI05 to the control / marshalling room</t>
        </is>
      </c>
      <c r="E3381" s="12" t="inlineStr"/>
      <c r="F3381" s="12" t="inlineStr">
        <is>
          <t>CCS F&amp;G / control</t>
        </is>
      </c>
      <c r="G3381" s="12" t="inlineStr">
        <is>
          <t>JB-CO2 compression 3 -DI05</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G-I-0133</t>
        </is>
      </c>
      <c r="B3382" s="12" t="inlineStr">
        <is>
          <t>G</t>
        </is>
      </c>
      <c r="C3382" s="12" t="inlineStr">
        <is>
          <t>Carbon capture</t>
        </is>
      </c>
      <c r="D3382" s="12" t="inlineStr">
        <is>
          <t>RTD to JB JB-CO2 compression 3 -RTD01: 10 x 1 tri (field cables)</t>
        </is>
      </c>
      <c r="E3382" s="12" t="inlineStr"/>
      <c r="F3382" s="12" t="inlineStr">
        <is>
          <t>CO2 compression 3 x ~19 MW + dehydration</t>
        </is>
      </c>
      <c r="G3382" s="12" t="inlineStr">
        <is>
          <t>JB-CO2 compression 3 -RTD01</t>
        </is>
      </c>
      <c r="H3382" s="12" t="inlineStr">
        <is>
          <t>CO2 compression 3 x ~19 MW + dehydration</t>
        </is>
      </c>
      <c r="I3382" s="12" t="inlineStr">
        <is>
          <t>Instrumentation</t>
        </is>
      </c>
      <c r="J3382" s="12" t="inlineStr">
        <is>
          <t>RTD cable, #18 shielded triads, PLTC</t>
        </is>
      </c>
      <c r="K3382" s="12" t="inlineStr">
        <is>
          <t>RTD|1 tri|18</t>
        </is>
      </c>
      <c r="L3382" s="12" t="inlineStr">
        <is>
          <t>1 tri</t>
        </is>
      </c>
      <c r="M3382" s="12" t="inlineStr">
        <is>
          <t>18</t>
        </is>
      </c>
      <c r="N3382" s="12" t="n">
        <v>10</v>
      </c>
      <c r="O3382" s="12" t="n">
        <v>1</v>
      </c>
      <c r="P3382" s="12" t="n"/>
      <c r="Q3382" s="12" t="n"/>
      <c r="R3382" s="12" t="n"/>
      <c r="S3382" s="12" t="inlineStr">
        <is>
          <t>Tray / conduit</t>
        </is>
      </c>
      <c r="T3382" s="16" t="n">
        <v>159</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G-I-0134</t>
        </is>
      </c>
      <c r="B3383" s="12" t="inlineStr">
        <is>
          <t>G</t>
        </is>
      </c>
      <c r="C3383" s="12" t="inlineStr">
        <is>
          <t>Carbon capture</t>
        </is>
      </c>
      <c r="D3383" s="12" t="inlineStr">
        <is>
          <t>Home run JB-CO2 compression 3 -RTD01 to the control / marshalling room</t>
        </is>
      </c>
      <c r="E3383" s="12" t="inlineStr"/>
      <c r="F3383" s="12" t="inlineStr">
        <is>
          <t>CCS F&amp;G / control</t>
        </is>
      </c>
      <c r="G3383" s="12" t="inlineStr">
        <is>
          <t>JB-CO2 compression 3 -RTD01</t>
        </is>
      </c>
      <c r="H3383" s="12" t="inlineStr">
        <is>
          <t>CO2 compression 3 x ~19 MW + dehydration</t>
        </is>
      </c>
      <c r="I3383" s="12" t="inlineStr">
        <is>
          <t>Instrumentation</t>
        </is>
      </c>
      <c r="J3383" s="12" t="inlineStr">
        <is>
          <t>RTD cable, #18 shielded triads, PLTC</t>
        </is>
      </c>
      <c r="K3383" s="12" t="inlineStr">
        <is>
          <t>RTD|12 tri|18</t>
        </is>
      </c>
      <c r="L3383" s="12" t="inlineStr">
        <is>
          <t>12 tri</t>
        </is>
      </c>
      <c r="M3383" s="12" t="inlineStr">
        <is>
          <t>18</t>
        </is>
      </c>
      <c r="N3383" s="12" t="n">
        <v>1</v>
      </c>
      <c r="O3383" s="12" t="n">
        <v>1</v>
      </c>
      <c r="P3383" s="12" t="n"/>
      <c r="Q3383" s="12" t="n"/>
      <c r="R3383" s="12" t="n"/>
      <c r="S3383" s="12" t="inlineStr">
        <is>
          <t>Duct bank</t>
        </is>
      </c>
      <c r="T3383" s="16" t="n">
        <v>183</v>
      </c>
      <c r="U3383" s="16" t="n">
        <v>105</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G-I-0135</t>
        </is>
      </c>
      <c r="B3384" s="12" t="inlineStr">
        <is>
          <t>G</t>
        </is>
      </c>
      <c r="C3384" s="12" t="inlineStr">
        <is>
          <t>Carbon capture</t>
        </is>
      </c>
      <c r="D3384" s="12" t="inlineStr">
        <is>
          <t>RTD to JB JB-CO2 compression 3 -RTD02: 10 x 1 tri (field cables)</t>
        </is>
      </c>
      <c r="E3384" s="12" t="inlineStr"/>
      <c r="F3384" s="12" t="inlineStr">
        <is>
          <t>CO2 compression 3 x ~19 MW + dehydration</t>
        </is>
      </c>
      <c r="G3384" s="12" t="inlineStr">
        <is>
          <t>JB-CO2 compression 3 -RTD02</t>
        </is>
      </c>
      <c r="H3384" s="12" t="inlineStr">
        <is>
          <t>CO2 compression 3 x ~19 MW + dehydration</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6" t="n">
        <v>159</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G-I-0136</t>
        </is>
      </c>
      <c r="B3385" s="12" t="inlineStr">
        <is>
          <t>G</t>
        </is>
      </c>
      <c r="C3385" s="12" t="inlineStr">
        <is>
          <t>Carbon capture</t>
        </is>
      </c>
      <c r="D3385" s="12" t="inlineStr">
        <is>
          <t>Home run JB-CO2 compression 3 -RTD02 to the control / marshalling room</t>
        </is>
      </c>
      <c r="E3385" s="12" t="inlineStr"/>
      <c r="F3385" s="12" t="inlineStr">
        <is>
          <t>CCS F&amp;G / control</t>
        </is>
      </c>
      <c r="G3385" s="12" t="inlineStr">
        <is>
          <t>JB-CO2 compression 3 -RTD02</t>
        </is>
      </c>
      <c r="H3385" s="12" t="inlineStr">
        <is>
          <t>CO2 compression 3 x ~19 MW + dehydration</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6" t="n">
        <v>183</v>
      </c>
      <c r="U3385" s="16" t="n">
        <v>105</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G-I-0137</t>
        </is>
      </c>
      <c r="B3386" s="12" t="inlineStr">
        <is>
          <t>G</t>
        </is>
      </c>
      <c r="C3386" s="12" t="inlineStr">
        <is>
          <t>Carbon capture</t>
        </is>
      </c>
      <c r="D3386" s="12" t="inlineStr">
        <is>
          <t>RTD to JB JB-CO2 compression 3 -RTD03: 10 x 1 tri (field cables)</t>
        </is>
      </c>
      <c r="E3386" s="12" t="inlineStr"/>
      <c r="F3386" s="12" t="inlineStr">
        <is>
          <t>CO2 compression 3 x ~19 MW + dehydration</t>
        </is>
      </c>
      <c r="G3386" s="12" t="inlineStr">
        <is>
          <t>JB-CO2 compression 3 -RTD03</t>
        </is>
      </c>
      <c r="H3386" s="12" t="inlineStr">
        <is>
          <t>CO2 compression 3 x ~19 MW + dehydration</t>
        </is>
      </c>
      <c r="I3386" s="12" t="inlineStr">
        <is>
          <t>Instrumentation</t>
        </is>
      </c>
      <c r="J3386" s="12" t="inlineStr">
        <is>
          <t>RTD cable, #18 shielded triads, PLTC</t>
        </is>
      </c>
      <c r="K3386" s="12" t="inlineStr">
        <is>
          <t>RTD|1 tri|18</t>
        </is>
      </c>
      <c r="L3386" s="12" t="inlineStr">
        <is>
          <t>1 tri</t>
        </is>
      </c>
      <c r="M3386" s="12" t="inlineStr">
        <is>
          <t>18</t>
        </is>
      </c>
      <c r="N3386" s="12" t="n">
        <v>10</v>
      </c>
      <c r="O3386" s="12" t="n">
        <v>1</v>
      </c>
      <c r="P3386" s="12" t="n"/>
      <c r="Q3386" s="12" t="n"/>
      <c r="R3386" s="12" t="n"/>
      <c r="S3386" s="12" t="inlineStr">
        <is>
          <t>Tray / conduit</t>
        </is>
      </c>
      <c r="T3386" s="16" t="n">
        <v>159</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G-I-0138</t>
        </is>
      </c>
      <c r="B3387" s="12" t="inlineStr">
        <is>
          <t>G</t>
        </is>
      </c>
      <c r="C3387" s="12" t="inlineStr">
        <is>
          <t>Carbon capture</t>
        </is>
      </c>
      <c r="D3387" s="12" t="inlineStr">
        <is>
          <t>Home run JB-CO2 compression 3 -RTD03 to the control / marshalling room</t>
        </is>
      </c>
      <c r="E3387" s="12" t="inlineStr"/>
      <c r="F3387" s="12" t="inlineStr">
        <is>
          <t>CCS F&amp;G / control</t>
        </is>
      </c>
      <c r="G3387" s="12" t="inlineStr">
        <is>
          <t>JB-CO2 compression 3 -RTD03</t>
        </is>
      </c>
      <c r="H3387" s="12" t="inlineStr">
        <is>
          <t>CO2 compression 3 x ~19 MW + dehydration</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6" t="n">
        <v>183</v>
      </c>
      <c r="U3387" s="16" t="n">
        <v>105</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G-I-0139</t>
        </is>
      </c>
      <c r="B3388" s="12" t="inlineStr">
        <is>
          <t>G</t>
        </is>
      </c>
      <c r="C3388" s="12" t="inlineStr">
        <is>
          <t>Carbon capture</t>
        </is>
      </c>
      <c r="D3388" s="12" t="inlineStr">
        <is>
          <t>RTD to JB JB-CO2 compression 3 -RTD04: 6 x 1 tri (field cables)</t>
        </is>
      </c>
      <c r="E3388" s="12" t="inlineStr"/>
      <c r="F3388" s="12" t="inlineStr">
        <is>
          <t>CO2 compression 3 x ~19 MW + dehydration</t>
        </is>
      </c>
      <c r="G3388" s="12" t="inlineStr">
        <is>
          <t>JB-CO2 compression 3 -RTD04</t>
        </is>
      </c>
      <c r="H3388" s="12" t="inlineStr">
        <is>
          <t>CO2 compression 3 x ~19 MW + dehydration</t>
        </is>
      </c>
      <c r="I3388" s="12" t="inlineStr">
        <is>
          <t>Instrumentation</t>
        </is>
      </c>
      <c r="J3388" s="12" t="inlineStr">
        <is>
          <t>RTD cable, #18 shielded triads, PLTC</t>
        </is>
      </c>
      <c r="K3388" s="12" t="inlineStr">
        <is>
          <t>RTD|1 tri|18</t>
        </is>
      </c>
      <c r="L3388" s="12" t="inlineStr">
        <is>
          <t>1 tri</t>
        </is>
      </c>
      <c r="M3388" s="12" t="inlineStr">
        <is>
          <t>18</t>
        </is>
      </c>
      <c r="N3388" s="12" t="n">
        <v>6</v>
      </c>
      <c r="O3388" s="12" t="n">
        <v>1</v>
      </c>
      <c r="P3388" s="12" t="n"/>
      <c r="Q3388" s="12" t="n"/>
      <c r="R3388" s="12" t="n"/>
      <c r="S3388" s="12" t="inlineStr">
        <is>
          <t>Tray / conduit</t>
        </is>
      </c>
      <c r="T3388" s="16" t="n">
        <v>159</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G-I-0140</t>
        </is>
      </c>
      <c r="B3389" s="12" t="inlineStr">
        <is>
          <t>G</t>
        </is>
      </c>
      <c r="C3389" s="12" t="inlineStr">
        <is>
          <t>Carbon capture</t>
        </is>
      </c>
      <c r="D3389" s="12" t="inlineStr">
        <is>
          <t>Home run JB-CO2 compression 3 -RTD04 to the control / marshalling room</t>
        </is>
      </c>
      <c r="E3389" s="12" t="inlineStr"/>
      <c r="F3389" s="12" t="inlineStr">
        <is>
          <t>CCS F&amp;G / control</t>
        </is>
      </c>
      <c r="G3389" s="12" t="inlineStr">
        <is>
          <t>JB-CO2 compression 3 -RTD04</t>
        </is>
      </c>
      <c r="H3389" s="12" t="inlineStr">
        <is>
          <t>CO2 compression 3 x ~19 MW + dehydration</t>
        </is>
      </c>
      <c r="I3389" s="12" t="inlineStr">
        <is>
          <t>Instrumentation</t>
        </is>
      </c>
      <c r="J3389" s="12" t="inlineStr">
        <is>
          <t>RTD cable, #18 shielded triads, PLTC</t>
        </is>
      </c>
      <c r="K3389" s="12" t="inlineStr">
        <is>
          <t>RTD|12 tri|18</t>
        </is>
      </c>
      <c r="L3389" s="12" t="inlineStr">
        <is>
          <t>12 tri</t>
        </is>
      </c>
      <c r="M3389" s="12" t="inlineStr">
        <is>
          <t>18</t>
        </is>
      </c>
      <c r="N3389" s="12" t="n">
        <v>1</v>
      </c>
      <c r="O3389" s="12" t="n">
        <v>1</v>
      </c>
      <c r="P3389" s="12" t="n"/>
      <c r="Q3389" s="12" t="n"/>
      <c r="R3389" s="12" t="n"/>
      <c r="S3389" s="12" t="inlineStr">
        <is>
          <t>Duct bank</t>
        </is>
      </c>
      <c r="T3389" s="16" t="n">
        <v>183</v>
      </c>
      <c r="U3389" s="16" t="n">
        <v>105</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G-I-0141</t>
        </is>
      </c>
      <c r="B3390" s="12" t="inlineStr">
        <is>
          <t>G</t>
        </is>
      </c>
      <c r="C3390" s="12" t="inlineStr">
        <is>
          <t>Carbon capture</t>
        </is>
      </c>
      <c r="D3390" s="12" t="inlineStr">
        <is>
          <t>Analog instrument to JB JB-CO2 dehydration: m-AI01: 20 x 1 pr (field cables)</t>
        </is>
      </c>
      <c r="E3390" s="12" t="inlineStr"/>
      <c r="F3390" s="12" t="inlineStr">
        <is>
          <t>CO2 dehydration: molecular-sieve towers and regeneration heater</t>
        </is>
      </c>
      <c r="G3390" s="12" t="inlineStr">
        <is>
          <t>JB-CO2 dehydration: m-AI01</t>
        </is>
      </c>
      <c r="H3390" s="12" t="inlineStr">
        <is>
          <t>CO2 dehydration: molecular-sieve towers and regeneration heater</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81</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G-I-0142</t>
        </is>
      </c>
      <c r="B3391" s="12" t="inlineStr">
        <is>
          <t>G</t>
        </is>
      </c>
      <c r="C3391" s="12" t="inlineStr">
        <is>
          <t>Carbon capture</t>
        </is>
      </c>
      <c r="D3391" s="12" t="inlineStr">
        <is>
          <t>Home run JB-CO2 dehydration: m-AI01 to the control / marshalling room</t>
        </is>
      </c>
      <c r="E3391" s="12" t="inlineStr"/>
      <c r="F3391" s="12" t="inlineStr">
        <is>
          <t>CCS F&amp;G / control</t>
        </is>
      </c>
      <c r="G3391" s="12" t="inlineStr">
        <is>
          <t>JB-CO2 dehydration: m-AI01</t>
        </is>
      </c>
      <c r="H3391" s="12" t="inlineStr">
        <is>
          <t>CO2 dehydration: molecular-sieve towers and regeneration heater</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197</v>
      </c>
      <c r="U3391" s="16" t="n">
        <v>229</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G-I-0143</t>
        </is>
      </c>
      <c r="B3392" s="12" t="inlineStr">
        <is>
          <t>G</t>
        </is>
      </c>
      <c r="C3392" s="12" t="inlineStr">
        <is>
          <t>Carbon capture</t>
        </is>
      </c>
      <c r="D3392" s="12" t="inlineStr">
        <is>
          <t>Analog instrument to JB JB-CO2 dehydration: m-AI02: 10 x 1 pr (field cables)</t>
        </is>
      </c>
      <c r="E3392" s="12" t="inlineStr"/>
      <c r="F3392" s="12" t="inlineStr">
        <is>
          <t>CO2 dehydration: molecular-sieve towers and regeneration heater</t>
        </is>
      </c>
      <c r="G3392" s="12" t="inlineStr">
        <is>
          <t>JB-CO2 dehydration: m-AI02</t>
        </is>
      </c>
      <c r="H3392" s="12" t="inlineStr">
        <is>
          <t>CO2 dehydration: molecular-sieve towers and regeneration heater</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6" t="n">
        <v>81</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G-I-0144</t>
        </is>
      </c>
      <c r="B3393" s="12" t="inlineStr">
        <is>
          <t>G</t>
        </is>
      </c>
      <c r="C3393" s="12" t="inlineStr">
        <is>
          <t>Carbon capture</t>
        </is>
      </c>
      <c r="D3393" s="12" t="inlineStr">
        <is>
          <t>Home run JB-CO2 dehydration: m-AI02 to the control / marshalling room</t>
        </is>
      </c>
      <c r="E3393" s="12" t="inlineStr"/>
      <c r="F3393" s="12" t="inlineStr">
        <is>
          <t>CCS F&amp;G / control</t>
        </is>
      </c>
      <c r="G3393" s="12" t="inlineStr">
        <is>
          <t>JB-CO2 dehydration: m-AI02</t>
        </is>
      </c>
      <c r="H3393" s="12" t="inlineStr">
        <is>
          <t>CO2 dehydration: molecular-sieve towers and regeneration heater</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197</v>
      </c>
      <c r="U3393" s="16" t="n">
        <v>229</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G-I-0145</t>
        </is>
      </c>
      <c r="B3394" s="12" t="inlineStr">
        <is>
          <t>G</t>
        </is>
      </c>
      <c r="C3394" s="12" t="inlineStr">
        <is>
          <t>Carbon capture</t>
        </is>
      </c>
      <c r="D3394" s="12" t="inlineStr">
        <is>
          <t>Discrete device to JB JB-CO2 dehydration: m-DI01: 20 x 1 pr (field cables)</t>
        </is>
      </c>
      <c r="E3394" s="12" t="inlineStr"/>
      <c r="F3394" s="12" t="inlineStr">
        <is>
          <t>CO2 dehydration: molecular-sieve towers and regeneration heater</t>
        </is>
      </c>
      <c r="G3394" s="12" t="inlineStr">
        <is>
          <t>JB-CO2 dehydration: m-DI01</t>
        </is>
      </c>
      <c r="H3394" s="12" t="inlineStr">
        <is>
          <t>CO2 dehydration: molecular-sieve towers and regeneration heater</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81</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G-I-0146</t>
        </is>
      </c>
      <c r="B3395" s="12" t="inlineStr">
        <is>
          <t>G</t>
        </is>
      </c>
      <c r="C3395" s="12" t="inlineStr">
        <is>
          <t>Carbon capture</t>
        </is>
      </c>
      <c r="D3395" s="12" t="inlineStr">
        <is>
          <t>Home run JB-CO2 dehydration: m-DI01 to the control / marshalling room</t>
        </is>
      </c>
      <c r="E3395" s="12" t="inlineStr"/>
      <c r="F3395" s="12" t="inlineStr">
        <is>
          <t>CCS F&amp;G / control</t>
        </is>
      </c>
      <c r="G3395" s="12" t="inlineStr">
        <is>
          <t>JB-CO2 dehydration: m-DI01</t>
        </is>
      </c>
      <c r="H3395" s="12" t="inlineStr">
        <is>
          <t>CO2 dehydration: molecular-sieve towers and regeneration heater</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197</v>
      </c>
      <c r="U3395" s="16" t="n">
        <v>229</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G-I-0147</t>
        </is>
      </c>
      <c r="B3396" s="12" t="inlineStr">
        <is>
          <t>G</t>
        </is>
      </c>
      <c r="C3396" s="12" t="inlineStr">
        <is>
          <t>Carbon capture</t>
        </is>
      </c>
      <c r="D3396" s="12" t="inlineStr">
        <is>
          <t>Discrete device to JB JB-CO2 dehydration: m-DI02: 10 x 1 pr (field cables)</t>
        </is>
      </c>
      <c r="E3396" s="12" t="inlineStr"/>
      <c r="F3396" s="12" t="inlineStr">
        <is>
          <t>CO2 dehydration: molecular-sieve towers and regeneration heater</t>
        </is>
      </c>
      <c r="G3396" s="12" t="inlineStr">
        <is>
          <t>JB-CO2 dehydration: m-DI02</t>
        </is>
      </c>
      <c r="H3396" s="12" t="inlineStr">
        <is>
          <t>CO2 dehydration: molecular-sieve towers and regeneration heater</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6" t="n">
        <v>81</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G-I-0148</t>
        </is>
      </c>
      <c r="B3397" s="12" t="inlineStr">
        <is>
          <t>G</t>
        </is>
      </c>
      <c r="C3397" s="12" t="inlineStr">
        <is>
          <t>Carbon capture</t>
        </is>
      </c>
      <c r="D3397" s="12" t="inlineStr">
        <is>
          <t>Home run JB-CO2 dehydration: m-DI02 to the control / marshalling room</t>
        </is>
      </c>
      <c r="E3397" s="12" t="inlineStr"/>
      <c r="F3397" s="12" t="inlineStr">
        <is>
          <t>CCS F&amp;G / control</t>
        </is>
      </c>
      <c r="G3397" s="12" t="inlineStr">
        <is>
          <t>JB-CO2 dehydration: m-DI02</t>
        </is>
      </c>
      <c r="H3397" s="12" t="inlineStr">
        <is>
          <t>CO2 dehydration: molecular-sieve towers and regeneration heater</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197</v>
      </c>
      <c r="U3397" s="16" t="n">
        <v>229</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G-I-0149</t>
        </is>
      </c>
      <c r="B3398" s="12" t="inlineStr">
        <is>
          <t>G</t>
        </is>
      </c>
      <c r="C3398" s="12" t="inlineStr">
        <is>
          <t>Carbon capture</t>
        </is>
      </c>
      <c r="D3398" s="12" t="inlineStr">
        <is>
          <t>Analog instrument to JB JB-CONDITIONAL: HP ex-AI01: 20 x 1 pr (field cables)</t>
        </is>
      </c>
      <c r="E3398" s="12" t="inlineStr"/>
      <c r="F3398" s="12" t="inlineStr">
        <is>
          <t>CONDITIONAL: HP export compressor + metering</t>
        </is>
      </c>
      <c r="G3398" s="12" t="inlineStr">
        <is>
          <t>JB-CONDITIONAL: HP ex-AI01</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G-I-0150</t>
        </is>
      </c>
      <c r="B3399" s="12" t="inlineStr">
        <is>
          <t>G</t>
        </is>
      </c>
      <c r="C3399" s="12" t="inlineStr">
        <is>
          <t>Carbon capture</t>
        </is>
      </c>
      <c r="D3399" s="12" t="inlineStr">
        <is>
          <t>Home run JB-CONDITIONAL: HP ex-AI01 to the control / marshalling room</t>
        </is>
      </c>
      <c r="E3399" s="12" t="inlineStr"/>
      <c r="F3399" s="12" t="inlineStr">
        <is>
          <t>CCS F&amp;G / control</t>
        </is>
      </c>
      <c r="G3399" s="12" t="inlineStr">
        <is>
          <t>JB-CONDITIONAL: HP ex-AI01</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G-I-0151</t>
        </is>
      </c>
      <c r="B3400" s="12" t="inlineStr">
        <is>
          <t>G</t>
        </is>
      </c>
      <c r="C3400" s="12" t="inlineStr">
        <is>
          <t>Carbon capture</t>
        </is>
      </c>
      <c r="D3400" s="12" t="inlineStr">
        <is>
          <t>Analog instrument to JB JB-CONDITIONAL: HP ex-AI02: 20 x 1 pr (field cables)</t>
        </is>
      </c>
      <c r="E3400" s="12" t="inlineStr"/>
      <c r="F3400" s="12" t="inlineStr">
        <is>
          <t>CONDITIONAL: HP export compressor + metering</t>
        </is>
      </c>
      <c r="G3400" s="12" t="inlineStr">
        <is>
          <t>JB-CONDITIONAL: HP ex-AI02</t>
        </is>
      </c>
      <c r="H3400" s="12" t="inlineStr">
        <is>
          <t>CONDITIONAL: HP export compressor + metering</t>
        </is>
      </c>
      <c r="I3400" s="12" t="inlineStr">
        <is>
          <t>Instrumentation</t>
        </is>
      </c>
      <c r="J3400" s="12" t="inlineStr">
        <is>
          <t>Instrumentation ITC / PLTC, IS, #18 shielded pairs, blue jacket</t>
        </is>
      </c>
      <c r="K3400" s="12" t="inlineStr">
        <is>
          <t>ITC|1 pr|16</t>
        </is>
      </c>
      <c r="L3400" s="12" t="inlineStr">
        <is>
          <t>1 pr</t>
        </is>
      </c>
      <c r="M3400" s="12" t="inlineStr">
        <is>
          <t>16</t>
        </is>
      </c>
      <c r="N3400" s="12" t="n">
        <v>20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G-I-0152</t>
        </is>
      </c>
      <c r="B3401" s="12" t="inlineStr">
        <is>
          <t>G</t>
        </is>
      </c>
      <c r="C3401" s="12" t="inlineStr">
        <is>
          <t>Carbon capture</t>
        </is>
      </c>
      <c r="D3401" s="12" t="inlineStr">
        <is>
          <t>Home run JB-CONDITIONAL: HP ex-AI02 to the control / marshalling room</t>
        </is>
      </c>
      <c r="E3401" s="12" t="inlineStr"/>
      <c r="F3401" s="12" t="inlineStr">
        <is>
          <t>CCS F&amp;G / control</t>
        </is>
      </c>
      <c r="G3401" s="12" t="inlineStr">
        <is>
          <t>JB-CONDITIONAL: HP ex-AI02</t>
        </is>
      </c>
      <c r="H3401" s="12" t="inlineStr">
        <is>
          <t>CONDITIONAL: HP export compressor + metering</t>
        </is>
      </c>
      <c r="I3401" s="12" t="inlineStr">
        <is>
          <t>Instrumentation</t>
        </is>
      </c>
      <c r="J3401" s="12" t="inlineStr">
        <is>
          <t>Instrumentation ITC / PLTC, IS, #18 shielded pairs, blue jacket</t>
        </is>
      </c>
      <c r="K3401" s="12" t="inlineStr">
        <is>
          <t>ITC|24 pr|18</t>
        </is>
      </c>
      <c r="L3401" s="12" t="inlineStr">
        <is>
          <t>24 pr</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G-I-0153</t>
        </is>
      </c>
      <c r="B3402" s="12" t="inlineStr">
        <is>
          <t>G</t>
        </is>
      </c>
      <c r="C3402" s="12" t="inlineStr">
        <is>
          <t>Carbon capture</t>
        </is>
      </c>
      <c r="D3402" s="12" t="inlineStr">
        <is>
          <t>Analog instrument to JB JB-CONDITIONAL: HP ex-AI03: 20 x 1 pr (field cables)</t>
        </is>
      </c>
      <c r="E3402" s="12" t="inlineStr"/>
      <c r="F3402" s="12" t="inlineStr">
        <is>
          <t>CONDITIONAL: HP export compressor + metering</t>
        </is>
      </c>
      <c r="G3402" s="12" t="inlineStr">
        <is>
          <t>JB-CONDITIONAL: HP ex-AI03</t>
        </is>
      </c>
      <c r="H3402" s="12" t="inlineStr">
        <is>
          <t>CONDITIONAL: HP export compressor + metering</t>
        </is>
      </c>
      <c r="I3402" s="12" t="inlineStr">
        <is>
          <t>Instrumentation</t>
        </is>
      </c>
      <c r="J3402" s="12" t="inlineStr">
        <is>
          <t>Instrumentation ITC / PLTC, IS, #18 shielded pairs, blue jacket</t>
        </is>
      </c>
      <c r="K3402" s="12" t="inlineStr">
        <is>
          <t>ITC|1 pr|16</t>
        </is>
      </c>
      <c r="L3402" s="12" t="inlineStr">
        <is>
          <t>1 pr</t>
        </is>
      </c>
      <c r="M3402" s="12" t="inlineStr">
        <is>
          <t>16</t>
        </is>
      </c>
      <c r="N3402" s="12" t="n">
        <v>20</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G-I-0154</t>
        </is>
      </c>
      <c r="B3403" s="12" t="inlineStr">
        <is>
          <t>G</t>
        </is>
      </c>
      <c r="C3403" s="12" t="inlineStr">
        <is>
          <t>Carbon capture</t>
        </is>
      </c>
      <c r="D3403" s="12" t="inlineStr">
        <is>
          <t>Home run JB-CONDITIONAL: HP ex-AI03 to the control / marshalling room</t>
        </is>
      </c>
      <c r="E3403" s="12" t="inlineStr"/>
      <c r="F3403" s="12" t="inlineStr">
        <is>
          <t>CCS F&amp;G / control</t>
        </is>
      </c>
      <c r="G3403" s="12" t="inlineStr">
        <is>
          <t>JB-CONDITIONAL: HP ex-AI03</t>
        </is>
      </c>
      <c r="H3403" s="12" t="inlineStr">
        <is>
          <t>CONDITIONAL: HP export compressor + metering</t>
        </is>
      </c>
      <c r="I3403" s="12" t="inlineStr">
        <is>
          <t>Instrumentation</t>
        </is>
      </c>
      <c r="J3403" s="12" t="inlineStr">
        <is>
          <t>Instrumentation ITC / PLTC, IS, #18 shielded pairs, blue jacket</t>
        </is>
      </c>
      <c r="K3403" s="12" t="inlineStr">
        <is>
          <t>ITC|24 pr|18</t>
        </is>
      </c>
      <c r="L3403" s="12" t="inlineStr">
        <is>
          <t>24 pr</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G-I-0155</t>
        </is>
      </c>
      <c r="B3404" s="12" t="inlineStr">
        <is>
          <t>G</t>
        </is>
      </c>
      <c r="C3404" s="12" t="inlineStr">
        <is>
          <t>Carbon capture</t>
        </is>
      </c>
      <c r="D3404" s="12" t="inlineStr">
        <is>
          <t>Discrete device to JB JB-CONDITIONAL: HP ex-DI01: 20 x 1 pr (field cables)</t>
        </is>
      </c>
      <c r="E3404" s="12" t="inlineStr"/>
      <c r="F3404" s="12" t="inlineStr">
        <is>
          <t>CONDITIONAL: HP export compressor + metering</t>
        </is>
      </c>
      <c r="G3404" s="12" t="inlineStr">
        <is>
          <t>JB-CONDITIONAL: HP ex-DI01</t>
        </is>
      </c>
      <c r="H3404" s="12" t="inlineStr">
        <is>
          <t>CONDITIONAL: HP export compressor + metering</t>
        </is>
      </c>
      <c r="I3404" s="12" t="inlineStr">
        <is>
          <t>Instrumentation</t>
        </is>
      </c>
      <c r="J3404" s="12" t="inlineStr">
        <is>
          <t>Instrumentation ITC / PLTC, IS, #18 shielded pairs, blue jacket</t>
        </is>
      </c>
      <c r="K3404" s="12" t="inlineStr">
        <is>
          <t>ITC|1 pr|16</t>
        </is>
      </c>
      <c r="L3404" s="12" t="inlineStr">
        <is>
          <t>1 pr</t>
        </is>
      </c>
      <c r="M3404" s="12" t="inlineStr">
        <is>
          <t>16</t>
        </is>
      </c>
      <c r="N3404" s="12" t="n">
        <v>20</v>
      </c>
      <c r="O3404" s="12" t="n">
        <v>1</v>
      </c>
      <c r="P3404" s="12" t="n"/>
      <c r="Q3404" s="12" t="n"/>
      <c r="R3404" s="12" t="n"/>
      <c r="S3404" s="12" t="inlineStr">
        <is>
          <t>Tray / conduit</t>
        </is>
      </c>
      <c r="T3404" s="16" t="n">
        <v>100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G-I-0156</t>
        </is>
      </c>
      <c r="B3405" s="12" t="inlineStr">
        <is>
          <t>G</t>
        </is>
      </c>
      <c r="C3405" s="12" t="inlineStr">
        <is>
          <t>Carbon capture</t>
        </is>
      </c>
      <c r="D3405" s="12" t="inlineStr">
        <is>
          <t>Home run JB-CONDITIONAL: HP ex-DI01 to the control / marshalling room</t>
        </is>
      </c>
      <c r="E3405" s="12" t="inlineStr"/>
      <c r="F3405" s="12" t="inlineStr">
        <is>
          <t>CCS F&amp;G / control</t>
        </is>
      </c>
      <c r="G3405" s="12" t="inlineStr">
        <is>
          <t>JB-CONDITIONAL: HP ex-DI01</t>
        </is>
      </c>
      <c r="H3405" s="12" t="inlineStr">
        <is>
          <t>CONDITIONAL: HP export compressor + metering</t>
        </is>
      </c>
      <c r="I3405" s="12" t="inlineStr">
        <is>
          <t>Instrumentation</t>
        </is>
      </c>
      <c r="J3405" s="12" t="inlineStr">
        <is>
          <t>Instrumentation ITC / PLTC, IS, #18 shielded pairs, blue jacket</t>
        </is>
      </c>
      <c r="K3405" s="12" t="inlineStr">
        <is>
          <t>ITC|24 pr|18</t>
        </is>
      </c>
      <c r="L3405" s="12" t="inlineStr">
        <is>
          <t>24 pr</t>
        </is>
      </c>
      <c r="M3405" s="12" t="inlineStr">
        <is>
          <t>18</t>
        </is>
      </c>
      <c r="N3405" s="12" t="n">
        <v>1</v>
      </c>
      <c r="O3405" s="12" t="n">
        <v>1</v>
      </c>
      <c r="P3405" s="12" t="n"/>
      <c r="Q3405" s="12" t="n"/>
      <c r="R3405" s="12" t="n"/>
      <c r="S3405" s="12" t="inlineStr">
        <is>
          <t>Duct bank</t>
        </is>
      </c>
      <c r="T3405" s="16" t="n">
        <v>144</v>
      </c>
      <c r="U3405" s="16" t="n">
        <v>154</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G-I-0157</t>
        </is>
      </c>
      <c r="B3406" s="12" t="inlineStr">
        <is>
          <t>G</t>
        </is>
      </c>
      <c r="C3406" s="12" t="inlineStr">
        <is>
          <t>Carbon capture</t>
        </is>
      </c>
      <c r="D3406" s="12" t="inlineStr">
        <is>
          <t>Discrete device to JB JB-CONDITIONAL: HP ex-DI02: 20 x 1 pr (field cables)</t>
        </is>
      </c>
      <c r="E3406" s="12" t="inlineStr"/>
      <c r="F3406" s="12" t="inlineStr">
        <is>
          <t>CONDITIONAL: HP export compressor + metering</t>
        </is>
      </c>
      <c r="G3406" s="12" t="inlineStr">
        <is>
          <t>JB-CONDITIONAL: HP ex-DI02</t>
        </is>
      </c>
      <c r="H3406" s="12" t="inlineStr">
        <is>
          <t>CONDITIONAL: HP export compressor + metering</t>
        </is>
      </c>
      <c r="I3406" s="12" t="inlineStr">
        <is>
          <t>Instrumentation</t>
        </is>
      </c>
      <c r="J3406" s="12" t="inlineStr">
        <is>
          <t>Instrumentation ITC / PLTC, IS, #18 shielded pairs, blue jacket</t>
        </is>
      </c>
      <c r="K3406" s="12" t="inlineStr">
        <is>
          <t>ITC|1 pr|16</t>
        </is>
      </c>
      <c r="L3406" s="12" t="inlineStr">
        <is>
          <t>1 pr</t>
        </is>
      </c>
      <c r="M3406" s="12" t="inlineStr">
        <is>
          <t>16</t>
        </is>
      </c>
      <c r="N3406" s="12" t="n">
        <v>20</v>
      </c>
      <c r="O3406" s="12" t="n">
        <v>1</v>
      </c>
      <c r="P3406" s="12" t="n"/>
      <c r="Q3406" s="12" t="n"/>
      <c r="R3406" s="12" t="n"/>
      <c r="S3406" s="12" t="inlineStr">
        <is>
          <t>Tray / conduit</t>
        </is>
      </c>
      <c r="T3406" s="16" t="n">
        <v>100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G-I-0158</t>
        </is>
      </c>
      <c r="B3407" s="12" t="inlineStr">
        <is>
          <t>G</t>
        </is>
      </c>
      <c r="C3407" s="12" t="inlineStr">
        <is>
          <t>Carbon capture</t>
        </is>
      </c>
      <c r="D3407" s="12" t="inlineStr">
        <is>
          <t>Home run JB-CONDITIONAL: HP ex-DI02 to the control / marshalling room</t>
        </is>
      </c>
      <c r="E3407" s="12" t="inlineStr"/>
      <c r="F3407" s="12" t="inlineStr">
        <is>
          <t>CCS F&amp;G / control</t>
        </is>
      </c>
      <c r="G3407" s="12" t="inlineStr">
        <is>
          <t>JB-CONDITIONAL: HP ex-DI02</t>
        </is>
      </c>
      <c r="H3407" s="12" t="inlineStr">
        <is>
          <t>CONDITIONAL: HP export compressor + metering</t>
        </is>
      </c>
      <c r="I3407" s="12" t="inlineStr">
        <is>
          <t>Instrumentation</t>
        </is>
      </c>
      <c r="J3407" s="12" t="inlineStr">
        <is>
          <t>Instrumentation ITC / PLTC, IS, #18 shielded pairs, blue jacket</t>
        </is>
      </c>
      <c r="K3407" s="12" t="inlineStr">
        <is>
          <t>ITC|24 pr|18</t>
        </is>
      </c>
      <c r="L3407" s="12" t="inlineStr">
        <is>
          <t>24 pr</t>
        </is>
      </c>
      <c r="M3407" s="12" t="inlineStr">
        <is>
          <t>18</t>
        </is>
      </c>
      <c r="N3407" s="12" t="n">
        <v>1</v>
      </c>
      <c r="O3407" s="12" t="n">
        <v>1</v>
      </c>
      <c r="P3407" s="12" t="n"/>
      <c r="Q3407" s="12" t="n"/>
      <c r="R3407" s="12" t="n"/>
      <c r="S3407" s="12" t="inlineStr">
        <is>
          <t>Duct bank</t>
        </is>
      </c>
      <c r="T3407" s="16" t="n">
        <v>144</v>
      </c>
      <c r="U3407" s="16" t="n">
        <v>154</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G-I-0159</t>
        </is>
      </c>
      <c r="B3408" s="12" t="inlineStr">
        <is>
          <t>G</t>
        </is>
      </c>
      <c r="C3408" s="12" t="inlineStr">
        <is>
          <t>Carbon capture</t>
        </is>
      </c>
      <c r="D3408" s="12" t="inlineStr">
        <is>
          <t>RTD to JB JB-CONDITIONAL: HP ex-RTD01: 10 x 1 tri (field cables)</t>
        </is>
      </c>
      <c r="E3408" s="12" t="inlineStr"/>
      <c r="F3408" s="12" t="inlineStr">
        <is>
          <t>CONDITIONAL: HP export compressor + metering</t>
        </is>
      </c>
      <c r="G3408" s="12" t="inlineStr">
        <is>
          <t>JB-CONDITIONAL: HP ex-RTD01</t>
        </is>
      </c>
      <c r="H3408" s="12" t="inlineStr">
        <is>
          <t>CONDITIONAL: HP export compressor + metering</t>
        </is>
      </c>
      <c r="I3408" s="12" t="inlineStr">
        <is>
          <t>Instrumentation</t>
        </is>
      </c>
      <c r="J3408" s="12" t="inlineStr">
        <is>
          <t>RTD cable, #18 shielded triads, PLTC</t>
        </is>
      </c>
      <c r="K3408" s="12" t="inlineStr">
        <is>
          <t>RTD|1 tri|18</t>
        </is>
      </c>
      <c r="L3408" s="12" t="inlineStr">
        <is>
          <t>1 tri</t>
        </is>
      </c>
      <c r="M3408" s="12" t="inlineStr">
        <is>
          <t>18</t>
        </is>
      </c>
      <c r="N3408" s="12" t="n">
        <v>10</v>
      </c>
      <c r="O3408" s="12" t="n">
        <v>1</v>
      </c>
      <c r="P3408" s="12" t="n"/>
      <c r="Q3408" s="12" t="n"/>
      <c r="R3408" s="12" t="n"/>
      <c r="S3408" s="12" t="inlineStr">
        <is>
          <t>Tray / conduit</t>
        </is>
      </c>
      <c r="T3408" s="16" t="n">
        <v>100</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G-I-0160</t>
        </is>
      </c>
      <c r="B3409" s="12" t="inlineStr">
        <is>
          <t>G</t>
        </is>
      </c>
      <c r="C3409" s="12" t="inlineStr">
        <is>
          <t>Carbon capture</t>
        </is>
      </c>
      <c r="D3409" s="12" t="inlineStr">
        <is>
          <t>Home run JB-CONDITIONAL: HP ex-RTD01 to the control / marshalling room</t>
        </is>
      </c>
      <c r="E3409" s="12" t="inlineStr"/>
      <c r="F3409" s="12" t="inlineStr">
        <is>
          <t>CCS F&amp;G / control</t>
        </is>
      </c>
      <c r="G3409" s="12" t="inlineStr">
        <is>
          <t>JB-CONDITIONAL: HP ex-RTD01</t>
        </is>
      </c>
      <c r="H3409" s="12" t="inlineStr">
        <is>
          <t>CONDITIONAL: HP export compressor + metering</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6" t="n">
        <v>144</v>
      </c>
      <c r="U3409" s="16" t="n">
        <v>154</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G-I-0161</t>
        </is>
      </c>
      <c r="B3410" s="12" t="inlineStr">
        <is>
          <t>G</t>
        </is>
      </c>
      <c r="C3410" s="12" t="inlineStr">
        <is>
          <t>Carbon capture</t>
        </is>
      </c>
      <c r="D3410" s="12" t="inlineStr">
        <is>
          <t>RTD to JB JB-CONDITIONAL: HP ex-RTD02: 2 x 1 tri (field cables)</t>
        </is>
      </c>
      <c r="E3410" s="12" t="inlineStr"/>
      <c r="F3410" s="12" t="inlineStr">
        <is>
          <t>CONDITIONAL: HP export compressor + metering</t>
        </is>
      </c>
      <c r="G3410" s="12" t="inlineStr">
        <is>
          <t>JB-CONDITIONAL: HP ex-RTD02</t>
        </is>
      </c>
      <c r="H3410" s="12" t="inlineStr">
        <is>
          <t>CONDITIONAL: HP export compressor + metering</t>
        </is>
      </c>
      <c r="I3410" s="12" t="inlineStr">
        <is>
          <t>Instrumentation</t>
        </is>
      </c>
      <c r="J3410" s="12" t="inlineStr">
        <is>
          <t>RTD cable, #18 shielded triads, PLTC</t>
        </is>
      </c>
      <c r="K3410" s="12" t="inlineStr">
        <is>
          <t>RTD|1 tri|18</t>
        </is>
      </c>
      <c r="L3410" s="12" t="inlineStr">
        <is>
          <t>1 tri</t>
        </is>
      </c>
      <c r="M3410" s="12" t="inlineStr">
        <is>
          <t>18</t>
        </is>
      </c>
      <c r="N3410" s="12" t="n">
        <v>2</v>
      </c>
      <c r="O3410" s="12" t="n">
        <v>1</v>
      </c>
      <c r="P3410" s="12" t="n"/>
      <c r="Q3410" s="12" t="n"/>
      <c r="R3410" s="12" t="n"/>
      <c r="S3410" s="12" t="inlineStr">
        <is>
          <t>Tray / conduit</t>
        </is>
      </c>
      <c r="T3410" s="16" t="n">
        <v>100</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G-I-0162</t>
        </is>
      </c>
      <c r="B3411" s="12" t="inlineStr">
        <is>
          <t>G</t>
        </is>
      </c>
      <c r="C3411" s="12" t="inlineStr">
        <is>
          <t>Carbon capture</t>
        </is>
      </c>
      <c r="D3411" s="12" t="inlineStr">
        <is>
          <t>Home run JB-CONDITIONAL: HP ex-RTD02 to the control / marshalling room</t>
        </is>
      </c>
      <c r="E3411" s="12" t="inlineStr"/>
      <c r="F3411" s="12" t="inlineStr">
        <is>
          <t>CCS F&amp;G / control</t>
        </is>
      </c>
      <c r="G3411" s="12" t="inlineStr">
        <is>
          <t>JB-CONDITIONAL: HP ex-RTD02</t>
        </is>
      </c>
      <c r="H3411" s="12" t="inlineStr">
        <is>
          <t>CONDITIONAL: HP export compressor + metering</t>
        </is>
      </c>
      <c r="I3411" s="12" t="inlineStr">
        <is>
          <t>Instrumentation</t>
        </is>
      </c>
      <c r="J3411" s="12" t="inlineStr">
        <is>
          <t>RTD cable, #18 shielded triads, PLTC</t>
        </is>
      </c>
      <c r="K3411" s="12" t="inlineStr">
        <is>
          <t>RTD|12 tri|18</t>
        </is>
      </c>
      <c r="L3411" s="12" t="inlineStr">
        <is>
          <t>12 tri</t>
        </is>
      </c>
      <c r="M3411" s="12" t="inlineStr">
        <is>
          <t>18</t>
        </is>
      </c>
      <c r="N3411" s="12" t="n">
        <v>1</v>
      </c>
      <c r="O3411" s="12" t="n">
        <v>1</v>
      </c>
      <c r="P3411" s="12" t="n"/>
      <c r="Q3411" s="12" t="n"/>
      <c r="R3411" s="12" t="n"/>
      <c r="S3411" s="12" t="inlineStr">
        <is>
          <t>Duct bank</t>
        </is>
      </c>
      <c r="T3411" s="16" t="n">
        <v>144</v>
      </c>
      <c r="U3411" s="16" t="n">
        <v>154</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G-I-0163</t>
        </is>
      </c>
      <c r="B3412" s="12" t="inlineStr">
        <is>
          <t>G</t>
        </is>
      </c>
      <c r="C3412" s="12" t="inlineStr">
        <is>
          <t>Carbon capture</t>
        </is>
      </c>
      <c r="D3412" s="12" t="inlineStr">
        <is>
          <t>Analog instrument to JB JB-DCC-A pumps + wate-AI01: 10 x 1 pr (field cables)</t>
        </is>
      </c>
      <c r="E3412" s="12" t="inlineStr"/>
      <c r="F3412" s="12" t="inlineStr">
        <is>
          <t>DCC-A pumps + water filter</t>
        </is>
      </c>
      <c r="G3412" s="12" t="inlineStr">
        <is>
          <t>JB-DCC-A pumps + wate-AI01</t>
        </is>
      </c>
      <c r="H3412" s="12" t="inlineStr">
        <is>
          <t>DCC-A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G-I-0164</t>
        </is>
      </c>
      <c r="B3413" s="12" t="inlineStr">
        <is>
          <t>G</t>
        </is>
      </c>
      <c r="C3413" s="12" t="inlineStr">
        <is>
          <t>Carbon capture</t>
        </is>
      </c>
      <c r="D3413" s="12" t="inlineStr">
        <is>
          <t>Home run JB-DCC-A pumps + wate-AI01 to the control / marshalling room</t>
        </is>
      </c>
      <c r="E3413" s="12" t="inlineStr"/>
      <c r="F3413" s="12" t="inlineStr">
        <is>
          <t>CCS F&amp;G / control</t>
        </is>
      </c>
      <c r="G3413" s="12" t="inlineStr">
        <is>
          <t>JB-DCC-A pumps + wate-AI01</t>
        </is>
      </c>
      <c r="H3413" s="12" t="inlineStr">
        <is>
          <t>DCC-A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884</v>
      </c>
      <c r="U3413" s="16" t="n">
        <v>233</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G-I-0165</t>
        </is>
      </c>
      <c r="B3414" s="12" t="inlineStr">
        <is>
          <t>G</t>
        </is>
      </c>
      <c r="C3414" s="12" t="inlineStr">
        <is>
          <t>Carbon capture</t>
        </is>
      </c>
      <c r="D3414" s="12" t="inlineStr">
        <is>
          <t>Discrete device to JB JB-DCC-A pumps + wate-DI01: 10 x 1 pr (field cables)</t>
        </is>
      </c>
      <c r="E3414" s="12" t="inlineStr"/>
      <c r="F3414" s="12" t="inlineStr">
        <is>
          <t>DCC-A pumps + water filter</t>
        </is>
      </c>
      <c r="G3414" s="12" t="inlineStr">
        <is>
          <t>JB-DCC-A pumps + wate-DI01</t>
        </is>
      </c>
      <c r="H3414" s="12" t="inlineStr">
        <is>
          <t>DCC-A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G-I-0166</t>
        </is>
      </c>
      <c r="B3415" s="12" t="inlineStr">
        <is>
          <t>G</t>
        </is>
      </c>
      <c r="C3415" s="12" t="inlineStr">
        <is>
          <t>Carbon capture</t>
        </is>
      </c>
      <c r="D3415" s="12" t="inlineStr">
        <is>
          <t>Home run JB-DCC-A pumps + wate-DI01 to the control / marshalling room</t>
        </is>
      </c>
      <c r="E3415" s="12" t="inlineStr"/>
      <c r="F3415" s="12" t="inlineStr">
        <is>
          <t>CCS F&amp;G / control</t>
        </is>
      </c>
      <c r="G3415" s="12" t="inlineStr">
        <is>
          <t>JB-DCC-A pumps + wate-DI01</t>
        </is>
      </c>
      <c r="H3415" s="12" t="inlineStr">
        <is>
          <t>DCC-A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884</v>
      </c>
      <c r="U3415" s="16" t="n">
        <v>233</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G-I-0167</t>
        </is>
      </c>
      <c r="B3416" s="12" t="inlineStr">
        <is>
          <t>G</t>
        </is>
      </c>
      <c r="C3416" s="12" t="inlineStr">
        <is>
          <t>Carbon capture</t>
        </is>
      </c>
      <c r="D3416" s="12" t="inlineStr">
        <is>
          <t>Analog instrument to JB JB-DCC-A-AI01: 20 x 1 pr (field cables)</t>
        </is>
      </c>
      <c r="E3416" s="12" t="inlineStr">
        <is>
          <t>DCC-A</t>
        </is>
      </c>
      <c r="F3416" s="12" t="inlineStr">
        <is>
          <t>DCC-A: direct-contact cooler (quench)</t>
        </is>
      </c>
      <c r="G3416" s="12" t="inlineStr">
        <is>
          <t>JB-DCC-A-AI01</t>
        </is>
      </c>
      <c r="H3416" s="12" t="inlineStr">
        <is>
          <t>DCC-A: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G-I-0168</t>
        </is>
      </c>
      <c r="B3417" s="12" t="inlineStr">
        <is>
          <t>G</t>
        </is>
      </c>
      <c r="C3417" s="12" t="inlineStr">
        <is>
          <t>Carbon capture</t>
        </is>
      </c>
      <c r="D3417" s="12" t="inlineStr">
        <is>
          <t>Home run JB-DCC-A-AI01 to the control / marshalling room</t>
        </is>
      </c>
      <c r="E3417" s="12" t="inlineStr"/>
      <c r="F3417" s="12" t="inlineStr">
        <is>
          <t>CCS F&amp;G / control</t>
        </is>
      </c>
      <c r="G3417" s="12" t="inlineStr">
        <is>
          <t>JB-DCC-A-AI01</t>
        </is>
      </c>
      <c r="H3417" s="12" t="inlineStr">
        <is>
          <t>DCC-A: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861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G-I-0169</t>
        </is>
      </c>
      <c r="B3418" s="12" t="inlineStr">
        <is>
          <t>G</t>
        </is>
      </c>
      <c r="C3418" s="12" t="inlineStr">
        <is>
          <t>Carbon capture</t>
        </is>
      </c>
      <c r="D3418" s="12" t="inlineStr">
        <is>
          <t>Discrete device to JB JB-DCC-A-DI01: 10 x 1 pr (field cables)</t>
        </is>
      </c>
      <c r="E3418" s="12" t="inlineStr">
        <is>
          <t>DCC-A</t>
        </is>
      </c>
      <c r="F3418" s="12" t="inlineStr">
        <is>
          <t>DCC-A: direct-contact cooler (quench)</t>
        </is>
      </c>
      <c r="G3418" s="12" t="inlineStr">
        <is>
          <t>JB-DCC-A-DI01</t>
        </is>
      </c>
      <c r="H3418" s="12" t="inlineStr">
        <is>
          <t>DCC-A: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G-I-0170</t>
        </is>
      </c>
      <c r="B3419" s="12" t="inlineStr">
        <is>
          <t>G</t>
        </is>
      </c>
      <c r="C3419" s="12" t="inlineStr">
        <is>
          <t>Carbon capture</t>
        </is>
      </c>
      <c r="D3419" s="12" t="inlineStr">
        <is>
          <t>Home run JB-DCC-A-DI01 to the control / marshalling room</t>
        </is>
      </c>
      <c r="E3419" s="12" t="inlineStr"/>
      <c r="F3419" s="12" t="inlineStr">
        <is>
          <t>CCS F&amp;G / control</t>
        </is>
      </c>
      <c r="G3419" s="12" t="inlineStr">
        <is>
          <t>JB-DCC-A-DI01</t>
        </is>
      </c>
      <c r="H3419" s="12" t="inlineStr">
        <is>
          <t>DCC-A: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861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G-I-0171</t>
        </is>
      </c>
      <c r="B3420" s="12" t="inlineStr">
        <is>
          <t>G</t>
        </is>
      </c>
      <c r="C3420" s="12" t="inlineStr">
        <is>
          <t>Carbon capture</t>
        </is>
      </c>
      <c r="D3420" s="12" t="inlineStr">
        <is>
          <t>Analog instrument to JB JB-DCC-B pumps + wate-AI01: 10 x 1 pr (field cables)</t>
        </is>
      </c>
      <c r="E3420" s="12" t="inlineStr"/>
      <c r="F3420" s="12" t="inlineStr">
        <is>
          <t>DCC-B pumps + water filter</t>
        </is>
      </c>
      <c r="G3420" s="12" t="inlineStr">
        <is>
          <t>JB-DCC-B pumps + wate-AI01</t>
        </is>
      </c>
      <c r="H3420" s="12" t="inlineStr">
        <is>
          <t>DCC-B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G-I-0172</t>
        </is>
      </c>
      <c r="B3421" s="12" t="inlineStr">
        <is>
          <t>G</t>
        </is>
      </c>
      <c r="C3421" s="12" t="inlineStr">
        <is>
          <t>Carbon capture</t>
        </is>
      </c>
      <c r="D3421" s="12" t="inlineStr">
        <is>
          <t>Home run JB-DCC-B pumps + wate-AI01 to the control / marshalling room</t>
        </is>
      </c>
      <c r="E3421" s="12" t="inlineStr"/>
      <c r="F3421" s="12" t="inlineStr">
        <is>
          <t>CCS F&amp;G / control</t>
        </is>
      </c>
      <c r="G3421" s="12" t="inlineStr">
        <is>
          <t>JB-DCC-B pumps + wate-AI01</t>
        </is>
      </c>
      <c r="H3421" s="12" t="inlineStr">
        <is>
          <t>DCC-B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Tray</t>
        </is>
      </c>
      <c r="T3421" s="16" t="n">
        <v>784</v>
      </c>
      <c r="U3421" s="16" t="n">
        <v>191</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G-I-0173</t>
        </is>
      </c>
      <c r="B3422" s="12" t="inlineStr">
        <is>
          <t>G</t>
        </is>
      </c>
      <c r="C3422" s="12" t="inlineStr">
        <is>
          <t>Carbon capture</t>
        </is>
      </c>
      <c r="D3422" s="12" t="inlineStr">
        <is>
          <t>Discrete device to JB JB-DCC-B pumps + wate-DI01: 10 x 1 pr (field cables)</t>
        </is>
      </c>
      <c r="E3422" s="12" t="inlineStr"/>
      <c r="F3422" s="12" t="inlineStr">
        <is>
          <t>DCC-B pumps + water filter</t>
        </is>
      </c>
      <c r="G3422" s="12" t="inlineStr">
        <is>
          <t>JB-DCC-B pumps + wate-DI01</t>
        </is>
      </c>
      <c r="H3422" s="12" t="inlineStr">
        <is>
          <t>DCC-B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G-I-0174</t>
        </is>
      </c>
      <c r="B3423" s="12" t="inlineStr">
        <is>
          <t>G</t>
        </is>
      </c>
      <c r="C3423" s="12" t="inlineStr">
        <is>
          <t>Carbon capture</t>
        </is>
      </c>
      <c r="D3423" s="12" t="inlineStr">
        <is>
          <t>Home run JB-DCC-B pumps + wate-DI01 to the control / marshalling room</t>
        </is>
      </c>
      <c r="E3423" s="12" t="inlineStr"/>
      <c r="F3423" s="12" t="inlineStr">
        <is>
          <t>CCS F&amp;G / control</t>
        </is>
      </c>
      <c r="G3423" s="12" t="inlineStr">
        <is>
          <t>JB-DCC-B pumps + wate-DI01</t>
        </is>
      </c>
      <c r="H3423" s="12" t="inlineStr">
        <is>
          <t>DCC-B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6" t="n">
        <v>784</v>
      </c>
      <c r="U3423" s="16" t="n">
        <v>191</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G-I-0175</t>
        </is>
      </c>
      <c r="B3424" s="12" t="inlineStr">
        <is>
          <t>G</t>
        </is>
      </c>
      <c r="C3424" s="12" t="inlineStr">
        <is>
          <t>Carbon capture</t>
        </is>
      </c>
      <c r="D3424" s="12" t="inlineStr">
        <is>
          <t>Analog instrument to JB JB-DCC-B-AI01: 20 x 1 pr (field cables)</t>
        </is>
      </c>
      <c r="E3424" s="12" t="inlineStr">
        <is>
          <t>DCC-B</t>
        </is>
      </c>
      <c r="F3424" s="12" t="inlineStr">
        <is>
          <t>DCC-B: direct-contact cooler (quench)</t>
        </is>
      </c>
      <c r="G3424" s="12" t="inlineStr">
        <is>
          <t>JB-DCC-B-AI01</t>
        </is>
      </c>
      <c r="H3424" s="12" t="inlineStr">
        <is>
          <t>DCC-B: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G-I-0176</t>
        </is>
      </c>
      <c r="B3425" s="12" t="inlineStr">
        <is>
          <t>G</t>
        </is>
      </c>
      <c r="C3425" s="12" t="inlineStr">
        <is>
          <t>Carbon capture</t>
        </is>
      </c>
      <c r="D3425" s="12" t="inlineStr">
        <is>
          <t>Home run JB-DCC-B-AI01 to the control / marshalling room</t>
        </is>
      </c>
      <c r="E3425" s="12" t="inlineStr"/>
      <c r="F3425" s="12" t="inlineStr">
        <is>
          <t>CCS F&amp;G / control</t>
        </is>
      </c>
      <c r="G3425" s="12" t="inlineStr">
        <is>
          <t>JB-DCC-B-AI01</t>
        </is>
      </c>
      <c r="H3425" s="12" t="inlineStr">
        <is>
          <t>DCC-B: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701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G-I-0177</t>
        </is>
      </c>
      <c r="B3426" s="12" t="inlineStr">
        <is>
          <t>G</t>
        </is>
      </c>
      <c r="C3426" s="12" t="inlineStr">
        <is>
          <t>Carbon capture</t>
        </is>
      </c>
      <c r="D3426" s="12" t="inlineStr">
        <is>
          <t>Discrete device to JB JB-DCC-B-DI01: 10 x 1 pr (field cables)</t>
        </is>
      </c>
      <c r="E3426" s="12" t="inlineStr">
        <is>
          <t>DCC-B</t>
        </is>
      </c>
      <c r="F3426" s="12" t="inlineStr">
        <is>
          <t>DCC-B: direct-contact cooler (quench)</t>
        </is>
      </c>
      <c r="G3426" s="12" t="inlineStr">
        <is>
          <t>JB-DCC-B-DI01</t>
        </is>
      </c>
      <c r="H3426" s="12" t="inlineStr">
        <is>
          <t>DCC-B: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G-I-0178</t>
        </is>
      </c>
      <c r="B3427" s="12" t="inlineStr">
        <is>
          <t>G</t>
        </is>
      </c>
      <c r="C3427" s="12" t="inlineStr">
        <is>
          <t>Carbon capture</t>
        </is>
      </c>
      <c r="D3427" s="12" t="inlineStr">
        <is>
          <t>Home run JB-DCC-B-DI01 to the control / marshalling room</t>
        </is>
      </c>
      <c r="E3427" s="12" t="inlineStr"/>
      <c r="F3427" s="12" t="inlineStr">
        <is>
          <t>CCS F&amp;G / control</t>
        </is>
      </c>
      <c r="G3427" s="12" t="inlineStr">
        <is>
          <t>JB-DCC-B-DI01</t>
        </is>
      </c>
      <c r="H3427" s="12" t="inlineStr">
        <is>
          <t>DCC-B: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701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G-I-0179</t>
        </is>
      </c>
      <c r="B3428" s="12" t="inlineStr">
        <is>
          <t>G</t>
        </is>
      </c>
      <c r="C3428" s="12" t="inlineStr">
        <is>
          <t>Carbon capture</t>
        </is>
      </c>
      <c r="D3428" s="12" t="inlineStr">
        <is>
          <t>Analog instrument to JB JB-DCC-C pumps + wate-AI01: 10 x 1 pr (field cables)</t>
        </is>
      </c>
      <c r="E3428" s="12" t="inlineStr"/>
      <c r="F3428" s="12" t="inlineStr">
        <is>
          <t>DCC-C pumps + water filter</t>
        </is>
      </c>
      <c r="G3428" s="12" t="inlineStr">
        <is>
          <t>JB-DCC-C pumps + wate-AI01</t>
        </is>
      </c>
      <c r="H3428" s="12" t="inlineStr">
        <is>
          <t>DCC-C pumps + water filter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10</v>
      </c>
      <c r="O3428" s="12" t="n">
        <v>1</v>
      </c>
      <c r="P3428" s="12" t="n"/>
      <c r="Q3428" s="12" t="n"/>
      <c r="R3428" s="12" t="n"/>
      <c r="S3428" s="12" t="inlineStr">
        <is>
          <t>Tray / conduit</t>
        </is>
      </c>
      <c r="T3428" s="16" t="n">
        <v>60</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G-I-0180</t>
        </is>
      </c>
      <c r="B3429" s="12" t="inlineStr">
        <is>
          <t>G</t>
        </is>
      </c>
      <c r="C3429" s="12" t="inlineStr">
        <is>
          <t>Carbon capture</t>
        </is>
      </c>
      <c r="D3429" s="12" t="inlineStr">
        <is>
          <t>Home run JB-DCC-C pumps + wate-AI01 to the control / marshalling room</t>
        </is>
      </c>
      <c r="E3429" s="12" t="inlineStr"/>
      <c r="F3429" s="12" t="inlineStr">
        <is>
          <t>CCS F&amp;G / control</t>
        </is>
      </c>
      <c r="G3429" s="12" t="inlineStr">
        <is>
          <t>JB-DCC-C pumps + wate-AI01</t>
        </is>
      </c>
      <c r="H3429" s="12" t="inlineStr">
        <is>
          <t>DCC-C pumps + water filter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6" t="n">
        <v>564</v>
      </c>
      <c r="U3429" s="16" t="n">
        <v>233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G-I-0181</t>
        </is>
      </c>
      <c r="B3430" s="12" t="inlineStr">
        <is>
          <t>G</t>
        </is>
      </c>
      <c r="C3430" s="12" t="inlineStr">
        <is>
          <t>Carbon capture</t>
        </is>
      </c>
      <c r="D3430" s="12" t="inlineStr">
        <is>
          <t>Discrete device to JB JB-DCC-C pumps + wate-DI01: 10 x 1 pr (field cables)</t>
        </is>
      </c>
      <c r="E3430" s="12" t="inlineStr"/>
      <c r="F3430" s="12" t="inlineStr">
        <is>
          <t>DCC-C pumps + water filter</t>
        </is>
      </c>
      <c r="G3430" s="12" t="inlineStr">
        <is>
          <t>JB-DCC-C pumps + wate-DI01</t>
        </is>
      </c>
      <c r="H3430" s="12" t="inlineStr">
        <is>
          <t>DCC-C pumps + water filter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10</v>
      </c>
      <c r="O3430" s="12" t="n">
        <v>1</v>
      </c>
      <c r="P3430" s="12" t="n"/>
      <c r="Q3430" s="12" t="n"/>
      <c r="R3430" s="12" t="n"/>
      <c r="S3430" s="12" t="inlineStr">
        <is>
          <t>Tray / conduit</t>
        </is>
      </c>
      <c r="T3430" s="16" t="n">
        <v>60</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G-I-0182</t>
        </is>
      </c>
      <c r="B3431" s="12" t="inlineStr">
        <is>
          <t>G</t>
        </is>
      </c>
      <c r="C3431" s="12" t="inlineStr">
        <is>
          <t>Carbon capture</t>
        </is>
      </c>
      <c r="D3431" s="12" t="inlineStr">
        <is>
          <t>Home run JB-DCC-C pumps + wate-DI01 to the control / marshalling room</t>
        </is>
      </c>
      <c r="E3431" s="12" t="inlineStr"/>
      <c r="F3431" s="12" t="inlineStr">
        <is>
          <t>CCS F&amp;G / control</t>
        </is>
      </c>
      <c r="G3431" s="12" t="inlineStr">
        <is>
          <t>JB-DCC-C pumps + wate-DI01</t>
        </is>
      </c>
      <c r="H3431" s="12" t="inlineStr">
        <is>
          <t>DCC-C pumps + water filter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6" t="n">
        <v>564</v>
      </c>
      <c r="U3431" s="16" t="n">
        <v>233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G-I-0183</t>
        </is>
      </c>
      <c r="B3432" s="12" t="inlineStr">
        <is>
          <t>G</t>
        </is>
      </c>
      <c r="C3432" s="12" t="inlineStr">
        <is>
          <t>Carbon capture</t>
        </is>
      </c>
      <c r="D3432" s="12" t="inlineStr">
        <is>
          <t>Analog instrument to JB JB-DCC-C-AI01: 20 x 1 pr (field cables)</t>
        </is>
      </c>
      <c r="E3432" s="12" t="inlineStr">
        <is>
          <t>DCC-C</t>
        </is>
      </c>
      <c r="F3432" s="12" t="inlineStr">
        <is>
          <t>DCC-C: direct-contact cooler (quench)</t>
        </is>
      </c>
      <c r="G3432" s="12" t="inlineStr">
        <is>
          <t>JB-DCC-C-AI01</t>
        </is>
      </c>
      <c r="H3432" s="12" t="inlineStr">
        <is>
          <t>DCC-C: direct-contact cooler (quench)</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20</v>
      </c>
      <c r="O3432" s="12" t="n">
        <v>1</v>
      </c>
      <c r="P3432" s="12" t="n"/>
      <c r="Q3432" s="12" t="n"/>
      <c r="R3432" s="12" t="n"/>
      <c r="S3432" s="12" t="inlineStr">
        <is>
          <t>Tray / conduit</t>
        </is>
      </c>
      <c r="T3432" s="16" t="n">
        <v>121</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G-I-0184</t>
        </is>
      </c>
      <c r="B3433" s="12" t="inlineStr">
        <is>
          <t>G</t>
        </is>
      </c>
      <c r="C3433" s="12" t="inlineStr">
        <is>
          <t>Carbon capture</t>
        </is>
      </c>
      <c r="D3433" s="12" t="inlineStr">
        <is>
          <t>Home run JB-DCC-C-AI01 to the control / marshalling room</t>
        </is>
      </c>
      <c r="E3433" s="12" t="inlineStr"/>
      <c r="F3433" s="12" t="inlineStr">
        <is>
          <t>CCS F&amp;G / control</t>
        </is>
      </c>
      <c r="G3433" s="12" t="inlineStr">
        <is>
          <t>JB-DCC-C-AI01</t>
        </is>
      </c>
      <c r="H3433" s="12" t="inlineStr">
        <is>
          <t>DCC-C: direct-contact cooler (quench)</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541</v>
      </c>
      <c r="U3433" s="16" t="n">
        <v>129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G-I-0185</t>
        </is>
      </c>
      <c r="B3434" s="12" t="inlineStr">
        <is>
          <t>G</t>
        </is>
      </c>
      <c r="C3434" s="12" t="inlineStr">
        <is>
          <t>Carbon capture</t>
        </is>
      </c>
      <c r="D3434" s="12" t="inlineStr">
        <is>
          <t>Discrete device to JB JB-DCC-C-DI01: 10 x 1 pr (field cables)</t>
        </is>
      </c>
      <c r="E3434" s="12" t="inlineStr">
        <is>
          <t>DCC-C</t>
        </is>
      </c>
      <c r="F3434" s="12" t="inlineStr">
        <is>
          <t>DCC-C: direct-contact cooler (quench)</t>
        </is>
      </c>
      <c r="G3434" s="12" t="inlineStr">
        <is>
          <t>JB-DCC-C-DI01</t>
        </is>
      </c>
      <c r="H3434" s="12" t="inlineStr">
        <is>
          <t>DCC-C: direct-contact cooler (quench)</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6" t="n">
        <v>121</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G-I-0186</t>
        </is>
      </c>
      <c r="B3435" s="12" t="inlineStr">
        <is>
          <t>G</t>
        </is>
      </c>
      <c r="C3435" s="12" t="inlineStr">
        <is>
          <t>Carbon capture</t>
        </is>
      </c>
      <c r="D3435" s="12" t="inlineStr">
        <is>
          <t>Home run JB-DCC-C-DI01 to the control / marshalling room</t>
        </is>
      </c>
      <c r="E3435" s="12" t="inlineStr"/>
      <c r="F3435" s="12" t="inlineStr">
        <is>
          <t>CCS F&amp;G / control</t>
        </is>
      </c>
      <c r="G3435" s="12" t="inlineStr">
        <is>
          <t>JB-DCC-C-DI01</t>
        </is>
      </c>
      <c r="H3435" s="12" t="inlineStr">
        <is>
          <t>DCC-C: direct-contact cooler (quench)</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541</v>
      </c>
      <c r="U3435" s="16" t="n">
        <v>129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G-I-0187</t>
        </is>
      </c>
      <c r="B3436" s="12" t="inlineStr">
        <is>
          <t>G</t>
        </is>
      </c>
      <c r="C3436" s="12" t="inlineStr">
        <is>
          <t>Carbon capture</t>
        </is>
      </c>
      <c r="D3436" s="12" t="inlineStr">
        <is>
          <t>Analog instrument to JB JB-DMP-A-AI01: 8 x 1 pr (field cables)</t>
        </is>
      </c>
      <c r="E3436" s="12" t="inlineStr">
        <is>
          <t>DMP-A</t>
        </is>
      </c>
      <c r="F3436" s="12" t="inlineStr">
        <is>
          <t>DMP-A: diverter / bypass damper</t>
        </is>
      </c>
      <c r="G3436" s="12" t="inlineStr">
        <is>
          <t>JB-DMP-A-AI01</t>
        </is>
      </c>
      <c r="H3436" s="12" t="inlineStr">
        <is>
          <t>DMP-A: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G-I-0188</t>
        </is>
      </c>
      <c r="B3437" s="12" t="inlineStr">
        <is>
          <t>G</t>
        </is>
      </c>
      <c r="C3437" s="12" t="inlineStr">
        <is>
          <t>Carbon capture</t>
        </is>
      </c>
      <c r="D3437" s="12" t="inlineStr">
        <is>
          <t>Home run JB-DMP-A-AI01 to the control / marshalling room</t>
        </is>
      </c>
      <c r="E3437" s="12" t="inlineStr"/>
      <c r="F3437" s="12" t="inlineStr">
        <is>
          <t>CCS F&amp;G / control</t>
        </is>
      </c>
      <c r="G3437" s="12" t="inlineStr">
        <is>
          <t>JB-DMP-A-AI01</t>
        </is>
      </c>
      <c r="H3437" s="12" t="inlineStr">
        <is>
          <t>DMP-A: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Tray</t>
        </is>
      </c>
      <c r="T3437" s="16" t="n">
        <v>1230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G-I-0189</t>
        </is>
      </c>
      <c r="B3438" s="12" t="inlineStr">
        <is>
          <t>G</t>
        </is>
      </c>
      <c r="C3438" s="12" t="inlineStr">
        <is>
          <t>Carbon capture</t>
        </is>
      </c>
      <c r="D3438" s="12" t="inlineStr">
        <is>
          <t>Discrete device to JB JB-DMP-A-DI01: 16 x 1 pr (field cables)</t>
        </is>
      </c>
      <c r="E3438" s="12" t="inlineStr">
        <is>
          <t>DMP-A</t>
        </is>
      </c>
      <c r="F3438" s="12" t="inlineStr">
        <is>
          <t>DMP-A: diverter / bypass damper</t>
        </is>
      </c>
      <c r="G3438" s="12" t="inlineStr">
        <is>
          <t>JB-DMP-A-DI01</t>
        </is>
      </c>
      <c r="H3438" s="12" t="inlineStr">
        <is>
          <t>DMP-A: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G-I-0190</t>
        </is>
      </c>
      <c r="B3439" s="12" t="inlineStr">
        <is>
          <t>G</t>
        </is>
      </c>
      <c r="C3439" s="12" t="inlineStr">
        <is>
          <t>Carbon capture</t>
        </is>
      </c>
      <c r="D3439" s="12" t="inlineStr">
        <is>
          <t>Home run JB-DMP-A-DI01 to the control / marshalling room</t>
        </is>
      </c>
      <c r="E3439" s="12" t="inlineStr"/>
      <c r="F3439" s="12" t="inlineStr">
        <is>
          <t>CCS F&amp;G / control</t>
        </is>
      </c>
      <c r="G3439" s="12" t="inlineStr">
        <is>
          <t>JB-DMP-A-DI01</t>
        </is>
      </c>
      <c r="H3439" s="12" t="inlineStr">
        <is>
          <t>DMP-A: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Tray</t>
        </is>
      </c>
      <c r="T3439" s="16" t="n">
        <v>1230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G-I-0191</t>
        </is>
      </c>
      <c r="B3440" s="12" t="inlineStr">
        <is>
          <t>G</t>
        </is>
      </c>
      <c r="C3440" s="12" t="inlineStr">
        <is>
          <t>Carbon capture</t>
        </is>
      </c>
      <c r="D3440" s="12" t="inlineStr">
        <is>
          <t>Analog instrument to JB JB-DMP-B-AI01: 8 x 1 pr (field cables)</t>
        </is>
      </c>
      <c r="E3440" s="12" t="inlineStr">
        <is>
          <t>DMP-B</t>
        </is>
      </c>
      <c r="F3440" s="12" t="inlineStr">
        <is>
          <t>DMP-B: diverter / bypass damper</t>
        </is>
      </c>
      <c r="G3440" s="12" t="inlineStr">
        <is>
          <t>JB-DMP-B-AI01</t>
        </is>
      </c>
      <c r="H3440" s="12" t="inlineStr">
        <is>
          <t>DMP-B: diverter / bypass damper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8</v>
      </c>
      <c r="O3440" s="12" t="n">
        <v>1</v>
      </c>
      <c r="P3440" s="12" t="n"/>
      <c r="Q3440" s="12" t="n"/>
      <c r="R3440" s="12" t="n"/>
      <c r="S3440" s="12" t="inlineStr">
        <is>
          <t>Tray / conduit</t>
        </is>
      </c>
      <c r="T3440" s="16" t="n">
        <v>74</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G-I-0192</t>
        </is>
      </c>
      <c r="B3441" s="12" t="inlineStr">
        <is>
          <t>G</t>
        </is>
      </c>
      <c r="C3441" s="12" t="inlineStr">
        <is>
          <t>Carbon capture</t>
        </is>
      </c>
      <c r="D3441" s="12" t="inlineStr">
        <is>
          <t>Home run JB-DMP-B-AI01 to the control / marshalling room</t>
        </is>
      </c>
      <c r="E3441" s="12" t="inlineStr"/>
      <c r="F3441" s="12" t="inlineStr">
        <is>
          <t>CCS F&amp;G / control</t>
        </is>
      </c>
      <c r="G3441" s="12" t="inlineStr">
        <is>
          <t>JB-DMP-B-AI01</t>
        </is>
      </c>
      <c r="H3441" s="12" t="inlineStr">
        <is>
          <t>DMP-B: diverter / bypass damper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1074</v>
      </c>
      <c r="U3441" s="16" t="n">
        <v>189</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G-I-0193</t>
        </is>
      </c>
      <c r="B3442" s="12" t="inlineStr">
        <is>
          <t>G</t>
        </is>
      </c>
      <c r="C3442" s="12" t="inlineStr">
        <is>
          <t>Carbon capture</t>
        </is>
      </c>
      <c r="D3442" s="12" t="inlineStr">
        <is>
          <t>Discrete device to JB JB-DMP-B-DI01: 16 x 1 pr (field cables)</t>
        </is>
      </c>
      <c r="E3442" s="12" t="inlineStr">
        <is>
          <t>DMP-B</t>
        </is>
      </c>
      <c r="F3442" s="12" t="inlineStr">
        <is>
          <t>DMP-B: diverter / bypass damper</t>
        </is>
      </c>
      <c r="G3442" s="12" t="inlineStr">
        <is>
          <t>JB-DMP-B-DI01</t>
        </is>
      </c>
      <c r="H3442" s="12" t="inlineStr">
        <is>
          <t>DMP-B: diverter / bypass damper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16</v>
      </c>
      <c r="O3442" s="12" t="n">
        <v>1</v>
      </c>
      <c r="P3442" s="12" t="n"/>
      <c r="Q3442" s="12" t="n"/>
      <c r="R3442" s="12" t="n"/>
      <c r="S3442" s="12" t="inlineStr">
        <is>
          <t>Tray / conduit</t>
        </is>
      </c>
      <c r="T3442" s="16" t="n">
        <v>74</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G-I-0194</t>
        </is>
      </c>
      <c r="B3443" s="12" t="inlineStr">
        <is>
          <t>G</t>
        </is>
      </c>
      <c r="C3443" s="12" t="inlineStr">
        <is>
          <t>Carbon capture</t>
        </is>
      </c>
      <c r="D3443" s="12" t="inlineStr">
        <is>
          <t>Home run JB-DMP-B-DI01 to the control / marshalling room</t>
        </is>
      </c>
      <c r="E3443" s="12" t="inlineStr"/>
      <c r="F3443" s="12" t="inlineStr">
        <is>
          <t>CCS F&amp;G / control</t>
        </is>
      </c>
      <c r="G3443" s="12" t="inlineStr">
        <is>
          <t>JB-DMP-B-DI01</t>
        </is>
      </c>
      <c r="H3443" s="12" t="inlineStr">
        <is>
          <t>DMP-B: diverter / bypass damper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1074</v>
      </c>
      <c r="U3443" s="16" t="n">
        <v>189</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G-I-0195</t>
        </is>
      </c>
      <c r="B3444" s="12" t="inlineStr">
        <is>
          <t>G</t>
        </is>
      </c>
      <c r="C3444" s="12" t="inlineStr">
        <is>
          <t>Carbon capture</t>
        </is>
      </c>
      <c r="D3444" s="12" t="inlineStr">
        <is>
          <t>Analog instrument to JB JB-DMP-C-AI01: 8 x 1 pr (field cables)</t>
        </is>
      </c>
      <c r="E3444" s="12" t="inlineStr">
        <is>
          <t>DMP-C</t>
        </is>
      </c>
      <c r="F3444" s="12" t="inlineStr">
        <is>
          <t>DMP-C: diverter / bypass damper</t>
        </is>
      </c>
      <c r="G3444" s="12" t="inlineStr">
        <is>
          <t>JB-DMP-C-AI01</t>
        </is>
      </c>
      <c r="H3444" s="12" t="inlineStr">
        <is>
          <t>DMP-C: diverter / bypass damper</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8</v>
      </c>
      <c r="O3444" s="12" t="n">
        <v>1</v>
      </c>
      <c r="P3444" s="12" t="n"/>
      <c r="Q3444" s="12" t="n"/>
      <c r="R3444" s="12" t="n"/>
      <c r="S3444" s="12" t="inlineStr">
        <is>
          <t>Tray / conduit</t>
        </is>
      </c>
      <c r="T3444" s="16" t="n">
        <v>74</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G-I-0196</t>
        </is>
      </c>
      <c r="B3445" s="12" t="inlineStr">
        <is>
          <t>G</t>
        </is>
      </c>
      <c r="C3445" s="12" t="inlineStr">
        <is>
          <t>Carbon capture</t>
        </is>
      </c>
      <c r="D3445" s="12" t="inlineStr">
        <is>
          <t>Home run JB-DMP-C-AI01 to the control / marshalling room</t>
        </is>
      </c>
      <c r="E3445" s="12" t="inlineStr"/>
      <c r="F3445" s="12" t="inlineStr">
        <is>
          <t>CCS F&amp;G / control</t>
        </is>
      </c>
      <c r="G3445" s="12" t="inlineStr">
        <is>
          <t>JB-DMP-C-AI01</t>
        </is>
      </c>
      <c r="H3445" s="12" t="inlineStr">
        <is>
          <t>DMP-C: diverter / bypass damper</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910</v>
      </c>
      <c r="U3445" s="16" t="n">
        <v>193</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G-I-0197</t>
        </is>
      </c>
      <c r="B3446" s="12" t="inlineStr">
        <is>
          <t>G</t>
        </is>
      </c>
      <c r="C3446" s="12" t="inlineStr">
        <is>
          <t>Carbon capture</t>
        </is>
      </c>
      <c r="D3446" s="12" t="inlineStr">
        <is>
          <t>Discrete device to JB JB-DMP-C-DI01: 16 x 1 pr (field cables)</t>
        </is>
      </c>
      <c r="E3446" s="12" t="inlineStr">
        <is>
          <t>DMP-C</t>
        </is>
      </c>
      <c r="F3446" s="12" t="inlineStr">
        <is>
          <t>DMP-C: diverter / bypass damper</t>
        </is>
      </c>
      <c r="G3446" s="12" t="inlineStr">
        <is>
          <t>JB-DMP-C-DI01</t>
        </is>
      </c>
      <c r="H3446" s="12" t="inlineStr">
        <is>
          <t>DMP-C: diverter / bypass damper</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16</v>
      </c>
      <c r="O3446" s="12" t="n">
        <v>1</v>
      </c>
      <c r="P3446" s="12" t="n"/>
      <c r="Q3446" s="12" t="n"/>
      <c r="R3446" s="12" t="n"/>
      <c r="S3446" s="12" t="inlineStr">
        <is>
          <t>Tray / conduit</t>
        </is>
      </c>
      <c r="T3446" s="16" t="n">
        <v>74</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G-I-0198</t>
        </is>
      </c>
      <c r="B3447" s="12" t="inlineStr">
        <is>
          <t>G</t>
        </is>
      </c>
      <c r="C3447" s="12" t="inlineStr">
        <is>
          <t>Carbon capture</t>
        </is>
      </c>
      <c r="D3447" s="12" t="inlineStr">
        <is>
          <t>Home run JB-DMP-C-DI01 to the control / marshalling room</t>
        </is>
      </c>
      <c r="E3447" s="12" t="inlineStr"/>
      <c r="F3447" s="12" t="inlineStr">
        <is>
          <t>CCS F&amp;G / control</t>
        </is>
      </c>
      <c r="G3447" s="12" t="inlineStr">
        <is>
          <t>JB-DMP-C-DI01</t>
        </is>
      </c>
      <c r="H3447" s="12" t="inlineStr">
        <is>
          <t>DMP-C: diverter / bypass damper</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910</v>
      </c>
      <c r="U3447" s="16" t="n">
        <v>193</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G-I-0199</t>
        </is>
      </c>
      <c r="B3448" s="12" t="inlineStr">
        <is>
          <t>G</t>
        </is>
      </c>
      <c r="C3448" s="12" t="inlineStr">
        <is>
          <t>Carbon capture</t>
        </is>
      </c>
      <c r="D3448" s="12" t="inlineStr">
        <is>
          <t>Analog instrument to JB JB-RB-A: reboiler (LP-AI01: 15 x 1 pr (field cables)</t>
        </is>
      </c>
      <c r="E3448" s="12" t="inlineStr"/>
      <c r="F3448" s="12" t="inlineStr">
        <is>
          <t>RB-A: reboiler (LP steam from ST extraction)</t>
        </is>
      </c>
      <c r="G3448" s="12" t="inlineStr">
        <is>
          <t>JB-RB-A: reboiler (LP-AI01</t>
        </is>
      </c>
      <c r="H3448" s="12" t="inlineStr">
        <is>
          <t>RB-A: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G-I-0200</t>
        </is>
      </c>
      <c r="B3449" s="12" t="inlineStr">
        <is>
          <t>G</t>
        </is>
      </c>
      <c r="C3449" s="12" t="inlineStr">
        <is>
          <t>Carbon capture</t>
        </is>
      </c>
      <c r="D3449" s="12" t="inlineStr">
        <is>
          <t>Home run JB-RB-A: reboiler (LP-AI01 to the control / marshalling room</t>
        </is>
      </c>
      <c r="E3449" s="12" t="inlineStr"/>
      <c r="F3449" s="12" t="inlineStr">
        <is>
          <t>CCS F&amp;G / control</t>
        </is>
      </c>
      <c r="G3449" s="12" t="inlineStr">
        <is>
          <t>JB-RB-A: reboiler (LP-AI01</t>
        </is>
      </c>
      <c r="H3449" s="12" t="inlineStr">
        <is>
          <t>RB-A: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266</v>
      </c>
      <c r="U3449" s="16" t="n">
        <v>111</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G-I-0201</t>
        </is>
      </c>
      <c r="B3450" s="12" t="inlineStr">
        <is>
          <t>G</t>
        </is>
      </c>
      <c r="C3450" s="12" t="inlineStr">
        <is>
          <t>Carbon capture</t>
        </is>
      </c>
      <c r="D3450" s="12" t="inlineStr">
        <is>
          <t>Discrete device to JB JB-RB-A: reboiler (LP-DI01: 10 x 1 pr (field cables)</t>
        </is>
      </c>
      <c r="E3450" s="12" t="inlineStr"/>
      <c r="F3450" s="12" t="inlineStr">
        <is>
          <t>RB-A: reboiler (LP steam from ST extraction)</t>
        </is>
      </c>
      <c r="G3450" s="12" t="inlineStr">
        <is>
          <t>JB-RB-A: reboiler (LP-DI01</t>
        </is>
      </c>
      <c r="H3450" s="12" t="inlineStr">
        <is>
          <t>RB-A: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G-I-0202</t>
        </is>
      </c>
      <c r="B3451" s="12" t="inlineStr">
        <is>
          <t>G</t>
        </is>
      </c>
      <c r="C3451" s="12" t="inlineStr">
        <is>
          <t>Carbon capture</t>
        </is>
      </c>
      <c r="D3451" s="12" t="inlineStr">
        <is>
          <t>Home run JB-RB-A: reboiler (LP-DI01 to the control / marshalling room</t>
        </is>
      </c>
      <c r="E3451" s="12" t="inlineStr"/>
      <c r="F3451" s="12" t="inlineStr">
        <is>
          <t>CCS F&amp;G / control</t>
        </is>
      </c>
      <c r="G3451" s="12" t="inlineStr">
        <is>
          <t>JB-RB-A: reboiler (LP-DI01</t>
        </is>
      </c>
      <c r="H3451" s="12" t="inlineStr">
        <is>
          <t>RB-A: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266</v>
      </c>
      <c r="U3451" s="16" t="n">
        <v>111</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G-I-0203</t>
        </is>
      </c>
      <c r="B3452" s="12" t="inlineStr">
        <is>
          <t>G</t>
        </is>
      </c>
      <c r="C3452" s="12" t="inlineStr">
        <is>
          <t>Carbon capture</t>
        </is>
      </c>
      <c r="D3452" s="12" t="inlineStr">
        <is>
          <t>Analog instrument to JB JB-RB-B: reboiler (LP-AI01: 15 x 1 pr (field cables)</t>
        </is>
      </c>
      <c r="E3452" s="12" t="inlineStr"/>
      <c r="F3452" s="12" t="inlineStr">
        <is>
          <t>RB-B: reboiler (LP steam from ST extraction)</t>
        </is>
      </c>
      <c r="G3452" s="12" t="inlineStr">
        <is>
          <t>JB-RB-B: reboiler (LP-AI01</t>
        </is>
      </c>
      <c r="H3452" s="12" t="inlineStr">
        <is>
          <t>RB-B: reboiler (LP steam from ST extraction)</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80</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G-I-0204</t>
        </is>
      </c>
      <c r="B3453" s="12" t="inlineStr">
        <is>
          <t>G</t>
        </is>
      </c>
      <c r="C3453" s="12" t="inlineStr">
        <is>
          <t>Carbon capture</t>
        </is>
      </c>
      <c r="D3453" s="12" t="inlineStr">
        <is>
          <t>Home run JB-RB-B: reboiler (LP-AI01 to the control / marshalling room</t>
        </is>
      </c>
      <c r="E3453" s="12" t="inlineStr"/>
      <c r="F3453" s="12" t="inlineStr">
        <is>
          <t>CCS F&amp;G / control</t>
        </is>
      </c>
      <c r="G3453" s="12" t="inlineStr">
        <is>
          <t>JB-RB-B: reboiler (LP-AI01</t>
        </is>
      </c>
      <c r="H3453" s="12" t="inlineStr">
        <is>
          <t>RB-B: reboiler (LP steam from ST extraction)</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216</v>
      </c>
      <c r="U3453" s="16" t="n">
        <v>111</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G-I-0205</t>
        </is>
      </c>
      <c r="B3454" s="12" t="inlineStr">
        <is>
          <t>G</t>
        </is>
      </c>
      <c r="C3454" s="12" t="inlineStr">
        <is>
          <t>Carbon capture</t>
        </is>
      </c>
      <c r="D3454" s="12" t="inlineStr">
        <is>
          <t>Discrete device to JB JB-RB-B: reboiler (LP-DI01: 10 x 1 pr (field cables)</t>
        </is>
      </c>
      <c r="E3454" s="12" t="inlineStr"/>
      <c r="F3454" s="12" t="inlineStr">
        <is>
          <t>RB-B: reboiler (LP steam from ST extraction)</t>
        </is>
      </c>
      <c r="G3454" s="12" t="inlineStr">
        <is>
          <t>JB-RB-B: reboiler (LP-DI01</t>
        </is>
      </c>
      <c r="H3454" s="12" t="inlineStr">
        <is>
          <t>RB-B: reboiler (LP steam from ST extraction)</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80</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G-I-0206</t>
        </is>
      </c>
      <c r="B3455" s="12" t="inlineStr">
        <is>
          <t>G</t>
        </is>
      </c>
      <c r="C3455" s="12" t="inlineStr">
        <is>
          <t>Carbon capture</t>
        </is>
      </c>
      <c r="D3455" s="12" t="inlineStr">
        <is>
          <t>Home run JB-RB-B: reboiler (LP-DI01 to the control / marshalling room</t>
        </is>
      </c>
      <c r="E3455" s="12" t="inlineStr"/>
      <c r="F3455" s="12" t="inlineStr">
        <is>
          <t>CCS F&amp;G / control</t>
        </is>
      </c>
      <c r="G3455" s="12" t="inlineStr">
        <is>
          <t>JB-RB-B: reboiler (LP-DI01</t>
        </is>
      </c>
      <c r="H3455" s="12" t="inlineStr">
        <is>
          <t>RB-B: reboiler (LP steam from ST extraction)</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216</v>
      </c>
      <c r="U3455" s="16" t="n">
        <v>111</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G-I-0207</t>
        </is>
      </c>
      <c r="B3456" s="12" t="inlineStr">
        <is>
          <t>G</t>
        </is>
      </c>
      <c r="C3456" s="12" t="inlineStr">
        <is>
          <t>Carbon capture</t>
        </is>
      </c>
      <c r="D3456" s="12" t="inlineStr">
        <is>
          <t>Analog instrument to JB JB-RB-C: reboiler (LP-AI01: 15 x 1 pr (field cables)</t>
        </is>
      </c>
      <c r="E3456" s="12" t="inlineStr"/>
      <c r="F3456" s="12" t="inlineStr">
        <is>
          <t>RB-C: reboiler (LP steam from ST extraction)</t>
        </is>
      </c>
      <c r="G3456" s="12" t="inlineStr">
        <is>
          <t>JB-RB-C: reboiler (LP-AI01</t>
        </is>
      </c>
      <c r="H3456" s="12" t="inlineStr">
        <is>
          <t>RB-C: reboiler (LP steam from ST extraction)</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15</v>
      </c>
      <c r="O3456" s="12" t="n">
        <v>1</v>
      </c>
      <c r="P3456" s="12" t="n"/>
      <c r="Q3456" s="12" t="n"/>
      <c r="R3456" s="12" t="n"/>
      <c r="S3456" s="12" t="inlineStr">
        <is>
          <t>Tray / conduit</t>
        </is>
      </c>
      <c r="T3456" s="16" t="n">
        <v>80</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G-I-0208</t>
        </is>
      </c>
      <c r="B3457" s="12" t="inlineStr">
        <is>
          <t>G</t>
        </is>
      </c>
      <c r="C3457" s="12" t="inlineStr">
        <is>
          <t>Carbon capture</t>
        </is>
      </c>
      <c r="D3457" s="12" t="inlineStr">
        <is>
          <t>Home run JB-RB-C: reboiler (LP-AI01 to the control / marshalling room</t>
        </is>
      </c>
      <c r="E3457" s="12" t="inlineStr"/>
      <c r="F3457" s="12" t="inlineStr">
        <is>
          <t>CCS F&amp;G / control</t>
        </is>
      </c>
      <c r="G3457" s="12" t="inlineStr">
        <is>
          <t>JB-RB-C: reboiler (LP-AI01</t>
        </is>
      </c>
      <c r="H3457" s="12" t="inlineStr">
        <is>
          <t>RB-C: reboiler (LP steam from ST extraction)</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Duct bank</t>
        </is>
      </c>
      <c r="T3457" s="16" t="n">
        <v>161</v>
      </c>
      <c r="U3457" s="16" t="n">
        <v>116</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G-I-0209</t>
        </is>
      </c>
      <c r="B3458" s="12" t="inlineStr">
        <is>
          <t>G</t>
        </is>
      </c>
      <c r="C3458" s="12" t="inlineStr">
        <is>
          <t>Carbon capture</t>
        </is>
      </c>
      <c r="D3458" s="12" t="inlineStr">
        <is>
          <t>Discrete device to JB JB-RB-C: reboiler (LP-DI01: 10 x 1 pr (field cables)</t>
        </is>
      </c>
      <c r="E3458" s="12" t="inlineStr"/>
      <c r="F3458" s="12" t="inlineStr">
        <is>
          <t>RB-C: reboiler (LP steam from ST extraction)</t>
        </is>
      </c>
      <c r="G3458" s="12" t="inlineStr">
        <is>
          <t>JB-RB-C: reboiler (LP-DI01</t>
        </is>
      </c>
      <c r="H3458" s="12" t="inlineStr">
        <is>
          <t>RB-C: reboiler (LP steam from ST extraction)</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10</v>
      </c>
      <c r="O3458" s="12" t="n">
        <v>1</v>
      </c>
      <c r="P3458" s="12" t="n"/>
      <c r="Q3458" s="12" t="n"/>
      <c r="R3458" s="12" t="n"/>
      <c r="S3458" s="12" t="inlineStr">
        <is>
          <t>Tray / conduit</t>
        </is>
      </c>
      <c r="T3458" s="16" t="n">
        <v>80</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G-I-0210</t>
        </is>
      </c>
      <c r="B3459" s="12" t="inlineStr">
        <is>
          <t>G</t>
        </is>
      </c>
      <c r="C3459" s="12" t="inlineStr">
        <is>
          <t>Carbon capture</t>
        </is>
      </c>
      <c r="D3459" s="12" t="inlineStr">
        <is>
          <t>Home run JB-RB-C: reboiler (LP-DI01 to the control / marshalling room</t>
        </is>
      </c>
      <c r="E3459" s="12" t="inlineStr"/>
      <c r="F3459" s="12" t="inlineStr">
        <is>
          <t>CCS F&amp;G / control</t>
        </is>
      </c>
      <c r="G3459" s="12" t="inlineStr">
        <is>
          <t>JB-RB-C: reboiler (LP-DI01</t>
        </is>
      </c>
      <c r="H3459" s="12" t="inlineStr">
        <is>
          <t>RB-C: reboiler (LP steam from ST extraction)</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Duct bank</t>
        </is>
      </c>
      <c r="T3459" s="16" t="n">
        <v>161</v>
      </c>
      <c r="U3459" s="16" t="n">
        <v>116</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G-I-0211</t>
        </is>
      </c>
      <c r="B3460" s="12" t="inlineStr">
        <is>
          <t>G</t>
        </is>
      </c>
      <c r="C3460" s="12" t="inlineStr">
        <is>
          <t>Carbon capture</t>
        </is>
      </c>
      <c r="D3460" s="12" t="inlineStr">
        <is>
          <t>Analog instrument to JB JB-Reclaimer (thermal-AI01: 15 x 1 pr (field cables)</t>
        </is>
      </c>
      <c r="E3460" s="12" t="inlineStr"/>
      <c r="F3460" s="12" t="inlineStr">
        <is>
          <t>Reclaimer (thermal, intermittent)</t>
        </is>
      </c>
      <c r="G3460" s="12" t="inlineStr">
        <is>
          <t>JB-Reclaimer (thermal-AI01</t>
        </is>
      </c>
      <c r="H3460" s="12" t="inlineStr">
        <is>
          <t>Reclaimer (thermal, intermittent)</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15</v>
      </c>
      <c r="O3460" s="12" t="n">
        <v>1</v>
      </c>
      <c r="P3460" s="12" t="n"/>
      <c r="Q3460" s="12" t="n"/>
      <c r="R3460" s="12" t="n"/>
      <c r="S3460" s="12" t="inlineStr">
        <is>
          <t>Tray / conduit</t>
        </is>
      </c>
      <c r="T3460" s="16" t="n">
        <v>82</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G-I-0212</t>
        </is>
      </c>
      <c r="B3461" s="12" t="inlineStr">
        <is>
          <t>G</t>
        </is>
      </c>
      <c r="C3461" s="12" t="inlineStr">
        <is>
          <t>Carbon capture</t>
        </is>
      </c>
      <c r="D3461" s="12" t="inlineStr">
        <is>
          <t>Home run JB-Reclaimer (thermal-AI01 to the control / marshalling room</t>
        </is>
      </c>
      <c r="E3461" s="12" t="inlineStr"/>
      <c r="F3461" s="12" t="inlineStr">
        <is>
          <t>CCS F&amp;G / control</t>
        </is>
      </c>
      <c r="G3461" s="12" t="inlineStr">
        <is>
          <t>JB-Reclaimer (thermal-AI01</t>
        </is>
      </c>
      <c r="H3461" s="12" t="inlineStr">
        <is>
          <t>Reclaimer (thermal, intermittent)</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130</v>
      </c>
      <c r="U3461" s="16" t="n">
        <v>102</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G-I-0213</t>
        </is>
      </c>
      <c r="B3462" s="12" t="inlineStr">
        <is>
          <t>G</t>
        </is>
      </c>
      <c r="C3462" s="12" t="inlineStr">
        <is>
          <t>Carbon capture</t>
        </is>
      </c>
      <c r="D3462" s="12" t="inlineStr">
        <is>
          <t>Discrete device to JB JB-Reclaimer (thermal-DI01: 10 x 1 pr (field cables)</t>
        </is>
      </c>
      <c r="E3462" s="12" t="inlineStr"/>
      <c r="F3462" s="12" t="inlineStr">
        <is>
          <t>Reclaimer (thermal, intermittent)</t>
        </is>
      </c>
      <c r="G3462" s="12" t="inlineStr">
        <is>
          <t>JB-Reclaimer (thermal-DI01</t>
        </is>
      </c>
      <c r="H3462" s="12" t="inlineStr">
        <is>
          <t>Reclaimer (thermal, intermittent)</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10</v>
      </c>
      <c r="O3462" s="12" t="n">
        <v>1</v>
      </c>
      <c r="P3462" s="12" t="n"/>
      <c r="Q3462" s="12" t="n"/>
      <c r="R3462" s="12" t="n"/>
      <c r="S3462" s="12" t="inlineStr">
        <is>
          <t>Tray / conduit</t>
        </is>
      </c>
      <c r="T3462" s="16" t="n">
        <v>82</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G-I-0214</t>
        </is>
      </c>
      <c r="B3463" s="12" t="inlineStr">
        <is>
          <t>G</t>
        </is>
      </c>
      <c r="C3463" s="12" t="inlineStr">
        <is>
          <t>Carbon capture</t>
        </is>
      </c>
      <c r="D3463" s="12" t="inlineStr">
        <is>
          <t>Home run JB-Reclaimer (thermal-DI01 to the control / marshalling room</t>
        </is>
      </c>
      <c r="E3463" s="12" t="inlineStr"/>
      <c r="F3463" s="12" t="inlineStr">
        <is>
          <t>CCS F&amp;G / control</t>
        </is>
      </c>
      <c r="G3463" s="12" t="inlineStr">
        <is>
          <t>JB-Reclaimer (thermal-DI01</t>
        </is>
      </c>
      <c r="H3463" s="12" t="inlineStr">
        <is>
          <t>Reclaimer (thermal, intermittent)</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130</v>
      </c>
      <c r="U3463" s="16" t="n">
        <v>102</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G-I-0215</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A</t>
        </is>
      </c>
      <c r="G3464" s="12" t="inlineStr">
        <is>
          <t>JB-Rich/lean pumps, c-AI01</t>
        </is>
      </c>
      <c r="H3464" s="12" t="inlineStr">
        <is>
          <t>Rich/lean pumps, cross exchanger, lean cooler A</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G-I-0216</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A</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Tray</t>
        </is>
      </c>
      <c r="T3465" s="16" t="n">
        <v>834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G-I-0217</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A</t>
        </is>
      </c>
      <c r="G3466" s="12" t="inlineStr">
        <is>
          <t>JB-Rich/lean pumps, c-DI01</t>
        </is>
      </c>
      <c r="H3466" s="12" t="inlineStr">
        <is>
          <t>Rich/lean pumps, cross exchanger, lean cooler A</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G-I-0218</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A</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Tray</t>
        </is>
      </c>
      <c r="T3467" s="16" t="n">
        <v>834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G-I-0219</t>
        </is>
      </c>
      <c r="B3468" s="12" t="inlineStr">
        <is>
          <t>G</t>
        </is>
      </c>
      <c r="C3468" s="12" t="inlineStr">
        <is>
          <t>Carbon capture</t>
        </is>
      </c>
      <c r="D3468" s="12" t="inlineStr">
        <is>
          <t>RTD to JB JB-Rich/lean pumps, c-RTD01: 10 x 1 tri (field cables)</t>
        </is>
      </c>
      <c r="E3468" s="12" t="inlineStr"/>
      <c r="F3468" s="12" t="inlineStr">
        <is>
          <t>Rich/lean pumps, cross exchanger, lean cooler A</t>
        </is>
      </c>
      <c r="G3468" s="12" t="inlineStr">
        <is>
          <t>JB-Rich/lean pumps, c-RTD01</t>
        </is>
      </c>
      <c r="H3468" s="12" t="inlineStr">
        <is>
          <t>Rich/lean pumps, cross exchanger, lean cooler A</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G-I-0220</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A</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Tray</t>
        </is>
      </c>
      <c r="T3469" s="16" t="n">
        <v>834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G-I-0221</t>
        </is>
      </c>
      <c r="B3470" s="12" t="inlineStr">
        <is>
          <t>G</t>
        </is>
      </c>
      <c r="C3470" s="12" t="inlineStr">
        <is>
          <t>Carbon capture</t>
        </is>
      </c>
      <c r="D3470" s="12" t="inlineStr">
        <is>
          <t>RTD to JB JB-Rich/lean pumps, c-RTD02: 2 x 1 tri (field cables)</t>
        </is>
      </c>
      <c r="E3470" s="12" t="inlineStr"/>
      <c r="F3470" s="12" t="inlineStr">
        <is>
          <t>Rich/lean pumps, cross exchanger, lean cooler A</t>
        </is>
      </c>
      <c r="G3470" s="12" t="inlineStr">
        <is>
          <t>JB-Rich/lean pumps, c-RTD02</t>
        </is>
      </c>
      <c r="H3470" s="12" t="inlineStr">
        <is>
          <t>Rich/lean pumps, cross exchanger, lean cooler A</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G-I-0222</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A</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Tray</t>
        </is>
      </c>
      <c r="T3471" s="16" t="n">
        <v>834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G-I-0223</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B</t>
        </is>
      </c>
      <c r="G3472" s="12" t="inlineStr">
        <is>
          <t>JB-Rich/lean pumps, c-AI01</t>
        </is>
      </c>
      <c r="H3472" s="12" t="inlineStr">
        <is>
          <t>Rich/lean pumps, cross exchanger, lean cooler B</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G-I-0224</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B</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674</v>
      </c>
      <c r="U3473" s="16" t="n">
        <v>181</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G-I-0225</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B</t>
        </is>
      </c>
      <c r="G3474" s="12" t="inlineStr">
        <is>
          <t>JB-Rich/lean pumps, c-DI01</t>
        </is>
      </c>
      <c r="H3474" s="12" t="inlineStr">
        <is>
          <t>Rich/lean pumps, cross exchanger, lean cooler B</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G-I-0226</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B</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674</v>
      </c>
      <c r="U3475" s="16" t="n">
        <v>181</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G-I-0227</t>
        </is>
      </c>
      <c r="B3476" s="12" t="inlineStr">
        <is>
          <t>G</t>
        </is>
      </c>
      <c r="C3476" s="12" t="inlineStr">
        <is>
          <t>Carbon capture</t>
        </is>
      </c>
      <c r="D3476" s="12" t="inlineStr">
        <is>
          <t>RTD to JB JB-Rich/lean pumps, c-RTD01: 10 x 1 tri (field cables)</t>
        </is>
      </c>
      <c r="E3476" s="12" t="inlineStr"/>
      <c r="F3476" s="12" t="inlineStr">
        <is>
          <t>Rich/lean pumps, cross exchanger, lean cooler B</t>
        </is>
      </c>
      <c r="G3476" s="12" t="inlineStr">
        <is>
          <t>JB-Rich/lean pumps, c-RTD01</t>
        </is>
      </c>
      <c r="H3476" s="12" t="inlineStr">
        <is>
          <t>Rich/lean pumps, cross exchanger, lean cooler B</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G-I-0228</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B</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674</v>
      </c>
      <c r="U3477" s="16" t="n">
        <v>181</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G-I-0229</t>
        </is>
      </c>
      <c r="B3478" s="12" t="inlineStr">
        <is>
          <t>G</t>
        </is>
      </c>
      <c r="C3478" s="12" t="inlineStr">
        <is>
          <t>Carbon capture</t>
        </is>
      </c>
      <c r="D3478" s="12" t="inlineStr">
        <is>
          <t>RTD to JB JB-Rich/lean pumps, c-RTD02: 2 x 1 tri (field cables)</t>
        </is>
      </c>
      <c r="E3478" s="12" t="inlineStr"/>
      <c r="F3478" s="12" t="inlineStr">
        <is>
          <t>Rich/lean pumps, cross exchanger, lean cooler B</t>
        </is>
      </c>
      <c r="G3478" s="12" t="inlineStr">
        <is>
          <t>JB-Rich/lean pumps, c-RTD02</t>
        </is>
      </c>
      <c r="H3478" s="12" t="inlineStr">
        <is>
          <t>Rich/lean pumps, cross exchanger, lean cooler B</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G-I-0230</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B</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674</v>
      </c>
      <c r="U3479" s="16" t="n">
        <v>181</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G-I-0231</t>
        </is>
      </c>
      <c r="B3480" s="12" t="inlineStr">
        <is>
          <t>G</t>
        </is>
      </c>
      <c r="C3480" s="12" t="inlineStr">
        <is>
          <t>Carbon capture</t>
        </is>
      </c>
      <c r="D3480" s="12" t="inlineStr">
        <is>
          <t>Analog instrument to JB JB-Rich/lean pumps, c-AI01: 20 x 1 pr (field cables)</t>
        </is>
      </c>
      <c r="E3480" s="12" t="inlineStr"/>
      <c r="F3480" s="12" t="inlineStr">
        <is>
          <t>Rich/lean pumps, cross exchanger, lean cooler C</t>
        </is>
      </c>
      <c r="G3480" s="12" t="inlineStr">
        <is>
          <t>JB-Rich/lean pumps, c-AI01</t>
        </is>
      </c>
      <c r="H3480" s="12" t="inlineStr">
        <is>
          <t>Rich/lean pumps, cross exchanger, lean cooler C</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84</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G-I-0232</t>
        </is>
      </c>
      <c r="B3481" s="12" t="inlineStr">
        <is>
          <t>G</t>
        </is>
      </c>
      <c r="C3481" s="12" t="inlineStr">
        <is>
          <t>Carbon capture</t>
        </is>
      </c>
      <c r="D3481" s="12" t="inlineStr">
        <is>
          <t>Home run JB-Rich/lean pumps, c-AI01 to the control / marshalling room</t>
        </is>
      </c>
      <c r="E3481" s="12" t="inlineStr"/>
      <c r="F3481" s="12" t="inlineStr">
        <is>
          <t>CCS F&amp;G / control</t>
        </is>
      </c>
      <c r="G3481" s="12" t="inlineStr">
        <is>
          <t>JB-Rich/lean pumps, c-AI01</t>
        </is>
      </c>
      <c r="H3481" s="12" t="inlineStr">
        <is>
          <t>Rich/lean pumps, cross exchanger, lean cooler C</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299</v>
      </c>
      <c r="U3481" s="16" t="n">
        <v>138</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G-I-0233</t>
        </is>
      </c>
      <c r="B3482" s="12" t="inlineStr">
        <is>
          <t>G</t>
        </is>
      </c>
      <c r="C3482" s="12" t="inlineStr">
        <is>
          <t>Carbon capture</t>
        </is>
      </c>
      <c r="D3482" s="12" t="inlineStr">
        <is>
          <t>Discrete device to JB JB-Rich/lean pumps, c-DI01: 20 x 1 pr (field cables)</t>
        </is>
      </c>
      <c r="E3482" s="12" t="inlineStr"/>
      <c r="F3482" s="12" t="inlineStr">
        <is>
          <t>Rich/lean pumps, cross exchanger, lean cooler C</t>
        </is>
      </c>
      <c r="G3482" s="12" t="inlineStr">
        <is>
          <t>JB-Rich/lean pumps, c-DI01</t>
        </is>
      </c>
      <c r="H3482" s="12" t="inlineStr">
        <is>
          <t>Rich/lean pumps, cross exchanger, lean cooler C</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84</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G-I-0234</t>
        </is>
      </c>
      <c r="B3483" s="12" t="inlineStr">
        <is>
          <t>G</t>
        </is>
      </c>
      <c r="C3483" s="12" t="inlineStr">
        <is>
          <t>Carbon capture</t>
        </is>
      </c>
      <c r="D3483" s="12" t="inlineStr">
        <is>
          <t>Home run JB-Rich/lean pumps, c-DI01 to the control / marshalling room</t>
        </is>
      </c>
      <c r="E3483" s="12" t="inlineStr"/>
      <c r="F3483" s="12" t="inlineStr">
        <is>
          <t>CCS F&amp;G / control</t>
        </is>
      </c>
      <c r="G3483" s="12" t="inlineStr">
        <is>
          <t>JB-Rich/lean pumps, c-DI01</t>
        </is>
      </c>
      <c r="H3483" s="12" t="inlineStr">
        <is>
          <t>Rich/lean pumps, cross exchanger, lean cooler C</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299</v>
      </c>
      <c r="U3483" s="16" t="n">
        <v>138</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G-I-0235</t>
        </is>
      </c>
      <c r="B3484" s="12" t="inlineStr">
        <is>
          <t>G</t>
        </is>
      </c>
      <c r="C3484" s="12" t="inlineStr">
        <is>
          <t>Carbon capture</t>
        </is>
      </c>
      <c r="D3484" s="12" t="inlineStr">
        <is>
          <t>RTD to JB JB-Rich/lean pumps, c-RTD01: 10 x 1 tri (field cables)</t>
        </is>
      </c>
      <c r="E3484" s="12" t="inlineStr"/>
      <c r="F3484" s="12" t="inlineStr">
        <is>
          <t>Rich/lean pumps, cross exchanger, lean cooler C</t>
        </is>
      </c>
      <c r="G3484" s="12" t="inlineStr">
        <is>
          <t>JB-Rich/lean pumps, c-RTD01</t>
        </is>
      </c>
      <c r="H3484" s="12" t="inlineStr">
        <is>
          <t>Rich/lean pumps, cross exchanger, lean cooler C</t>
        </is>
      </c>
      <c r="I3484" s="12" t="inlineStr">
        <is>
          <t>Instrumentation</t>
        </is>
      </c>
      <c r="J3484" s="12" t="inlineStr">
        <is>
          <t>RTD cable, #18 shielded triads, PLTC</t>
        </is>
      </c>
      <c r="K3484" s="12" t="inlineStr">
        <is>
          <t>RTD|1 tri|18</t>
        </is>
      </c>
      <c r="L3484" s="12" t="inlineStr">
        <is>
          <t>1 tri</t>
        </is>
      </c>
      <c r="M3484" s="12" t="inlineStr">
        <is>
          <t>18</t>
        </is>
      </c>
      <c r="N3484" s="12" t="n">
        <v>10</v>
      </c>
      <c r="O3484" s="12" t="n">
        <v>1</v>
      </c>
      <c r="P3484" s="12" t="n"/>
      <c r="Q3484" s="12" t="n"/>
      <c r="R3484" s="12" t="n"/>
      <c r="S3484" s="12" t="inlineStr">
        <is>
          <t>Tray / conduit</t>
        </is>
      </c>
      <c r="T3484" s="16" t="n">
        <v>84</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G-I-0236</t>
        </is>
      </c>
      <c r="B3485" s="12" t="inlineStr">
        <is>
          <t>G</t>
        </is>
      </c>
      <c r="C3485" s="12" t="inlineStr">
        <is>
          <t>Carbon capture</t>
        </is>
      </c>
      <c r="D3485" s="12" t="inlineStr">
        <is>
          <t>Home run JB-Rich/lean pumps, c-RTD01 to the control / marshalling room</t>
        </is>
      </c>
      <c r="E3485" s="12" t="inlineStr"/>
      <c r="F3485" s="12" t="inlineStr">
        <is>
          <t>CCS F&amp;G / control</t>
        </is>
      </c>
      <c r="G3485" s="12" t="inlineStr">
        <is>
          <t>JB-Rich/lean pumps, c-RTD01</t>
        </is>
      </c>
      <c r="H3485" s="12" t="inlineStr">
        <is>
          <t>Rich/lean pumps, cross exchanger, lean cooler C</t>
        </is>
      </c>
      <c r="I3485" s="12" t="inlineStr">
        <is>
          <t>Instrumentation</t>
        </is>
      </c>
      <c r="J3485" s="12" t="inlineStr">
        <is>
          <t>RTD cable, #18 shielded triads, PLTC</t>
        </is>
      </c>
      <c r="K3485" s="12" t="inlineStr">
        <is>
          <t>RTD|12 tri|18</t>
        </is>
      </c>
      <c r="L3485" s="12" t="inlineStr">
        <is>
          <t>12 tri</t>
        </is>
      </c>
      <c r="M3485" s="12" t="inlineStr">
        <is>
          <t>18</t>
        </is>
      </c>
      <c r="N3485" s="12" t="n">
        <v>1</v>
      </c>
      <c r="O3485" s="12" t="n">
        <v>1</v>
      </c>
      <c r="P3485" s="12" t="n"/>
      <c r="Q3485" s="12" t="n"/>
      <c r="R3485" s="12" t="n"/>
      <c r="S3485" s="12" t="inlineStr">
        <is>
          <t>Duct bank</t>
        </is>
      </c>
      <c r="T3485" s="16" t="n">
        <v>299</v>
      </c>
      <c r="U3485" s="16" t="n">
        <v>138</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G-I-0237</t>
        </is>
      </c>
      <c r="B3486" s="12" t="inlineStr">
        <is>
          <t>G</t>
        </is>
      </c>
      <c r="C3486" s="12" t="inlineStr">
        <is>
          <t>Carbon capture</t>
        </is>
      </c>
      <c r="D3486" s="12" t="inlineStr">
        <is>
          <t>RTD to JB JB-Rich/lean pumps, c-RTD02: 2 x 1 tri (field cables)</t>
        </is>
      </c>
      <c r="E3486" s="12" t="inlineStr"/>
      <c r="F3486" s="12" t="inlineStr">
        <is>
          <t>Rich/lean pumps, cross exchanger, lean cooler C</t>
        </is>
      </c>
      <c r="G3486" s="12" t="inlineStr">
        <is>
          <t>JB-Rich/lean pumps, c-RTD02</t>
        </is>
      </c>
      <c r="H3486" s="12" t="inlineStr">
        <is>
          <t>Rich/lean pumps, cross exchanger, lean cooler C</t>
        </is>
      </c>
      <c r="I3486" s="12" t="inlineStr">
        <is>
          <t>Instrumentation</t>
        </is>
      </c>
      <c r="J3486" s="12" t="inlineStr">
        <is>
          <t>RTD cable, #18 shielded triads, PLTC</t>
        </is>
      </c>
      <c r="K3486" s="12" t="inlineStr">
        <is>
          <t>RTD|1 tri|18</t>
        </is>
      </c>
      <c r="L3486" s="12" t="inlineStr">
        <is>
          <t>1 tri</t>
        </is>
      </c>
      <c r="M3486" s="12" t="inlineStr">
        <is>
          <t>18</t>
        </is>
      </c>
      <c r="N3486" s="12" t="n">
        <v>2</v>
      </c>
      <c r="O3486" s="12" t="n">
        <v>1</v>
      </c>
      <c r="P3486" s="12" t="n"/>
      <c r="Q3486" s="12" t="n"/>
      <c r="R3486" s="12" t="n"/>
      <c r="S3486" s="12" t="inlineStr">
        <is>
          <t>Tray / conduit</t>
        </is>
      </c>
      <c r="T3486" s="16" t="n">
        <v>84</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G-I-0238</t>
        </is>
      </c>
      <c r="B3487" s="12" t="inlineStr">
        <is>
          <t>G</t>
        </is>
      </c>
      <c r="C3487" s="12" t="inlineStr">
        <is>
          <t>Carbon capture</t>
        </is>
      </c>
      <c r="D3487" s="12" t="inlineStr">
        <is>
          <t>Home run JB-Rich/lean pumps, c-RTD02 to the control / marshalling room</t>
        </is>
      </c>
      <c r="E3487" s="12" t="inlineStr"/>
      <c r="F3487" s="12" t="inlineStr">
        <is>
          <t>CCS F&amp;G / control</t>
        </is>
      </c>
      <c r="G3487" s="12" t="inlineStr">
        <is>
          <t>JB-Rich/lean pumps, c-RTD02</t>
        </is>
      </c>
      <c r="H3487" s="12" t="inlineStr">
        <is>
          <t>Rich/lean pumps, cross exchanger, lean cooler C</t>
        </is>
      </c>
      <c r="I3487" s="12" t="inlineStr">
        <is>
          <t>Instrumentation</t>
        </is>
      </c>
      <c r="J3487" s="12" t="inlineStr">
        <is>
          <t>RTD cable, #18 shielded triads, PLTC</t>
        </is>
      </c>
      <c r="K3487" s="12" t="inlineStr">
        <is>
          <t>RTD|12 tri|18</t>
        </is>
      </c>
      <c r="L3487" s="12" t="inlineStr">
        <is>
          <t>12 tri</t>
        </is>
      </c>
      <c r="M3487" s="12" t="inlineStr">
        <is>
          <t>18</t>
        </is>
      </c>
      <c r="N3487" s="12" t="n">
        <v>1</v>
      </c>
      <c r="O3487" s="12" t="n">
        <v>1</v>
      </c>
      <c r="P3487" s="12" t="n"/>
      <c r="Q3487" s="12" t="n"/>
      <c r="R3487" s="12" t="n"/>
      <c r="S3487" s="12" t="inlineStr">
        <is>
          <t>Duct bank</t>
        </is>
      </c>
      <c r="T3487" s="16" t="n">
        <v>299</v>
      </c>
      <c r="U3487" s="16" t="n">
        <v>138</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G-I-0239</t>
        </is>
      </c>
      <c r="B3488" s="12" t="inlineStr">
        <is>
          <t>G</t>
        </is>
      </c>
      <c r="C3488" s="12" t="inlineStr">
        <is>
          <t>Carbon capture</t>
        </is>
      </c>
      <c r="D3488" s="12" t="inlineStr">
        <is>
          <t>Analog instrument to JB JB-STR-A-AI01: 20 x 1 pr (field cables)</t>
        </is>
      </c>
      <c r="E3488" s="12" t="inlineStr">
        <is>
          <t>STR-A</t>
        </is>
      </c>
      <c r="F3488" s="12" t="inlineStr">
        <is>
          <t>STR-A: stripper / regenerator (45 ft dia x 207 ft)</t>
        </is>
      </c>
      <c r="G3488" s="12" t="inlineStr">
        <is>
          <t>JB-STR-A-AI01</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20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G-I-0240</t>
        </is>
      </c>
      <c r="B3489" s="12" t="inlineStr">
        <is>
          <t>G</t>
        </is>
      </c>
      <c r="C3489" s="12" t="inlineStr">
        <is>
          <t>Carbon capture</t>
        </is>
      </c>
      <c r="D3489" s="12" t="inlineStr">
        <is>
          <t>Home run JB-STR-A-AI01 to the control / marshalling room</t>
        </is>
      </c>
      <c r="E3489" s="12" t="inlineStr"/>
      <c r="F3489" s="12" t="inlineStr">
        <is>
          <t>CCS F&amp;G / control</t>
        </is>
      </c>
      <c r="G3489" s="12" t="inlineStr">
        <is>
          <t>JB-STR-A-AI01</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G-I-0241</t>
        </is>
      </c>
      <c r="B3490" s="12" t="inlineStr">
        <is>
          <t>G</t>
        </is>
      </c>
      <c r="C3490" s="12" t="inlineStr">
        <is>
          <t>Carbon capture</t>
        </is>
      </c>
      <c r="D3490" s="12" t="inlineStr">
        <is>
          <t>Analog instrument to JB JB-STR-A-AI02: 20 x 1 pr (field cables)</t>
        </is>
      </c>
      <c r="E3490" s="12" t="inlineStr">
        <is>
          <t>STR-A</t>
        </is>
      </c>
      <c r="F3490" s="12" t="inlineStr">
        <is>
          <t>STR-A: stripper / regenerator (45 ft dia x 207 ft)</t>
        </is>
      </c>
      <c r="G3490" s="12" t="inlineStr">
        <is>
          <t>JB-STR-A-AI02</t>
        </is>
      </c>
      <c r="H3490" s="12" t="inlineStr">
        <is>
          <t>STR-A: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G-I-0242</t>
        </is>
      </c>
      <c r="B3491" s="12" t="inlineStr">
        <is>
          <t>G</t>
        </is>
      </c>
      <c r="C3491" s="12" t="inlineStr">
        <is>
          <t>Carbon capture</t>
        </is>
      </c>
      <c r="D3491" s="12" t="inlineStr">
        <is>
          <t>Home run JB-STR-A-AI02 to the control / marshalling room</t>
        </is>
      </c>
      <c r="E3491" s="12" t="inlineStr"/>
      <c r="F3491" s="12" t="inlineStr">
        <is>
          <t>CCS F&amp;G / control</t>
        </is>
      </c>
      <c r="G3491" s="12" t="inlineStr">
        <is>
          <t>JB-STR-A-AI02</t>
        </is>
      </c>
      <c r="H3491" s="12" t="inlineStr">
        <is>
          <t>STR-A: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329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G-I-0243</t>
        </is>
      </c>
      <c r="B3492" s="12" t="inlineStr">
        <is>
          <t>G</t>
        </is>
      </c>
      <c r="C3492" s="12" t="inlineStr">
        <is>
          <t>Carbon capture</t>
        </is>
      </c>
      <c r="D3492" s="12" t="inlineStr">
        <is>
          <t>Analog instrument to JB JB-STR-A-AI03: 10 x 1 pr (field cables)</t>
        </is>
      </c>
      <c r="E3492" s="12" t="inlineStr">
        <is>
          <t>STR-A</t>
        </is>
      </c>
      <c r="F3492" s="12" t="inlineStr">
        <is>
          <t>STR-A: stripper / regenerator (45 ft dia x 207 ft)</t>
        </is>
      </c>
      <c r="G3492" s="12" t="inlineStr">
        <is>
          <t>JB-STR-A-AI03</t>
        </is>
      </c>
      <c r="H3492" s="12" t="inlineStr">
        <is>
          <t>STR-A: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10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G-I-0244</t>
        </is>
      </c>
      <c r="B3493" s="12" t="inlineStr">
        <is>
          <t>G</t>
        </is>
      </c>
      <c r="C3493" s="12" t="inlineStr">
        <is>
          <t>Carbon capture</t>
        </is>
      </c>
      <c r="D3493" s="12" t="inlineStr">
        <is>
          <t>Home run JB-STR-A-AI03 to the control / marshalling room</t>
        </is>
      </c>
      <c r="E3493" s="12" t="inlineStr"/>
      <c r="F3493" s="12" t="inlineStr">
        <is>
          <t>CCS F&amp;G / control</t>
        </is>
      </c>
      <c r="G3493" s="12" t="inlineStr">
        <is>
          <t>JB-STR-A-AI03</t>
        </is>
      </c>
      <c r="H3493" s="12" t="inlineStr">
        <is>
          <t>STR-A: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329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G-I-0245</t>
        </is>
      </c>
      <c r="B3494" s="12" t="inlineStr">
        <is>
          <t>G</t>
        </is>
      </c>
      <c r="C3494" s="12" t="inlineStr">
        <is>
          <t>Carbon capture</t>
        </is>
      </c>
      <c r="D3494" s="12" t="inlineStr">
        <is>
          <t>Discrete device to JB JB-STR-A-DI01: 20 x 1 pr (field cables)</t>
        </is>
      </c>
      <c r="E3494" s="12" t="inlineStr">
        <is>
          <t>STR-A</t>
        </is>
      </c>
      <c r="F3494" s="12" t="inlineStr">
        <is>
          <t>STR-A: stripper / regenerator (45 ft dia x 207 ft)</t>
        </is>
      </c>
      <c r="G3494" s="12" t="inlineStr">
        <is>
          <t>JB-STR-A-DI01</t>
        </is>
      </c>
      <c r="H3494" s="12" t="inlineStr">
        <is>
          <t>STR-A: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G-I-0246</t>
        </is>
      </c>
      <c r="B3495" s="12" t="inlineStr">
        <is>
          <t>G</t>
        </is>
      </c>
      <c r="C3495" s="12" t="inlineStr">
        <is>
          <t>Carbon capture</t>
        </is>
      </c>
      <c r="D3495" s="12" t="inlineStr">
        <is>
          <t>Home run JB-STR-A-DI01 to the control / marshalling room</t>
        </is>
      </c>
      <c r="E3495" s="12" t="inlineStr"/>
      <c r="F3495" s="12" t="inlineStr">
        <is>
          <t>CCS F&amp;G / control</t>
        </is>
      </c>
      <c r="G3495" s="12" t="inlineStr">
        <is>
          <t>JB-STR-A-DI01</t>
        </is>
      </c>
      <c r="H3495" s="12" t="inlineStr">
        <is>
          <t>STR-A: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329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G-I-0247</t>
        </is>
      </c>
      <c r="B3496" s="12" t="inlineStr">
        <is>
          <t>G</t>
        </is>
      </c>
      <c r="C3496" s="12" t="inlineStr">
        <is>
          <t>Carbon capture</t>
        </is>
      </c>
      <c r="D3496" s="12" t="inlineStr">
        <is>
          <t>Discrete device to JB JB-STR-A-DI02: 10 x 1 pr (field cables)</t>
        </is>
      </c>
      <c r="E3496" s="12" t="inlineStr">
        <is>
          <t>STR-A</t>
        </is>
      </c>
      <c r="F3496" s="12" t="inlineStr">
        <is>
          <t>STR-A: stripper / regenerator (45 ft dia x 207 ft)</t>
        </is>
      </c>
      <c r="G3496" s="12" t="inlineStr">
        <is>
          <t>JB-STR-A-DI02</t>
        </is>
      </c>
      <c r="H3496" s="12" t="inlineStr">
        <is>
          <t>STR-A: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10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G-I-0248</t>
        </is>
      </c>
      <c r="B3497" s="12" t="inlineStr">
        <is>
          <t>G</t>
        </is>
      </c>
      <c r="C3497" s="12" t="inlineStr">
        <is>
          <t>Carbon capture</t>
        </is>
      </c>
      <c r="D3497" s="12" t="inlineStr">
        <is>
          <t>Home run JB-STR-A-DI02 to the control / marshalling room</t>
        </is>
      </c>
      <c r="E3497" s="12" t="inlineStr"/>
      <c r="F3497" s="12" t="inlineStr">
        <is>
          <t>CCS F&amp;G / control</t>
        </is>
      </c>
      <c r="G3497" s="12" t="inlineStr">
        <is>
          <t>JB-STR-A-DI02</t>
        </is>
      </c>
      <c r="H3497" s="12" t="inlineStr">
        <is>
          <t>STR-A: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329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G-I-0249</t>
        </is>
      </c>
      <c r="B3498" s="12" t="inlineStr">
        <is>
          <t>G</t>
        </is>
      </c>
      <c r="C3498" s="12" t="inlineStr">
        <is>
          <t>Carbon capture</t>
        </is>
      </c>
      <c r="D3498" s="12" t="inlineStr">
        <is>
          <t>Analog instrument to JB JB-STR-B-AI01: 20 x 1 pr (field cables)</t>
        </is>
      </c>
      <c r="E3498" s="12" t="inlineStr">
        <is>
          <t>STR-B</t>
        </is>
      </c>
      <c r="F3498" s="12" t="inlineStr">
        <is>
          <t>STR-B: stripper / regenerator (45 ft dia x 207 ft)</t>
        </is>
      </c>
      <c r="G3498" s="12" t="inlineStr">
        <is>
          <t>JB-STR-B-AI01</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20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G-I-0250</t>
        </is>
      </c>
      <c r="B3499" s="12" t="inlineStr">
        <is>
          <t>G</t>
        </is>
      </c>
      <c r="C3499" s="12" t="inlineStr">
        <is>
          <t>Carbon capture</t>
        </is>
      </c>
      <c r="D3499" s="12" t="inlineStr">
        <is>
          <t>Home run JB-STR-B-AI01 to the control / marshalling room</t>
        </is>
      </c>
      <c r="E3499" s="12" t="inlineStr"/>
      <c r="F3499" s="12" t="inlineStr">
        <is>
          <t>CCS F&amp;G / control</t>
        </is>
      </c>
      <c r="G3499" s="12" t="inlineStr">
        <is>
          <t>JB-STR-B-AI01</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G-I-0251</t>
        </is>
      </c>
      <c r="B3500" s="12" t="inlineStr">
        <is>
          <t>G</t>
        </is>
      </c>
      <c r="C3500" s="12" t="inlineStr">
        <is>
          <t>Carbon capture</t>
        </is>
      </c>
      <c r="D3500" s="12" t="inlineStr">
        <is>
          <t>Analog instrument to JB JB-STR-B-AI02: 20 x 1 pr (field cables)</t>
        </is>
      </c>
      <c r="E3500" s="12" t="inlineStr">
        <is>
          <t>STR-B</t>
        </is>
      </c>
      <c r="F3500" s="12" t="inlineStr">
        <is>
          <t>STR-B: stripper / regenerator (45 ft dia x 207 ft)</t>
        </is>
      </c>
      <c r="G3500" s="12" t="inlineStr">
        <is>
          <t>JB-STR-B-AI02</t>
        </is>
      </c>
      <c r="H3500" s="12" t="inlineStr">
        <is>
          <t>STR-B: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G-I-0252</t>
        </is>
      </c>
      <c r="B3501" s="12" t="inlineStr">
        <is>
          <t>G</t>
        </is>
      </c>
      <c r="C3501" s="12" t="inlineStr">
        <is>
          <t>Carbon capture</t>
        </is>
      </c>
      <c r="D3501" s="12" t="inlineStr">
        <is>
          <t>Home run JB-STR-B-AI02 to the control / marshalling room</t>
        </is>
      </c>
      <c r="E3501" s="12" t="inlineStr"/>
      <c r="F3501" s="12" t="inlineStr">
        <is>
          <t>CCS F&amp;G / control</t>
        </is>
      </c>
      <c r="G3501" s="12" t="inlineStr">
        <is>
          <t>JB-STR-B-AI02</t>
        </is>
      </c>
      <c r="H3501" s="12" t="inlineStr">
        <is>
          <t>STR-B: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279</v>
      </c>
      <c r="U3501" s="16" t="n">
        <v>106</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G-I-0253</t>
        </is>
      </c>
      <c r="B3502" s="12" t="inlineStr">
        <is>
          <t>G</t>
        </is>
      </c>
      <c r="C3502" s="12" t="inlineStr">
        <is>
          <t>Carbon capture</t>
        </is>
      </c>
      <c r="D3502" s="12" t="inlineStr">
        <is>
          <t>Analog instrument to JB JB-STR-B-AI03: 10 x 1 pr (field cables)</t>
        </is>
      </c>
      <c r="E3502" s="12" t="inlineStr">
        <is>
          <t>STR-B</t>
        </is>
      </c>
      <c r="F3502" s="12" t="inlineStr">
        <is>
          <t>STR-B: stripper / regenerator (45 ft dia x 207 ft)</t>
        </is>
      </c>
      <c r="G3502" s="12" t="inlineStr">
        <is>
          <t>JB-STR-B-AI03</t>
        </is>
      </c>
      <c r="H3502" s="12" t="inlineStr">
        <is>
          <t>STR-B: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10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G-I-0254</t>
        </is>
      </c>
      <c r="B3503" s="12" t="inlineStr">
        <is>
          <t>G</t>
        </is>
      </c>
      <c r="C3503" s="12" t="inlineStr">
        <is>
          <t>Carbon capture</t>
        </is>
      </c>
      <c r="D3503" s="12" t="inlineStr">
        <is>
          <t>Home run JB-STR-B-AI03 to the control / marshalling room</t>
        </is>
      </c>
      <c r="E3503" s="12" t="inlineStr"/>
      <c r="F3503" s="12" t="inlineStr">
        <is>
          <t>CCS F&amp;G / control</t>
        </is>
      </c>
      <c r="G3503" s="12" t="inlineStr">
        <is>
          <t>JB-STR-B-AI03</t>
        </is>
      </c>
      <c r="H3503" s="12" t="inlineStr">
        <is>
          <t>STR-B: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279</v>
      </c>
      <c r="U3503" s="16" t="n">
        <v>106</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G-I-0255</t>
        </is>
      </c>
      <c r="B3504" s="12" t="inlineStr">
        <is>
          <t>G</t>
        </is>
      </c>
      <c r="C3504" s="12" t="inlineStr">
        <is>
          <t>Carbon capture</t>
        </is>
      </c>
      <c r="D3504" s="12" t="inlineStr">
        <is>
          <t>Discrete device to JB JB-STR-B-DI01: 20 x 1 pr (field cables)</t>
        </is>
      </c>
      <c r="E3504" s="12" t="inlineStr">
        <is>
          <t>STR-B</t>
        </is>
      </c>
      <c r="F3504" s="12" t="inlineStr">
        <is>
          <t>STR-B: stripper / regenerator (45 ft dia x 207 ft)</t>
        </is>
      </c>
      <c r="G3504" s="12" t="inlineStr">
        <is>
          <t>JB-STR-B-DI01</t>
        </is>
      </c>
      <c r="H3504" s="12" t="inlineStr">
        <is>
          <t>STR-B: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20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G-I-0256</t>
        </is>
      </c>
      <c r="B3505" s="12" t="inlineStr">
        <is>
          <t>G</t>
        </is>
      </c>
      <c r="C3505" s="12" t="inlineStr">
        <is>
          <t>Carbon capture</t>
        </is>
      </c>
      <c r="D3505" s="12" t="inlineStr">
        <is>
          <t>Home run JB-STR-B-DI01 to the control / marshalling room</t>
        </is>
      </c>
      <c r="E3505" s="12" t="inlineStr"/>
      <c r="F3505" s="12" t="inlineStr">
        <is>
          <t>CCS F&amp;G / control</t>
        </is>
      </c>
      <c r="G3505" s="12" t="inlineStr">
        <is>
          <t>JB-STR-B-DI01</t>
        </is>
      </c>
      <c r="H3505" s="12" t="inlineStr">
        <is>
          <t>STR-B: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279</v>
      </c>
      <c r="U3505" s="16" t="n">
        <v>106</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G-I-0257</t>
        </is>
      </c>
      <c r="B3506" s="12" t="inlineStr">
        <is>
          <t>G</t>
        </is>
      </c>
      <c r="C3506" s="12" t="inlineStr">
        <is>
          <t>Carbon capture</t>
        </is>
      </c>
      <c r="D3506" s="12" t="inlineStr">
        <is>
          <t>Discrete device to JB JB-STR-B-DI02: 10 x 1 pr (field cables)</t>
        </is>
      </c>
      <c r="E3506" s="12" t="inlineStr">
        <is>
          <t>STR-B</t>
        </is>
      </c>
      <c r="F3506" s="12" t="inlineStr">
        <is>
          <t>STR-B: stripper / regenerator (45 ft dia x 207 ft)</t>
        </is>
      </c>
      <c r="G3506" s="12" t="inlineStr">
        <is>
          <t>JB-STR-B-DI02</t>
        </is>
      </c>
      <c r="H3506" s="12" t="inlineStr">
        <is>
          <t>STR-B: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10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G-I-0258</t>
        </is>
      </c>
      <c r="B3507" s="12" t="inlineStr">
        <is>
          <t>G</t>
        </is>
      </c>
      <c r="C3507" s="12" t="inlineStr">
        <is>
          <t>Carbon capture</t>
        </is>
      </c>
      <c r="D3507" s="12" t="inlineStr">
        <is>
          <t>Home run JB-STR-B-DI02 to the control / marshalling room</t>
        </is>
      </c>
      <c r="E3507" s="12" t="inlineStr"/>
      <c r="F3507" s="12" t="inlineStr">
        <is>
          <t>CCS F&amp;G / control</t>
        </is>
      </c>
      <c r="G3507" s="12" t="inlineStr">
        <is>
          <t>JB-STR-B-DI02</t>
        </is>
      </c>
      <c r="H3507" s="12" t="inlineStr">
        <is>
          <t>STR-B: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279</v>
      </c>
      <c r="U3507" s="16" t="n">
        <v>106</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G-I-0259</t>
        </is>
      </c>
      <c r="B3508" s="12" t="inlineStr">
        <is>
          <t>G</t>
        </is>
      </c>
      <c r="C3508" s="12" t="inlineStr">
        <is>
          <t>Carbon capture</t>
        </is>
      </c>
      <c r="D3508" s="12" t="inlineStr">
        <is>
          <t>Analog instrument to JB JB-STR-C-AI01: 20 x 1 pr (field cables)</t>
        </is>
      </c>
      <c r="E3508" s="12" t="inlineStr">
        <is>
          <t>STR-C</t>
        </is>
      </c>
      <c r="F3508" s="12" t="inlineStr">
        <is>
          <t>STR-C: stripper / regenerator (45 ft dia x 207 ft)</t>
        </is>
      </c>
      <c r="G3508" s="12" t="inlineStr">
        <is>
          <t>JB-STR-C-AI01</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G-I-0260</t>
        </is>
      </c>
      <c r="B3509" s="12" t="inlineStr">
        <is>
          <t>G</t>
        </is>
      </c>
      <c r="C3509" s="12" t="inlineStr">
        <is>
          <t>Carbon capture</t>
        </is>
      </c>
      <c r="D3509" s="12" t="inlineStr">
        <is>
          <t>Home run JB-STR-C-AI01 to the control / marshalling room</t>
        </is>
      </c>
      <c r="E3509" s="12" t="inlineStr"/>
      <c r="F3509" s="12" t="inlineStr">
        <is>
          <t>CCS F&amp;G / control</t>
        </is>
      </c>
      <c r="G3509" s="12" t="inlineStr">
        <is>
          <t>JB-STR-C-AI01</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G-I-0261</t>
        </is>
      </c>
      <c r="B3510" s="12" t="inlineStr">
        <is>
          <t>G</t>
        </is>
      </c>
      <c r="C3510" s="12" t="inlineStr">
        <is>
          <t>Carbon capture</t>
        </is>
      </c>
      <c r="D3510" s="12" t="inlineStr">
        <is>
          <t>Analog instrument to JB JB-STR-C-AI02: 20 x 1 pr (field cables)</t>
        </is>
      </c>
      <c r="E3510" s="12" t="inlineStr">
        <is>
          <t>STR-C</t>
        </is>
      </c>
      <c r="F3510" s="12" t="inlineStr">
        <is>
          <t>STR-C: stripper / regenerator (45 ft dia x 207 ft)</t>
        </is>
      </c>
      <c r="G3510" s="12" t="inlineStr">
        <is>
          <t>JB-STR-C-AI02</t>
        </is>
      </c>
      <c r="H3510" s="12" t="inlineStr">
        <is>
          <t>STR-C: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6" t="n">
        <v>153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G-I-0262</t>
        </is>
      </c>
      <c r="B3511" s="12" t="inlineStr">
        <is>
          <t>G</t>
        </is>
      </c>
      <c r="C3511" s="12" t="inlineStr">
        <is>
          <t>Carbon capture</t>
        </is>
      </c>
      <c r="D3511" s="12" t="inlineStr">
        <is>
          <t>Home run JB-STR-C-AI02 to the control / marshalling room</t>
        </is>
      </c>
      <c r="E3511" s="12" t="inlineStr"/>
      <c r="F3511" s="12" t="inlineStr">
        <is>
          <t>CCS F&amp;G / control</t>
        </is>
      </c>
      <c r="G3511" s="12" t="inlineStr">
        <is>
          <t>JB-STR-C-AI02</t>
        </is>
      </c>
      <c r="H3511" s="12" t="inlineStr">
        <is>
          <t>STR-C: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195</v>
      </c>
      <c r="U3511" s="16" t="n">
        <v>162</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G-I-0263</t>
        </is>
      </c>
      <c r="B3512" s="12" t="inlineStr">
        <is>
          <t>G</t>
        </is>
      </c>
      <c r="C3512" s="12" t="inlineStr">
        <is>
          <t>Carbon capture</t>
        </is>
      </c>
      <c r="D3512" s="12" t="inlineStr">
        <is>
          <t>Analog instrument to JB JB-STR-C-AI03: 10 x 1 pr (field cables)</t>
        </is>
      </c>
      <c r="E3512" s="12" t="inlineStr">
        <is>
          <t>STR-C</t>
        </is>
      </c>
      <c r="F3512" s="12" t="inlineStr">
        <is>
          <t>STR-C: stripper / regenerator (45 ft dia x 207 ft)</t>
        </is>
      </c>
      <c r="G3512" s="12" t="inlineStr">
        <is>
          <t>JB-STR-C-AI03</t>
        </is>
      </c>
      <c r="H3512" s="12" t="inlineStr">
        <is>
          <t>STR-C: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153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G-I-0264</t>
        </is>
      </c>
      <c r="B3513" s="12" t="inlineStr">
        <is>
          <t>G</t>
        </is>
      </c>
      <c r="C3513" s="12" t="inlineStr">
        <is>
          <t>Carbon capture</t>
        </is>
      </c>
      <c r="D3513" s="12" t="inlineStr">
        <is>
          <t>Home run JB-STR-C-AI03 to the control / marshalling room</t>
        </is>
      </c>
      <c r="E3513" s="12" t="inlineStr"/>
      <c r="F3513" s="12" t="inlineStr">
        <is>
          <t>CCS F&amp;G / control</t>
        </is>
      </c>
      <c r="G3513" s="12" t="inlineStr">
        <is>
          <t>JB-STR-C-AI03</t>
        </is>
      </c>
      <c r="H3513" s="12" t="inlineStr">
        <is>
          <t>STR-C: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195</v>
      </c>
      <c r="U3513" s="16" t="n">
        <v>162</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G-I-0265</t>
        </is>
      </c>
      <c r="B3514" s="12" t="inlineStr">
        <is>
          <t>G</t>
        </is>
      </c>
      <c r="C3514" s="12" t="inlineStr">
        <is>
          <t>Carbon capture</t>
        </is>
      </c>
      <c r="D3514" s="12" t="inlineStr">
        <is>
          <t>Discrete device to JB JB-STR-C-DI01: 20 x 1 pr (field cables)</t>
        </is>
      </c>
      <c r="E3514" s="12" t="inlineStr">
        <is>
          <t>STR-C</t>
        </is>
      </c>
      <c r="F3514" s="12" t="inlineStr">
        <is>
          <t>STR-C: stripper / regenerator (45 ft dia x 207 ft)</t>
        </is>
      </c>
      <c r="G3514" s="12" t="inlineStr">
        <is>
          <t>JB-STR-C-DI01</t>
        </is>
      </c>
      <c r="H3514" s="12" t="inlineStr">
        <is>
          <t>STR-C: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6" t="n">
        <v>153</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G-I-0266</t>
        </is>
      </c>
      <c r="B3515" s="12" t="inlineStr">
        <is>
          <t>G</t>
        </is>
      </c>
      <c r="C3515" s="12" t="inlineStr">
        <is>
          <t>Carbon capture</t>
        </is>
      </c>
      <c r="D3515" s="12" t="inlineStr">
        <is>
          <t>Home run JB-STR-C-DI01 to the control / marshalling room</t>
        </is>
      </c>
      <c r="E3515" s="12" t="inlineStr"/>
      <c r="F3515" s="12" t="inlineStr">
        <is>
          <t>CCS F&amp;G / control</t>
        </is>
      </c>
      <c r="G3515" s="12" t="inlineStr">
        <is>
          <t>JB-STR-C-DI01</t>
        </is>
      </c>
      <c r="H3515" s="12" t="inlineStr">
        <is>
          <t>STR-C: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6" t="n">
        <v>195</v>
      </c>
      <c r="U3515" s="16" t="n">
        <v>162</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G-I-0267</t>
        </is>
      </c>
      <c r="B3516" s="12" t="inlineStr">
        <is>
          <t>G</t>
        </is>
      </c>
      <c r="C3516" s="12" t="inlineStr">
        <is>
          <t>Carbon capture</t>
        </is>
      </c>
      <c r="D3516" s="12" t="inlineStr">
        <is>
          <t>Discrete device to JB JB-STR-C-DI02: 10 x 1 pr (field cables)</t>
        </is>
      </c>
      <c r="E3516" s="12" t="inlineStr">
        <is>
          <t>STR-C</t>
        </is>
      </c>
      <c r="F3516" s="12" t="inlineStr">
        <is>
          <t>STR-C: stripper / regenerator (45 ft dia x 207 ft)</t>
        </is>
      </c>
      <c r="G3516" s="12" t="inlineStr">
        <is>
          <t>JB-STR-C-DI02</t>
        </is>
      </c>
      <c r="H3516" s="12" t="inlineStr">
        <is>
          <t>STR-C: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6" t="n">
        <v>153</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G-I-0268</t>
        </is>
      </c>
      <c r="B3517" s="12" t="inlineStr">
        <is>
          <t>G</t>
        </is>
      </c>
      <c r="C3517" s="12" t="inlineStr">
        <is>
          <t>Carbon capture</t>
        </is>
      </c>
      <c r="D3517" s="12" t="inlineStr">
        <is>
          <t>Home run JB-STR-C-DI02 to the control / marshalling room</t>
        </is>
      </c>
      <c r="E3517" s="12" t="inlineStr"/>
      <c r="F3517" s="12" t="inlineStr">
        <is>
          <t>CCS F&amp;G / control</t>
        </is>
      </c>
      <c r="G3517" s="12" t="inlineStr">
        <is>
          <t>JB-STR-C-DI02</t>
        </is>
      </c>
      <c r="H3517" s="12" t="inlineStr">
        <is>
          <t>STR-C: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6" t="n">
        <v>195</v>
      </c>
      <c r="U3517" s="16" t="n">
        <v>162</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G-I-0269</t>
        </is>
      </c>
      <c r="B3518" s="12" t="inlineStr">
        <is>
          <t>G</t>
        </is>
      </c>
      <c r="C3518" s="12" t="inlineStr">
        <is>
          <t>Carbon capture</t>
        </is>
      </c>
      <c r="D3518" s="12" t="inlineStr">
        <is>
          <t>Analog instrument to JB JB-Solvent + NaOH sto-AI01: 10 x 1 pr (field cables)</t>
        </is>
      </c>
      <c r="E3518" s="12" t="inlineStr"/>
      <c r="F3518" s="12" t="inlineStr">
        <is>
          <t>Solvent + NaOH storage</t>
        </is>
      </c>
      <c r="G3518" s="12" t="inlineStr">
        <is>
          <t>JB-Solvent + NaOH sto-AI01</t>
        </is>
      </c>
      <c r="H3518" s="12" t="inlineStr">
        <is>
          <t>Solvent + NaOH storage</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10</v>
      </c>
      <c r="O3518" s="12" t="n">
        <v>1</v>
      </c>
      <c r="P3518" s="12" t="n"/>
      <c r="Q3518" s="12" t="n"/>
      <c r="R3518" s="12" t="n"/>
      <c r="S3518" s="12" t="inlineStr">
        <is>
          <t>Tray / conduit</t>
        </is>
      </c>
      <c r="T3518" s="16" t="n">
        <v>113</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G-I-0270</t>
        </is>
      </c>
      <c r="B3519" s="12" t="inlineStr">
        <is>
          <t>G</t>
        </is>
      </c>
      <c r="C3519" s="12" t="inlineStr">
        <is>
          <t>Carbon capture</t>
        </is>
      </c>
      <c r="D3519" s="12" t="inlineStr">
        <is>
          <t>Home run JB-Solvent + NaOH sto-AI01 to the control / marshalling room</t>
        </is>
      </c>
      <c r="E3519" s="12" t="inlineStr"/>
      <c r="F3519" s="12" t="inlineStr">
        <is>
          <t>CCS F&amp;G / control</t>
        </is>
      </c>
      <c r="G3519" s="12" t="inlineStr">
        <is>
          <t>JB-Solvent + NaOH sto-AI01</t>
        </is>
      </c>
      <c r="H3519" s="12" t="inlineStr">
        <is>
          <t>Solvent + NaOH storage</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146</v>
      </c>
      <c r="U3519" s="16" t="n">
        <v>106</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G-I-0271</t>
        </is>
      </c>
      <c r="B3520" s="12" t="inlineStr">
        <is>
          <t>G</t>
        </is>
      </c>
      <c r="C3520" s="12" t="inlineStr">
        <is>
          <t>Carbon capture</t>
        </is>
      </c>
      <c r="D3520" s="12" t="inlineStr">
        <is>
          <t>Discrete device to JB JB-Solvent + NaOH sto-DI01: 10 x 1 pr (field cables)</t>
        </is>
      </c>
      <c r="E3520" s="12" t="inlineStr"/>
      <c r="F3520" s="12" t="inlineStr">
        <is>
          <t>Solvent + NaOH storage</t>
        </is>
      </c>
      <c r="G3520" s="12" t="inlineStr">
        <is>
          <t>JB-Solvent + NaOH sto-DI01</t>
        </is>
      </c>
      <c r="H3520" s="12" t="inlineStr">
        <is>
          <t>Solvent + NaOH storage</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10</v>
      </c>
      <c r="O3520" s="12" t="n">
        <v>1</v>
      </c>
      <c r="P3520" s="12" t="n"/>
      <c r="Q3520" s="12" t="n"/>
      <c r="R3520" s="12" t="n"/>
      <c r="S3520" s="12" t="inlineStr">
        <is>
          <t>Tray / conduit</t>
        </is>
      </c>
      <c r="T3520" s="16" t="n">
        <v>113</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G-I-0272</t>
        </is>
      </c>
      <c r="B3521" s="12" t="inlineStr">
        <is>
          <t>G</t>
        </is>
      </c>
      <c r="C3521" s="12" t="inlineStr">
        <is>
          <t>Carbon capture</t>
        </is>
      </c>
      <c r="D3521" s="12" t="inlineStr">
        <is>
          <t>Home run JB-Solvent + NaOH sto-DI01 to the control / marshalling room</t>
        </is>
      </c>
      <c r="E3521" s="12" t="inlineStr"/>
      <c r="F3521" s="12" t="inlineStr">
        <is>
          <t>CCS F&amp;G / control</t>
        </is>
      </c>
      <c r="G3521" s="12" t="inlineStr">
        <is>
          <t>JB-Solvent + NaOH sto-DI01</t>
        </is>
      </c>
      <c r="H3521" s="12" t="inlineStr">
        <is>
          <t>Solvent + NaOH storage</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146</v>
      </c>
      <c r="U3521" s="16" t="n">
        <v>106</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G-I-0273</t>
        </is>
      </c>
      <c r="B3522" s="12" t="inlineStr">
        <is>
          <t>G</t>
        </is>
      </c>
      <c r="C3522" s="12" t="inlineStr">
        <is>
          <t>Carbon capture</t>
        </is>
      </c>
      <c r="D3522" s="12" t="inlineStr">
        <is>
          <t>Analog instrument to JB JB-Water-wash pumps A-AI01: 8 x 1 pr (field cables)</t>
        </is>
      </c>
      <c r="E3522" s="12" t="inlineStr"/>
      <c r="F3522" s="12" t="inlineStr">
        <is>
          <t>Water-wash pumps A</t>
        </is>
      </c>
      <c r="G3522" s="12" t="inlineStr">
        <is>
          <t>JB-Water-wash pumps A-AI01</t>
        </is>
      </c>
      <c r="H3522" s="12" t="inlineStr">
        <is>
          <t>Water-wash pumps A</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G-I-0274</t>
        </is>
      </c>
      <c r="B3523" s="12" t="inlineStr">
        <is>
          <t>G</t>
        </is>
      </c>
      <c r="C3523" s="12" t="inlineStr">
        <is>
          <t>Carbon capture</t>
        </is>
      </c>
      <c r="D3523" s="12" t="inlineStr">
        <is>
          <t>Home run JB-Water-wash pumps A-AI01 to the control / marshalling room</t>
        </is>
      </c>
      <c r="E3523" s="12" t="inlineStr"/>
      <c r="F3523" s="12" t="inlineStr">
        <is>
          <t>CCS F&amp;G / control</t>
        </is>
      </c>
      <c r="G3523" s="12" t="inlineStr">
        <is>
          <t>JB-Water-wash pumps A-AI01</t>
        </is>
      </c>
      <c r="H3523" s="12" t="inlineStr">
        <is>
          <t>Water-wash pumps A</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Tray</t>
        </is>
      </c>
      <c r="T3523" s="16" t="n">
        <v>834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G-I-0275</t>
        </is>
      </c>
      <c r="B3524" s="12" t="inlineStr">
        <is>
          <t>G</t>
        </is>
      </c>
      <c r="C3524" s="12" t="inlineStr">
        <is>
          <t>Carbon capture</t>
        </is>
      </c>
      <c r="D3524" s="12" t="inlineStr">
        <is>
          <t>Discrete device to JB JB-Water-wash pumps A-DI01: 8 x 1 pr (field cables)</t>
        </is>
      </c>
      <c r="E3524" s="12" t="inlineStr"/>
      <c r="F3524" s="12" t="inlineStr">
        <is>
          <t>Water-wash pumps A</t>
        </is>
      </c>
      <c r="G3524" s="12" t="inlineStr">
        <is>
          <t>JB-Water-wash pumps A-DI01</t>
        </is>
      </c>
      <c r="H3524" s="12" t="inlineStr">
        <is>
          <t>Water-wash pumps A</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G-I-0276</t>
        </is>
      </c>
      <c r="B3525" s="12" t="inlineStr">
        <is>
          <t>G</t>
        </is>
      </c>
      <c r="C3525" s="12" t="inlineStr">
        <is>
          <t>Carbon capture</t>
        </is>
      </c>
      <c r="D3525" s="12" t="inlineStr">
        <is>
          <t>Home run JB-Water-wash pumps A-DI01 to the control / marshalling room</t>
        </is>
      </c>
      <c r="E3525" s="12" t="inlineStr"/>
      <c r="F3525" s="12" t="inlineStr">
        <is>
          <t>CCS F&amp;G / control</t>
        </is>
      </c>
      <c r="G3525" s="12" t="inlineStr">
        <is>
          <t>JB-Water-wash pumps A-DI01</t>
        </is>
      </c>
      <c r="H3525" s="12" t="inlineStr">
        <is>
          <t>Water-wash pumps A</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Tray</t>
        </is>
      </c>
      <c r="T3525" s="16" t="n">
        <v>834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G-I-0277</t>
        </is>
      </c>
      <c r="B3526" s="12" t="inlineStr">
        <is>
          <t>G</t>
        </is>
      </c>
      <c r="C3526" s="12" t="inlineStr">
        <is>
          <t>Carbon capture</t>
        </is>
      </c>
      <c r="D3526" s="12" t="inlineStr">
        <is>
          <t>Analog instrument to JB JB-Water-wash pumps B-AI01: 8 x 1 pr (field cables)</t>
        </is>
      </c>
      <c r="E3526" s="12" t="inlineStr"/>
      <c r="F3526" s="12" t="inlineStr">
        <is>
          <t>Water-wash pumps B</t>
        </is>
      </c>
      <c r="G3526" s="12" t="inlineStr">
        <is>
          <t>JB-Water-wash pumps B-AI01</t>
        </is>
      </c>
      <c r="H3526" s="12" t="inlineStr">
        <is>
          <t>Water-wash pumps B</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8</v>
      </c>
      <c r="O3526" s="12" t="n">
        <v>1</v>
      </c>
      <c r="P3526" s="12" t="n"/>
      <c r="Q3526" s="12" t="n"/>
      <c r="R3526" s="12" t="n"/>
      <c r="S3526" s="12" t="inlineStr">
        <is>
          <t>Tray / conduit</t>
        </is>
      </c>
      <c r="T3526" s="16" t="n">
        <v>66</v>
      </c>
      <c r="U3526" s="16" t="n">
        <v>10</v>
      </c>
      <c r="V3526" s="16">
        <f>ROUNDUP((T3526+U3526+2*'Read Me'!$B$13)*(1+'Read Me'!$B$12),-1)</f>
        <v/>
      </c>
      <c r="W3526" s="16">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G-I-0278</t>
        </is>
      </c>
      <c r="B3527" s="12" t="inlineStr">
        <is>
          <t>G</t>
        </is>
      </c>
      <c r="C3527" s="12" t="inlineStr">
        <is>
          <t>Carbon capture</t>
        </is>
      </c>
      <c r="D3527" s="12" t="inlineStr">
        <is>
          <t>Home run JB-Water-wash pumps B-AI01 to the control / marshalling room</t>
        </is>
      </c>
      <c r="E3527" s="12" t="inlineStr"/>
      <c r="F3527" s="12" t="inlineStr">
        <is>
          <t>CCS F&amp;G / control</t>
        </is>
      </c>
      <c r="G3527" s="12" t="inlineStr">
        <is>
          <t>JB-Water-wash pumps B-AI01</t>
        </is>
      </c>
      <c r="H3527" s="12" t="inlineStr">
        <is>
          <t>Water-wash pumps B</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6" t="n">
        <v>674</v>
      </c>
      <c r="U3527" s="16" t="n">
        <v>165</v>
      </c>
      <c r="V3527" s="16">
        <f>ROUNDUP((T3527+U3527+2*'Read Me'!$B$13)*(1+'Read Me'!$B$12),-1)</f>
        <v/>
      </c>
      <c r="W3527" s="16">
        <f>V3527*N3527*O3527</f>
        <v/>
      </c>
      <c r="X3527" s="12">
        <f>IF(LEFT(I3527,2)="MV",2*N3527*IF(L3527="1/C",O3527,1),0)</f>
        <v/>
      </c>
      <c r="Y3527" s="12">
        <f>IF(OR(LEFT(K3527,4)="LVAX",LEFT(K3527,6)="MV15AX",LEFT(K3527,4)="CTAX",LEFT(K3527,2)="W|"),2*N3527*O3527,0)</f>
        <v/>
      </c>
      <c r="Z3527" s="12" t="inlineStr"/>
      <c r="AA3527" s="12">
        <f>N3527*O3527</f>
        <v/>
      </c>
    </row>
    <row r="3528">
      <c r="A3528" s="12" t="inlineStr">
        <is>
          <t>G-I-0279</t>
        </is>
      </c>
      <c r="B3528" s="12" t="inlineStr">
        <is>
          <t>G</t>
        </is>
      </c>
      <c r="C3528" s="12" t="inlineStr">
        <is>
          <t>Carbon capture</t>
        </is>
      </c>
      <c r="D3528" s="12" t="inlineStr">
        <is>
          <t>Discrete device to JB JB-Water-wash pumps B-DI01: 8 x 1 pr (field cables)</t>
        </is>
      </c>
      <c r="E3528" s="12" t="inlineStr"/>
      <c r="F3528" s="12" t="inlineStr">
        <is>
          <t>Water-wash pumps B</t>
        </is>
      </c>
      <c r="G3528" s="12" t="inlineStr">
        <is>
          <t>JB-Water-wash pumps B-DI01</t>
        </is>
      </c>
      <c r="H3528" s="12" t="inlineStr">
        <is>
          <t>Water-wash pumps B</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8</v>
      </c>
      <c r="O3528" s="12" t="n">
        <v>1</v>
      </c>
      <c r="P3528" s="12" t="n"/>
      <c r="Q3528" s="12" t="n"/>
      <c r="R3528" s="12" t="n"/>
      <c r="S3528" s="12" t="inlineStr">
        <is>
          <t>Tray / conduit</t>
        </is>
      </c>
      <c r="T3528" s="16" t="n">
        <v>66</v>
      </c>
      <c r="U3528" s="16" t="n">
        <v>10</v>
      </c>
      <c r="V3528" s="16">
        <f>ROUNDUP((T3528+U3528+2*'Read Me'!$B$13)*(1+'Read Me'!$B$12),-1)</f>
        <v/>
      </c>
      <c r="W3528" s="16">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G-I-0280</t>
        </is>
      </c>
      <c r="B3529" s="12" t="inlineStr">
        <is>
          <t>G</t>
        </is>
      </c>
      <c r="C3529" s="12" t="inlineStr">
        <is>
          <t>Carbon capture</t>
        </is>
      </c>
      <c r="D3529" s="12" t="inlineStr">
        <is>
          <t>Home run JB-Water-wash pumps B-DI01 to the control / marshalling room</t>
        </is>
      </c>
      <c r="E3529" s="12" t="inlineStr"/>
      <c r="F3529" s="12" t="inlineStr">
        <is>
          <t>CCS F&amp;G / control</t>
        </is>
      </c>
      <c r="G3529" s="12" t="inlineStr">
        <is>
          <t>JB-Water-wash pumps B-DI01</t>
        </is>
      </c>
      <c r="H3529" s="12" t="inlineStr">
        <is>
          <t>Water-wash pumps B</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6" t="n">
        <v>674</v>
      </c>
      <c r="U3529" s="16" t="n">
        <v>165</v>
      </c>
      <c r="V3529" s="16">
        <f>ROUNDUP((T3529+U3529+2*'Read Me'!$B$13)*(1+'Read Me'!$B$12),-1)</f>
        <v/>
      </c>
      <c r="W3529" s="16">
        <f>V3529*N3529*O3529</f>
        <v/>
      </c>
      <c r="X3529" s="12">
        <f>IF(LEFT(I3529,2)="MV",2*N3529*IF(L3529="1/C",O3529,1),0)</f>
        <v/>
      </c>
      <c r="Y3529" s="12">
        <f>IF(OR(LEFT(K3529,4)="LVAX",LEFT(K3529,6)="MV15AX",LEFT(K3529,4)="CTAX",LEFT(K3529,2)="W|"),2*N3529*O3529,0)</f>
        <v/>
      </c>
      <c r="Z3529" s="12" t="inlineStr"/>
      <c r="AA3529" s="12">
        <f>N3529*O3529</f>
        <v/>
      </c>
    </row>
    <row r="3530">
      <c r="A3530" s="12" t="inlineStr">
        <is>
          <t>G-I-0281</t>
        </is>
      </c>
      <c r="B3530" s="12" t="inlineStr">
        <is>
          <t>G</t>
        </is>
      </c>
      <c r="C3530" s="12" t="inlineStr">
        <is>
          <t>Carbon capture</t>
        </is>
      </c>
      <c r="D3530" s="12" t="inlineStr">
        <is>
          <t>Analog instrument to JB JB-Water-wash pumps C-AI01: 8 x 1 pr (field cables)</t>
        </is>
      </c>
      <c r="E3530" s="12" t="inlineStr"/>
      <c r="F3530" s="12" t="inlineStr">
        <is>
          <t>Water-wash pumps C</t>
        </is>
      </c>
      <c r="G3530" s="12" t="inlineStr">
        <is>
          <t>JB-Water-wash pumps C-AI01</t>
        </is>
      </c>
      <c r="H3530" s="12" t="inlineStr">
        <is>
          <t>Water-wash pumps C</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8</v>
      </c>
      <c r="O3530" s="12" t="n">
        <v>1</v>
      </c>
      <c r="P3530" s="12" t="n"/>
      <c r="Q3530" s="12" t="n"/>
      <c r="R3530" s="12" t="n"/>
      <c r="S3530" s="12" t="inlineStr">
        <is>
          <t>Tray / conduit</t>
        </is>
      </c>
      <c r="T3530" s="16" t="n">
        <v>66</v>
      </c>
      <c r="U3530" s="16" t="n">
        <v>10</v>
      </c>
      <c r="V3530" s="16">
        <f>ROUNDUP((T3530+U3530+2*'Read Me'!$B$13)*(1+'Read Me'!$B$12),-1)</f>
        <v/>
      </c>
      <c r="W3530" s="16">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G-I-0282</t>
        </is>
      </c>
      <c r="B3531" s="12" t="inlineStr">
        <is>
          <t>G</t>
        </is>
      </c>
      <c r="C3531" s="12" t="inlineStr">
        <is>
          <t>Carbon capture</t>
        </is>
      </c>
      <c r="D3531" s="12" t="inlineStr">
        <is>
          <t>Home run JB-Water-wash pumps C-AI01 to the control / marshalling room</t>
        </is>
      </c>
      <c r="E3531" s="12" t="inlineStr"/>
      <c r="F3531" s="12" t="inlineStr">
        <is>
          <t>CCS F&amp;G / control</t>
        </is>
      </c>
      <c r="G3531" s="12" t="inlineStr">
        <is>
          <t>JB-Water-wash pumps C-AI01</t>
        </is>
      </c>
      <c r="H3531" s="12" t="inlineStr">
        <is>
          <t>Water-wash pumps C</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6" t="n">
        <v>514</v>
      </c>
      <c r="U3531" s="16" t="n">
        <v>165</v>
      </c>
      <c r="V3531" s="16">
        <f>ROUNDUP((T3531+U3531+2*'Read Me'!$B$13)*(1+'Read Me'!$B$12),-1)</f>
        <v/>
      </c>
      <c r="W3531" s="16">
        <f>V3531*N3531*O3531</f>
        <v/>
      </c>
      <c r="X3531" s="12">
        <f>IF(LEFT(I3531,2)="MV",2*N3531*IF(L3531="1/C",O3531,1),0)</f>
        <v/>
      </c>
      <c r="Y3531" s="12">
        <f>IF(OR(LEFT(K3531,4)="LVAX",LEFT(K3531,6)="MV15AX",LEFT(K3531,4)="CTAX",LEFT(K3531,2)="W|"),2*N3531*O3531,0)</f>
        <v/>
      </c>
      <c r="Z3531" s="12" t="inlineStr"/>
      <c r="AA3531" s="12">
        <f>N3531*O3531</f>
        <v/>
      </c>
    </row>
    <row r="3532">
      <c r="A3532" s="12" t="inlineStr">
        <is>
          <t>G-I-0283</t>
        </is>
      </c>
      <c r="B3532" s="12" t="inlineStr">
        <is>
          <t>G</t>
        </is>
      </c>
      <c r="C3532" s="12" t="inlineStr">
        <is>
          <t>Carbon capture</t>
        </is>
      </c>
      <c r="D3532" s="12" t="inlineStr">
        <is>
          <t>Discrete device to JB JB-Water-wash pumps C-DI01: 8 x 1 pr (field cables)</t>
        </is>
      </c>
      <c r="E3532" s="12" t="inlineStr"/>
      <c r="F3532" s="12" t="inlineStr">
        <is>
          <t>Water-wash pumps C</t>
        </is>
      </c>
      <c r="G3532" s="12" t="inlineStr">
        <is>
          <t>JB-Water-wash pumps C-DI01</t>
        </is>
      </c>
      <c r="H3532" s="12" t="inlineStr">
        <is>
          <t>Water-wash pumps C</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8</v>
      </c>
      <c r="O3532" s="12" t="n">
        <v>1</v>
      </c>
      <c r="P3532" s="12" t="n"/>
      <c r="Q3532" s="12" t="n"/>
      <c r="R3532" s="12" t="n"/>
      <c r="S3532" s="12" t="inlineStr">
        <is>
          <t>Tray / conduit</t>
        </is>
      </c>
      <c r="T3532" s="16" t="n">
        <v>66</v>
      </c>
      <c r="U3532" s="16" t="n">
        <v>10</v>
      </c>
      <c r="V3532" s="16">
        <f>ROUNDUP((T3532+U3532+2*'Read Me'!$B$13)*(1+'Read Me'!$B$12),-1)</f>
        <v/>
      </c>
      <c r="W3532" s="16">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G-I-0284</t>
        </is>
      </c>
      <c r="B3533" s="12" t="inlineStr">
        <is>
          <t>G</t>
        </is>
      </c>
      <c r="C3533" s="12" t="inlineStr">
        <is>
          <t>Carbon capture</t>
        </is>
      </c>
      <c r="D3533" s="12" t="inlineStr">
        <is>
          <t>Home run JB-Water-wash pumps C-DI01 to the control / marshalling room</t>
        </is>
      </c>
      <c r="E3533" s="12" t="inlineStr"/>
      <c r="F3533" s="12" t="inlineStr">
        <is>
          <t>CCS F&amp;G / control</t>
        </is>
      </c>
      <c r="G3533" s="12" t="inlineStr">
        <is>
          <t>JB-Water-wash pumps C-DI01</t>
        </is>
      </c>
      <c r="H3533" s="12" t="inlineStr">
        <is>
          <t>Water-wash pumps C</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6" t="n">
        <v>514</v>
      </c>
      <c r="U3533" s="16" t="n">
        <v>165</v>
      </c>
      <c r="V3533" s="16">
        <f>ROUNDUP((T3533+U3533+2*'Read Me'!$B$13)*(1+'Read Me'!$B$12),-1)</f>
        <v/>
      </c>
      <c r="W3533" s="16">
        <f>V3533*N3533*O3533</f>
        <v/>
      </c>
      <c r="X3533" s="12">
        <f>IF(LEFT(I3533,2)="MV",2*N3533*IF(L3533="1/C",O3533,1),0)</f>
        <v/>
      </c>
      <c r="Y3533" s="12">
        <f>IF(OR(LEFT(K3533,4)="LVAX",LEFT(K3533,6)="MV15AX",LEFT(K3533,4)="CTAX",LEFT(K3533,2)="W|"),2*N3533*O3533,0)</f>
        <v/>
      </c>
      <c r="Z3533" s="12" t="inlineStr"/>
      <c r="AA3533" s="12">
        <f>N3533*O3533</f>
        <v/>
      </c>
    </row>
    <row r="3534">
      <c r="A3534" s="12" t="inlineStr">
        <is>
          <t>G-P-0001</t>
        </is>
      </c>
      <c r="B3534" s="12" t="inlineStr">
        <is>
          <t>G</t>
        </is>
      </c>
      <c r="C3534" s="12" t="inlineStr">
        <is>
          <t>Carbon capture</t>
        </is>
      </c>
      <c r="D3534" s="12" t="inlineStr">
        <is>
          <t>MOV 1: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G-P-0002</t>
        </is>
      </c>
      <c r="B3535" s="12" t="inlineStr">
        <is>
          <t>G</t>
        </is>
      </c>
      <c r="C3535" s="12" t="inlineStr">
        <is>
          <t>Carbon capture</t>
        </is>
      </c>
      <c r="D3535" s="12" t="inlineStr">
        <is>
          <t>MOV 2: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G-P-0003</t>
        </is>
      </c>
      <c r="B3536" s="12" t="inlineStr">
        <is>
          <t>G</t>
        </is>
      </c>
      <c r="C3536" s="12" t="inlineStr">
        <is>
          <t>Carbon capture</t>
        </is>
      </c>
      <c r="D3536" s="12" t="inlineStr">
        <is>
          <t>MOV 3: power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LV|3/C+G|10</t>
        </is>
      </c>
      <c r="L3536" s="12" t="inlineStr">
        <is>
          <t>3/C+G</t>
        </is>
      </c>
      <c r="M3536" s="12" t="inlineStr">
        <is>
          <t>10</t>
        </is>
      </c>
      <c r="N3536" s="12" t="n">
        <v>1</v>
      </c>
      <c r="O3536" s="12" t="n">
        <v>1</v>
      </c>
      <c r="P3536" s="12" t="n">
        <v>480</v>
      </c>
      <c r="Q3536" s="12" t="n">
        <v>2.5</v>
      </c>
      <c r="R3536" s="12" t="n">
        <v>3.5</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1.1 %</t>
        </is>
      </c>
      <c r="AA3536" s="12">
        <f>N3536*O3536</f>
        <v/>
      </c>
    </row>
    <row r="3537">
      <c r="A3537" s="12" t="inlineStr">
        <is>
          <t>G-P-0004</t>
        </is>
      </c>
      <c r="B3537" s="12" t="inlineStr">
        <is>
          <t>G</t>
        </is>
      </c>
      <c r="C3537" s="12" t="inlineStr">
        <is>
          <t>Carbon capture</t>
        </is>
      </c>
      <c r="D3537" s="12" t="inlineStr">
        <is>
          <t>MOV 4: power</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2.5</v>
      </c>
      <c r="R3537" s="12" t="n">
        <v>3.5</v>
      </c>
      <c r="S3537" s="12" t="inlineStr">
        <is>
          <t>Tray</t>
        </is>
      </c>
      <c r="T3537" s="16" t="n">
        <v>570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VD 1.1 %</t>
        </is>
      </c>
      <c r="AA3537" s="12">
        <f>N3537*O3537</f>
        <v/>
      </c>
    </row>
    <row r="3538">
      <c r="A3538" s="12" t="inlineStr">
        <is>
          <t>G-P-0005</t>
        </is>
      </c>
      <c r="B3538" s="12" t="inlineStr">
        <is>
          <t>G</t>
        </is>
      </c>
      <c r="C3538" s="12" t="inlineStr">
        <is>
          <t>Carbon capture</t>
        </is>
      </c>
      <c r="D3538" s="12" t="inlineStr">
        <is>
          <t>MOV 5: power</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2.5</v>
      </c>
      <c r="R3538" s="12" t="n">
        <v>3.5</v>
      </c>
      <c r="S3538" s="12" t="inlineStr">
        <is>
          <t>Tray</t>
        </is>
      </c>
      <c r="T3538" s="16" t="n">
        <v>570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VD 1.1 %</t>
        </is>
      </c>
      <c r="AA3538" s="12">
        <f>N3538*O3538</f>
        <v/>
      </c>
    </row>
    <row r="3539">
      <c r="A3539" s="12" t="inlineStr">
        <is>
          <t>G-P-0006</t>
        </is>
      </c>
      <c r="B3539" s="12" t="inlineStr">
        <is>
          <t>G</t>
        </is>
      </c>
      <c r="C3539" s="12" t="inlineStr">
        <is>
          <t>Carbon capture</t>
        </is>
      </c>
      <c r="D3539" s="12" t="inlineStr">
        <is>
          <t>MOV 6: power</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2.5</v>
      </c>
      <c r="R3539" s="12" t="n">
        <v>3.5</v>
      </c>
      <c r="S3539" s="12" t="inlineStr">
        <is>
          <t>Tray</t>
        </is>
      </c>
      <c r="T3539" s="16" t="n">
        <v>570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VD 1.1 %</t>
        </is>
      </c>
      <c r="AA3539" s="12">
        <f>N3539*O3539</f>
        <v/>
      </c>
    </row>
    <row r="3540">
      <c r="A3540" s="12" t="inlineStr">
        <is>
          <t>G-P-0007</t>
        </is>
      </c>
      <c r="B3540" s="12" t="inlineStr">
        <is>
          <t>G</t>
        </is>
      </c>
      <c r="C3540" s="12" t="inlineStr">
        <is>
          <t>Carbon capture</t>
        </is>
      </c>
      <c r="D3540" s="12" t="inlineStr">
        <is>
          <t>MOV 7: power</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2.5</v>
      </c>
      <c r="R3540" s="12" t="n">
        <v>3.5</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1.1 %</t>
        </is>
      </c>
      <c r="AA3540" s="12">
        <f>N3540*O3540</f>
        <v/>
      </c>
    </row>
    <row r="3541">
      <c r="A3541" s="12" t="inlineStr">
        <is>
          <t>G-P-0008</t>
        </is>
      </c>
      <c r="B3541" s="12" t="inlineStr">
        <is>
          <t>G</t>
        </is>
      </c>
      <c r="C3541" s="12" t="inlineStr">
        <is>
          <t>Carbon capture</t>
        </is>
      </c>
      <c r="D3541" s="12" t="inlineStr">
        <is>
          <t>MOV 8: power</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2.5</v>
      </c>
      <c r="R3541" s="12" t="n">
        <v>3.5</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1.1 %</t>
        </is>
      </c>
      <c r="AA3541" s="12">
        <f>N3541*O3541</f>
        <v/>
      </c>
    </row>
    <row r="3542">
      <c r="A3542" s="12" t="inlineStr">
        <is>
          <t>G-P-0009</t>
        </is>
      </c>
      <c r="B3542" s="12" t="inlineStr">
        <is>
          <t>G</t>
        </is>
      </c>
      <c r="C3542" s="12" t="inlineStr">
        <is>
          <t>Carbon capture</t>
        </is>
      </c>
      <c r="D3542" s="12" t="inlineStr">
        <is>
          <t>MOV 9: power</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2.5</v>
      </c>
      <c r="R3542" s="12" t="n">
        <v>3.5</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1.1 %</t>
        </is>
      </c>
      <c r="AA3542" s="12">
        <f>N3542*O3542</f>
        <v/>
      </c>
    </row>
    <row r="3543">
      <c r="A3543" s="12" t="inlineStr">
        <is>
          <t>G-P-0010</t>
        </is>
      </c>
      <c r="B3543" s="12" t="inlineStr">
        <is>
          <t>G</t>
        </is>
      </c>
      <c r="C3543" s="12" t="inlineStr">
        <is>
          <t>Carbon capture</t>
        </is>
      </c>
      <c r="D3543" s="12" t="inlineStr">
        <is>
          <t>MOV 10: power</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2.5</v>
      </c>
      <c r="R3543" s="12" t="n">
        <v>3.5</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1.1 %</t>
        </is>
      </c>
      <c r="AA3543" s="12">
        <f>N3543*O3543</f>
        <v/>
      </c>
    </row>
    <row r="3544">
      <c r="A3544" s="12" t="inlineStr">
        <is>
          <t>G-P-0011</t>
        </is>
      </c>
      <c r="B3544" s="12" t="inlineStr">
        <is>
          <t>G</t>
        </is>
      </c>
      <c r="C3544" s="12" t="inlineStr">
        <is>
          <t>Carbon capture</t>
        </is>
      </c>
      <c r="D3544" s="12" t="inlineStr">
        <is>
          <t>LV power feeder</t>
        </is>
      </c>
      <c r="E3544" s="12" t="inlineStr"/>
      <c r="F3544" s="12" t="inlineStr">
        <is>
          <t>CCS MV switchgear building (VFDs)</t>
        </is>
      </c>
      <c r="G3544" s="12" t="inlineStr">
        <is>
          <t>ABS-A</t>
        </is>
      </c>
      <c r="H3544" s="12" t="inlineStr">
        <is>
          <t>Absorber A (62 ft dia x 262 ft, stack to 313 ft)</t>
        </is>
      </c>
      <c r="I3544" s="12" t="inlineStr">
        <is>
          <t>LV 600 V</t>
        </is>
      </c>
      <c r="J3544" s="12" t="inlineStr">
        <is>
          <t>Type TC-ER 600 V 3/C Cu XHHW-2 + ground, PVC jacket</t>
        </is>
      </c>
      <c r="K3544" s="12" t="inlineStr">
        <is>
          <t>LV|3/C+G|2</t>
        </is>
      </c>
      <c r="L3544" s="12" t="inlineStr">
        <is>
          <t>3/C+G</t>
        </is>
      </c>
      <c r="M3544" s="12" t="inlineStr">
        <is>
          <t>2</t>
        </is>
      </c>
      <c r="N3544" s="12" t="n">
        <v>1</v>
      </c>
      <c r="O3544" s="12" t="n">
        <v>1</v>
      </c>
      <c r="P3544" s="12" t="n">
        <v>480</v>
      </c>
      <c r="Q3544" s="12" t="n">
        <v>40</v>
      </c>
      <c r="R3544" s="12" t="n">
        <v>56.6</v>
      </c>
      <c r="S3544" s="12" t="inlineStr">
        <is>
          <t>Tray</t>
        </is>
      </c>
      <c r="T3544" s="16" t="n">
        <v>570</v>
      </c>
      <c r="U3544" s="16" t="n">
        <v>80</v>
      </c>
      <c r="V3544" s="16">
        <f>ROUNDUP((T3544+U3544+2*'Read Me'!$B$13)*(1+'Read Me'!$B$12),-1)</f>
        <v/>
      </c>
      <c r="W3544" s="16">
        <f>V3544*N3544*O3544</f>
        <v/>
      </c>
      <c r="X3544" s="12">
        <f>IF(LEFT(I3544,2)="MV",2*N3544*IF(L3544="1/C",O3544,1),0)</f>
        <v/>
      </c>
      <c r="Y3544" s="12">
        <f>IF(OR(LEFT(K3544,4)="LVAX",LEFT(K3544,6)="MV15AX",LEFT(K3544,4)="CTAX",LEFT(K3544,2)="W|"),2*N3544*O3544,0)</f>
        <v/>
      </c>
      <c r="Z3544" s="12" t="inlineStr">
        <is>
          <t>VD 2.8 %</t>
        </is>
      </c>
      <c r="AA3544" s="12">
        <f>N3544*O3544</f>
        <v/>
      </c>
    </row>
    <row r="3545">
      <c r="A3545" s="12" t="inlineStr">
        <is>
          <t>G-P-0012</t>
        </is>
      </c>
      <c r="B3545" s="12" t="inlineStr">
        <is>
          <t>G</t>
        </is>
      </c>
      <c r="C3545" s="12" t="inlineStr">
        <is>
          <t>Carbon capture</t>
        </is>
      </c>
      <c r="D3545" s="12" t="inlineStr">
        <is>
          <t>Area / platform lighting circuit 1 (12 fixtures)</t>
        </is>
      </c>
      <c r="E3545" s="12" t="inlineStr"/>
      <c r="F3545" s="12" t="inlineStr">
        <is>
          <t>CCS MV switchgear building (VFDs)</t>
        </is>
      </c>
      <c r="G3545" s="12" t="inlineStr">
        <is>
          <t>ABS-A</t>
        </is>
      </c>
      <c r="H3545" s="12" t="inlineStr">
        <is>
          <t>Absorber A (62 ft dia x 262 ft, stack to 313 ft)</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870</v>
      </c>
      <c r="U3545" s="16" t="n">
        <v>80</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G-P-0013</t>
        </is>
      </c>
      <c r="B3546" s="12" t="inlineStr">
        <is>
          <t>G</t>
        </is>
      </c>
      <c r="C3546" s="12" t="inlineStr">
        <is>
          <t>Carbon capture</t>
        </is>
      </c>
      <c r="D3546" s="12" t="inlineStr">
        <is>
          <t>Area / platform lighting circuit 2 (12 fixtures)</t>
        </is>
      </c>
      <c r="E3546" s="12" t="inlineStr"/>
      <c r="F3546" s="12" t="inlineStr">
        <is>
          <t>CCS MV switchgear building (VFDs)</t>
        </is>
      </c>
      <c r="G3546" s="12" t="inlineStr">
        <is>
          <t>ABS-A</t>
        </is>
      </c>
      <c r="H3546" s="12" t="inlineStr">
        <is>
          <t>Absorber A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870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G-P-0014</t>
        </is>
      </c>
      <c r="B3547" s="12" t="inlineStr">
        <is>
          <t>G</t>
        </is>
      </c>
      <c r="C3547" s="12" t="inlineStr">
        <is>
          <t>Carbon capture</t>
        </is>
      </c>
      <c r="D3547" s="12" t="inlineStr">
        <is>
          <t>Area / platform lighting circuit 3 (6 fixtures)</t>
        </is>
      </c>
      <c r="E3547" s="12" t="inlineStr"/>
      <c r="F3547" s="12" t="inlineStr">
        <is>
          <t>CCS MV switchgear building (VFDs)</t>
        </is>
      </c>
      <c r="G3547" s="12" t="inlineStr">
        <is>
          <t>ABS-A</t>
        </is>
      </c>
      <c r="H3547" s="12" t="inlineStr">
        <is>
          <t>Absorber A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870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G-P-0015</t>
        </is>
      </c>
      <c r="B3548" s="12" t="inlineStr">
        <is>
          <t>G</t>
        </is>
      </c>
      <c r="C3548" s="12" t="inlineStr">
        <is>
          <t>Carbon capture</t>
        </is>
      </c>
      <c r="D3548" s="12" t="inlineStr">
        <is>
          <t>480 V welding receptacle 1</t>
        </is>
      </c>
      <c r="E3548" s="12" t="inlineStr"/>
      <c r="F3548" s="12" t="inlineStr">
        <is>
          <t>CCS MV switchgear building (VFDs)</t>
        </is>
      </c>
      <c r="G3548" s="12" t="inlineStr">
        <is>
          <t>ABS-A</t>
        </is>
      </c>
      <c r="H3548" s="12" t="inlineStr">
        <is>
          <t>Absorber A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60</v>
      </c>
      <c r="R3548" s="12" t="n">
        <v>76</v>
      </c>
      <c r="S3548" s="12" t="inlineStr">
        <is>
          <t>Tray</t>
        </is>
      </c>
      <c r="T3548" s="16" t="n">
        <v>570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2.4 %</t>
        </is>
      </c>
      <c r="AA3548" s="12">
        <f>N3548*O3548</f>
        <v/>
      </c>
    </row>
    <row r="3549">
      <c r="A3549" s="12" t="inlineStr">
        <is>
          <t>G-P-0016</t>
        </is>
      </c>
      <c r="B3549" s="12" t="inlineStr">
        <is>
          <t>G</t>
        </is>
      </c>
      <c r="C3549" s="12" t="inlineStr">
        <is>
          <t>Carbon capture</t>
        </is>
      </c>
      <c r="D3549" s="12" t="inlineStr">
        <is>
          <t>480 V welding receptacle 2</t>
        </is>
      </c>
      <c r="E3549" s="12" t="inlineStr"/>
      <c r="F3549" s="12" t="inlineStr">
        <is>
          <t>CCS MV switchgear building (VFDs)</t>
        </is>
      </c>
      <c r="G3549" s="12" t="inlineStr">
        <is>
          <t>ABS-A</t>
        </is>
      </c>
      <c r="H3549" s="12" t="inlineStr">
        <is>
          <t>Absorber A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60</v>
      </c>
      <c r="R3549" s="12" t="n">
        <v>76</v>
      </c>
      <c r="S3549" s="12" t="inlineStr">
        <is>
          <t>Tray</t>
        </is>
      </c>
      <c r="T3549" s="16" t="n">
        <v>570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2.4 %</t>
        </is>
      </c>
      <c r="AA3549" s="12">
        <f>N3549*O3549</f>
        <v/>
      </c>
    </row>
    <row r="3550">
      <c r="A3550" s="12" t="inlineStr">
        <is>
          <t>G-P-0017</t>
        </is>
      </c>
      <c r="B3550" s="12" t="inlineStr">
        <is>
          <t>G</t>
        </is>
      </c>
      <c r="C3550" s="12" t="inlineStr">
        <is>
          <t>Carbon capture</t>
        </is>
      </c>
      <c r="D3550" s="12" t="inlineStr">
        <is>
          <t>480 V welding receptacle 3</t>
        </is>
      </c>
      <c r="E3550" s="12" t="inlineStr"/>
      <c r="F3550" s="12" t="inlineStr">
        <is>
          <t>CCS MV switchgear building (VFDs)</t>
        </is>
      </c>
      <c r="G3550" s="12" t="inlineStr">
        <is>
          <t>ABS-A</t>
        </is>
      </c>
      <c r="H3550" s="12" t="inlineStr">
        <is>
          <t>Absorber A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60</v>
      </c>
      <c r="R3550" s="12" t="n">
        <v>76</v>
      </c>
      <c r="S3550" s="12" t="inlineStr">
        <is>
          <t>Tray</t>
        </is>
      </c>
      <c r="T3550" s="16" t="n">
        <v>570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2.4 %</t>
        </is>
      </c>
      <c r="AA3550" s="12">
        <f>N3550*O3550</f>
        <v/>
      </c>
    </row>
    <row r="3551">
      <c r="A3551" s="12" t="inlineStr">
        <is>
          <t>G-P-0018</t>
        </is>
      </c>
      <c r="B3551" s="12" t="inlineStr">
        <is>
          <t>G</t>
        </is>
      </c>
      <c r="C3551" s="12" t="inlineStr">
        <is>
          <t>Carbon capture</t>
        </is>
      </c>
      <c r="D3551" s="12" t="inlineStr">
        <is>
          <t>480 V welding receptacle 4</t>
        </is>
      </c>
      <c r="E3551" s="12" t="inlineStr"/>
      <c r="F3551" s="12" t="inlineStr">
        <is>
          <t>CCS MV switchgear building (VFDs)</t>
        </is>
      </c>
      <c r="G3551" s="12" t="inlineStr">
        <is>
          <t>ABS-A</t>
        </is>
      </c>
      <c r="H3551" s="12" t="inlineStr">
        <is>
          <t>Absorber A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60</v>
      </c>
      <c r="R3551" s="12" t="n">
        <v>76</v>
      </c>
      <c r="S3551" s="12" t="inlineStr">
        <is>
          <t>Tray</t>
        </is>
      </c>
      <c r="T3551" s="16" t="n">
        <v>570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2.4 %</t>
        </is>
      </c>
      <c r="AA3551" s="12">
        <f>N3551*O3551</f>
        <v/>
      </c>
    </row>
    <row r="3552">
      <c r="A3552" s="12" t="inlineStr">
        <is>
          <t>G-P-0019</t>
        </is>
      </c>
      <c r="B3552" s="12" t="inlineStr">
        <is>
          <t>G</t>
        </is>
      </c>
      <c r="C3552" s="12" t="inlineStr">
        <is>
          <t>Carbon capture</t>
        </is>
      </c>
      <c r="D3552" s="12" t="inlineStr">
        <is>
          <t>Motor 1 of 2, 150 kW</t>
        </is>
      </c>
      <c r="E3552" s="12" t="inlineStr"/>
      <c r="F3552" s="12" t="inlineStr">
        <is>
          <t>CCS MV switchgear building (VFDs)</t>
        </is>
      </c>
      <c r="G3552" s="12" t="inlineStr"/>
      <c r="H3552" s="12" t="inlineStr">
        <is>
          <t>Absorber A intercooler (pumps + plate exchanger)</t>
        </is>
      </c>
      <c r="I3552" s="12" t="inlineStr">
        <is>
          <t>LV 600 V</t>
        </is>
      </c>
      <c r="J3552" s="12" t="inlineStr">
        <is>
          <t>Type TC-ER 600 V 3/C Cu XHHW-2 + ground, PVC jacket</t>
        </is>
      </c>
      <c r="K3552" s="12" t="inlineStr">
        <is>
          <t>LV|3/C+G|350</t>
        </is>
      </c>
      <c r="L3552" s="12" t="inlineStr">
        <is>
          <t>3/C+G</t>
        </is>
      </c>
      <c r="M3552" s="12" t="inlineStr">
        <is>
          <t>350 kcmil</t>
        </is>
      </c>
      <c r="N3552" s="12" t="n">
        <v>1</v>
      </c>
      <c r="O3552" s="12" t="n">
        <v>1</v>
      </c>
      <c r="P3552" s="12" t="n">
        <v>480</v>
      </c>
      <c r="Q3552" s="12" t="n">
        <v>150</v>
      </c>
      <c r="R3552" s="12" t="n">
        <v>212.3</v>
      </c>
      <c r="S3552" s="12" t="inlineStr">
        <is>
          <t>Tray</t>
        </is>
      </c>
      <c r="T3552" s="16" t="n">
        <v>552</v>
      </c>
      <c r="U3552" s="16" t="n">
        <v>81</v>
      </c>
      <c r="V3552" s="16">
        <f>ROUNDUP((T3552+U3552+2*'Read Me'!$B$13)*(1+'Read Me'!$B$12),-1)</f>
        <v/>
      </c>
      <c r="W3552" s="16">
        <f>V3552*N3552*O3552</f>
        <v/>
      </c>
      <c r="X3552" s="12">
        <f>IF(LEFT(I3552,2)="MV",2*N3552*IF(L3552="1/C",O3552,1),0)</f>
        <v/>
      </c>
      <c r="Y3552" s="12">
        <f>IF(OR(LEFT(K3552,4)="LVAX",LEFT(K3552,6)="MV15AX",LEFT(K3552,4)="CTAX",LEFT(K3552,2)="W|"),2*N3552*O3552,0)</f>
        <v/>
      </c>
      <c r="Z3552" s="12" t="inlineStr">
        <is>
          <t>VD 2.0 %</t>
        </is>
      </c>
      <c r="AA3552" s="12">
        <f>N3552*O3552</f>
        <v/>
      </c>
    </row>
    <row r="3553">
      <c r="A3553" s="12" t="inlineStr">
        <is>
          <t>G-P-0020</t>
        </is>
      </c>
      <c r="B3553" s="12" t="inlineStr">
        <is>
          <t>G</t>
        </is>
      </c>
      <c r="C3553" s="12" t="inlineStr">
        <is>
          <t>Carbon capture</t>
        </is>
      </c>
      <c r="D3553" s="12" t="inlineStr">
        <is>
          <t>Motor 2 of 2, 150 kW</t>
        </is>
      </c>
      <c r="E3553" s="12" t="inlineStr"/>
      <c r="F3553" s="12" t="inlineStr">
        <is>
          <t>CCS MV switchgear building (VFDs)</t>
        </is>
      </c>
      <c r="G3553" s="12" t="inlineStr"/>
      <c r="H3553" s="12" t="inlineStr">
        <is>
          <t>Absorber A intercooler (pumps + plate exchanger)</t>
        </is>
      </c>
      <c r="I3553" s="12" t="inlineStr">
        <is>
          <t>LV 600 V</t>
        </is>
      </c>
      <c r="J3553" s="12" t="inlineStr">
        <is>
          <t>Type TC-ER 600 V 3/C Cu XHHW-2 + ground, PVC jacket</t>
        </is>
      </c>
      <c r="K3553" s="12" t="inlineStr">
        <is>
          <t>LV|3/C+G|350</t>
        </is>
      </c>
      <c r="L3553" s="12" t="inlineStr">
        <is>
          <t>3/C+G</t>
        </is>
      </c>
      <c r="M3553" s="12" t="inlineStr">
        <is>
          <t>350 kcmil</t>
        </is>
      </c>
      <c r="N3553" s="12" t="n">
        <v>1</v>
      </c>
      <c r="O3553" s="12" t="n">
        <v>1</v>
      </c>
      <c r="P3553" s="12" t="n">
        <v>480</v>
      </c>
      <c r="Q3553" s="12" t="n">
        <v>150</v>
      </c>
      <c r="R3553" s="12" t="n">
        <v>212.3</v>
      </c>
      <c r="S3553" s="12" t="inlineStr">
        <is>
          <t>Tray</t>
        </is>
      </c>
      <c r="T3553" s="16" t="n">
        <v>552</v>
      </c>
      <c r="U3553" s="16" t="n">
        <v>81</v>
      </c>
      <c r="V3553" s="16">
        <f>ROUNDUP((T3553+U3553+2*'Read Me'!$B$13)*(1+'Read Me'!$B$12),-1)</f>
        <v/>
      </c>
      <c r="W3553" s="16">
        <f>V3553*N3553*O3553</f>
        <v/>
      </c>
      <c r="X3553" s="12">
        <f>IF(LEFT(I3553,2)="MV",2*N3553*IF(L3553="1/C",O3553,1),0)</f>
        <v/>
      </c>
      <c r="Y3553" s="12">
        <f>IF(OR(LEFT(K3553,4)="LVAX",LEFT(K3553,6)="MV15AX",LEFT(K3553,4)="CTAX",LEFT(K3553,2)="W|"),2*N3553*O3553,0)</f>
        <v/>
      </c>
      <c r="Z3553" s="12" t="inlineStr">
        <is>
          <t>VD 2.0 %</t>
        </is>
      </c>
      <c r="AA3553" s="12">
        <f>N3553*O3553</f>
        <v/>
      </c>
    </row>
    <row r="3554">
      <c r="A3554" s="12" t="inlineStr">
        <is>
          <t>G-P-0021</t>
        </is>
      </c>
      <c r="B3554" s="12" t="inlineStr">
        <is>
          <t>G</t>
        </is>
      </c>
      <c r="C3554" s="12" t="inlineStr">
        <is>
          <t>Carbon capture</t>
        </is>
      </c>
      <c r="D3554" s="12" t="inlineStr">
        <is>
          <t>MOV 1: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G-P-0022</t>
        </is>
      </c>
      <c r="B3555" s="12" t="inlineStr">
        <is>
          <t>G</t>
        </is>
      </c>
      <c r="C3555" s="12" t="inlineStr">
        <is>
          <t>Carbon capture</t>
        </is>
      </c>
      <c r="D3555" s="12" t="inlineStr">
        <is>
          <t>MOV 2: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G-P-0023</t>
        </is>
      </c>
      <c r="B3556" s="12" t="inlineStr">
        <is>
          <t>G</t>
        </is>
      </c>
      <c r="C3556" s="12" t="inlineStr">
        <is>
          <t>Carbon capture</t>
        </is>
      </c>
      <c r="D3556" s="12" t="inlineStr">
        <is>
          <t>MOV 3: power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0.8 %</t>
        </is>
      </c>
      <c r="AA3556" s="12">
        <f>N3556*O3556</f>
        <v/>
      </c>
    </row>
    <row r="3557">
      <c r="A3557" s="12" t="inlineStr">
        <is>
          <t>G-P-0024</t>
        </is>
      </c>
      <c r="B3557" s="12" t="inlineStr">
        <is>
          <t>G</t>
        </is>
      </c>
      <c r="C3557" s="12" t="inlineStr">
        <is>
          <t>Carbon capture</t>
        </is>
      </c>
      <c r="D3557" s="12" t="inlineStr">
        <is>
          <t>MOV 4: power</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6" t="n">
        <v>410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0.8 %</t>
        </is>
      </c>
      <c r="AA3557" s="12">
        <f>N3557*O3557</f>
        <v/>
      </c>
    </row>
    <row r="3558">
      <c r="A3558" s="12" t="inlineStr">
        <is>
          <t>G-P-0025</t>
        </is>
      </c>
      <c r="B3558" s="12" t="inlineStr">
        <is>
          <t>G</t>
        </is>
      </c>
      <c r="C3558" s="12" t="inlineStr">
        <is>
          <t>Carbon capture</t>
        </is>
      </c>
      <c r="D3558" s="12" t="inlineStr">
        <is>
          <t>MOV 5: power</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6" t="n">
        <v>410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VD 0.8 %</t>
        </is>
      </c>
      <c r="AA3558" s="12">
        <f>N3558*O3558</f>
        <v/>
      </c>
    </row>
    <row r="3559">
      <c r="A3559" s="12" t="inlineStr">
        <is>
          <t>G-P-0026</t>
        </is>
      </c>
      <c r="B3559" s="12" t="inlineStr">
        <is>
          <t>G</t>
        </is>
      </c>
      <c r="C3559" s="12" t="inlineStr">
        <is>
          <t>Carbon capture</t>
        </is>
      </c>
      <c r="D3559" s="12" t="inlineStr">
        <is>
          <t>MOV 6: power</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6" t="n">
        <v>410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VD 0.8 %</t>
        </is>
      </c>
      <c r="AA3559" s="12">
        <f>N3559*O3559</f>
        <v/>
      </c>
    </row>
    <row r="3560">
      <c r="A3560" s="12" t="inlineStr">
        <is>
          <t>G-P-0027</t>
        </is>
      </c>
      <c r="B3560" s="12" t="inlineStr">
        <is>
          <t>G</t>
        </is>
      </c>
      <c r="C3560" s="12" t="inlineStr">
        <is>
          <t>Carbon capture</t>
        </is>
      </c>
      <c r="D3560" s="12" t="inlineStr">
        <is>
          <t>MOV 7: power</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0.8 %</t>
        </is>
      </c>
      <c r="AA3560" s="12">
        <f>N3560*O3560</f>
        <v/>
      </c>
    </row>
    <row r="3561">
      <c r="A3561" s="12" t="inlineStr">
        <is>
          <t>G-P-0028</t>
        </is>
      </c>
      <c r="B3561" s="12" t="inlineStr">
        <is>
          <t>G</t>
        </is>
      </c>
      <c r="C3561" s="12" t="inlineStr">
        <is>
          <t>Carbon capture</t>
        </is>
      </c>
      <c r="D3561" s="12" t="inlineStr">
        <is>
          <t>MOV 8: power</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0.8 %</t>
        </is>
      </c>
      <c r="AA3561" s="12">
        <f>N3561*O3561</f>
        <v/>
      </c>
    </row>
    <row r="3562">
      <c r="A3562" s="12" t="inlineStr">
        <is>
          <t>G-P-0029</t>
        </is>
      </c>
      <c r="B3562" s="12" t="inlineStr">
        <is>
          <t>G</t>
        </is>
      </c>
      <c r="C3562" s="12" t="inlineStr">
        <is>
          <t>Carbon capture</t>
        </is>
      </c>
      <c r="D3562" s="12" t="inlineStr">
        <is>
          <t>MOV 9: power</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0.8 %</t>
        </is>
      </c>
      <c r="AA3562" s="12">
        <f>N3562*O3562</f>
        <v/>
      </c>
    </row>
    <row r="3563">
      <c r="A3563" s="12" t="inlineStr">
        <is>
          <t>G-P-0030</t>
        </is>
      </c>
      <c r="B3563" s="12" t="inlineStr">
        <is>
          <t>G</t>
        </is>
      </c>
      <c r="C3563" s="12" t="inlineStr">
        <is>
          <t>Carbon capture</t>
        </is>
      </c>
      <c r="D3563" s="12" t="inlineStr">
        <is>
          <t>MOV 10: power</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0.8 %</t>
        </is>
      </c>
      <c r="AA3563" s="12">
        <f>N3563*O3563</f>
        <v/>
      </c>
    </row>
    <row r="3564">
      <c r="A3564" s="12" t="inlineStr">
        <is>
          <t>G-P-0031</t>
        </is>
      </c>
      <c r="B3564" s="12" t="inlineStr">
        <is>
          <t>G</t>
        </is>
      </c>
      <c r="C3564" s="12" t="inlineStr">
        <is>
          <t>Carbon capture</t>
        </is>
      </c>
      <c r="D3564" s="12" t="inlineStr">
        <is>
          <t>LV power feeder</t>
        </is>
      </c>
      <c r="E3564" s="12" t="inlineStr"/>
      <c r="F3564" s="12" t="inlineStr">
        <is>
          <t>CCS MV switchgear building (VFDs)</t>
        </is>
      </c>
      <c r="G3564" s="12" t="inlineStr">
        <is>
          <t>ABS-B</t>
        </is>
      </c>
      <c r="H3564" s="12" t="inlineStr">
        <is>
          <t>Absorber B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6" t="n">
        <v>410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2.1 %</t>
        </is>
      </c>
      <c r="AA3564" s="12">
        <f>N3564*O3564</f>
        <v/>
      </c>
    </row>
    <row r="3565">
      <c r="A3565" s="12" t="inlineStr">
        <is>
          <t>G-P-0032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ABS-B</t>
        </is>
      </c>
      <c r="H3565" s="12" t="inlineStr">
        <is>
          <t>Absorber B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6" t="n">
        <v>710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G-P-0033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ABS-B</t>
        </is>
      </c>
      <c r="H3566" s="12" t="inlineStr">
        <is>
          <t>Absorber B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6" t="n">
        <v>710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G-P-0034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ABS-B</t>
        </is>
      </c>
      <c r="H3567" s="12" t="inlineStr">
        <is>
          <t>Absorber B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6" t="n">
        <v>710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G-P-0035</t>
        </is>
      </c>
      <c r="B3568" s="12" t="inlineStr">
        <is>
          <t>G</t>
        </is>
      </c>
      <c r="C3568" s="12" t="inlineStr">
        <is>
          <t>Carbon capture</t>
        </is>
      </c>
      <c r="D3568" s="12" t="inlineStr">
        <is>
          <t>480 V welding receptacle 1</t>
        </is>
      </c>
      <c r="E3568" s="12" t="inlineStr"/>
      <c r="F3568" s="12" t="inlineStr">
        <is>
          <t>CCS MV switchgear building (VFDs)</t>
        </is>
      </c>
      <c r="G3568" s="12" t="inlineStr">
        <is>
          <t>ABS-B</t>
        </is>
      </c>
      <c r="H3568" s="12" t="inlineStr">
        <is>
          <t>Absorber B (62 ft dia x 262 ft, stack to 313 ft)</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Tray</t>
        </is>
      </c>
      <c r="T3568" s="16" t="n">
        <v>410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2.9 %</t>
        </is>
      </c>
      <c r="AA3568" s="12">
        <f>N3568*O3568</f>
        <v/>
      </c>
    </row>
    <row r="3569">
      <c r="A3569" s="12" t="inlineStr">
        <is>
          <t>G-P-0036</t>
        </is>
      </c>
      <c r="B3569" s="12" t="inlineStr">
        <is>
          <t>G</t>
        </is>
      </c>
      <c r="C3569" s="12" t="inlineStr">
        <is>
          <t>Carbon capture</t>
        </is>
      </c>
      <c r="D3569" s="12" t="inlineStr">
        <is>
          <t>480 V welding receptacle 2</t>
        </is>
      </c>
      <c r="E3569" s="12" t="inlineStr"/>
      <c r="F3569" s="12" t="inlineStr">
        <is>
          <t>CCS MV switchgear building (VFDs)</t>
        </is>
      </c>
      <c r="G3569" s="12" t="inlineStr">
        <is>
          <t>ABS-B</t>
        </is>
      </c>
      <c r="H3569" s="12" t="inlineStr">
        <is>
          <t>Absorber B (62 ft dia x 262 ft, stack to 313 ft)</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Tray</t>
        </is>
      </c>
      <c r="T3569" s="16" t="n">
        <v>410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2.9 %</t>
        </is>
      </c>
      <c r="AA3569" s="12">
        <f>N3569*O3569</f>
        <v/>
      </c>
    </row>
    <row r="3570">
      <c r="A3570" s="12" t="inlineStr">
        <is>
          <t>G-P-0037</t>
        </is>
      </c>
      <c r="B3570" s="12" t="inlineStr">
        <is>
          <t>G</t>
        </is>
      </c>
      <c r="C3570" s="12" t="inlineStr">
        <is>
          <t>Carbon capture</t>
        </is>
      </c>
      <c r="D3570" s="12" t="inlineStr">
        <is>
          <t>480 V welding receptacle 3</t>
        </is>
      </c>
      <c r="E3570" s="12" t="inlineStr"/>
      <c r="F3570" s="12" t="inlineStr">
        <is>
          <t>CCS MV switchgear building (VFDs)</t>
        </is>
      </c>
      <c r="G3570" s="12" t="inlineStr">
        <is>
          <t>ABS-B</t>
        </is>
      </c>
      <c r="H3570" s="12" t="inlineStr">
        <is>
          <t>Absorber B (62 ft dia x 262 ft, stack to 313 ft)</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Tray</t>
        </is>
      </c>
      <c r="T3570" s="16" t="n">
        <v>410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2.9 %</t>
        </is>
      </c>
      <c r="AA3570" s="12">
        <f>N3570*O3570</f>
        <v/>
      </c>
    </row>
    <row r="3571">
      <c r="A3571" s="12" t="inlineStr">
        <is>
          <t>G-P-0038</t>
        </is>
      </c>
      <c r="B3571" s="12" t="inlineStr">
        <is>
          <t>G</t>
        </is>
      </c>
      <c r="C3571" s="12" t="inlineStr">
        <is>
          <t>Carbon capture</t>
        </is>
      </c>
      <c r="D3571" s="12" t="inlineStr">
        <is>
          <t>480 V welding receptacle 4</t>
        </is>
      </c>
      <c r="E3571" s="12" t="inlineStr"/>
      <c r="F3571" s="12" t="inlineStr">
        <is>
          <t>CCS MV switchgear building (VFDs)</t>
        </is>
      </c>
      <c r="G3571" s="12" t="inlineStr">
        <is>
          <t>ABS-B</t>
        </is>
      </c>
      <c r="H3571" s="12" t="inlineStr">
        <is>
          <t>Absorber B (62 ft dia x 262 ft, stack to 313 ft)</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Tray</t>
        </is>
      </c>
      <c r="T3571" s="16" t="n">
        <v>410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2.9 %</t>
        </is>
      </c>
      <c r="AA3571" s="12">
        <f>N3571*O3571</f>
        <v/>
      </c>
    </row>
    <row r="3572">
      <c r="A3572" s="12" t="inlineStr">
        <is>
          <t>G-P-0039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B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6" t="n">
        <v>392</v>
      </c>
      <c r="U3572" s="16" t="n">
        <v>81</v>
      </c>
      <c r="V3572" s="16">
        <f>ROUNDUP((T3572+U3572+2*'Read Me'!$B$13)*(1+'Read Me'!$B$12),-1)</f>
        <v/>
      </c>
      <c r="W3572" s="16">
        <f>V3572*N3572*O3572</f>
        <v/>
      </c>
      <c r="X3572" s="12">
        <f>IF(LEFT(I3572,2)="MV",2*N3572*IF(L3572="1/C",O3572,1),0)</f>
        <v/>
      </c>
      <c r="Y3572" s="12">
        <f>IF(OR(LEFT(K3572,4)="LVAX",LEFT(K3572,6)="MV15AX",LEFT(K3572,4)="CTAX",LEFT(K3572,2)="W|"),2*N3572*O3572,0)</f>
        <v/>
      </c>
      <c r="Z3572" s="12" t="inlineStr">
        <is>
          <t>VD 1.5 %</t>
        </is>
      </c>
      <c r="AA3572" s="12">
        <f>N3572*O3572</f>
        <v/>
      </c>
    </row>
    <row r="3573">
      <c r="A3573" s="12" t="inlineStr">
        <is>
          <t>G-P-0040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B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6" t="n">
        <v>392</v>
      </c>
      <c r="U3573" s="16" t="n">
        <v>81</v>
      </c>
      <c r="V3573" s="16">
        <f>ROUNDUP((T3573+U3573+2*'Read Me'!$B$13)*(1+'Read Me'!$B$12),-1)</f>
        <v/>
      </c>
      <c r="W3573" s="16">
        <f>V3573*N3573*O3573</f>
        <v/>
      </c>
      <c r="X3573" s="12">
        <f>IF(LEFT(I3573,2)="MV",2*N3573*IF(L3573="1/C",O3573,1),0)</f>
        <v/>
      </c>
      <c r="Y3573" s="12">
        <f>IF(OR(LEFT(K3573,4)="LVAX",LEFT(K3573,6)="MV15AX",LEFT(K3573,4)="CTAX",LEFT(K3573,2)="W|"),2*N3573*O3573,0)</f>
        <v/>
      </c>
      <c r="Z3573" s="12" t="inlineStr">
        <is>
          <t>VD 1.5 %</t>
        </is>
      </c>
      <c r="AA3573" s="12">
        <f>N3573*O3573</f>
        <v/>
      </c>
    </row>
    <row r="3574">
      <c r="A3574" s="12" t="inlineStr">
        <is>
          <t>G-P-0041</t>
        </is>
      </c>
      <c r="B3574" s="12" t="inlineStr">
        <is>
          <t>G</t>
        </is>
      </c>
      <c r="C3574" s="12" t="inlineStr">
        <is>
          <t>Carbon capture</t>
        </is>
      </c>
      <c r="D3574" s="12" t="inlineStr">
        <is>
          <t>MOV 1: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G-P-0042</t>
        </is>
      </c>
      <c r="B3575" s="12" t="inlineStr">
        <is>
          <t>G</t>
        </is>
      </c>
      <c r="C3575" s="12" t="inlineStr">
        <is>
          <t>Carbon capture</t>
        </is>
      </c>
      <c r="D3575" s="12" t="inlineStr">
        <is>
          <t>MOV 2: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G-P-0043</t>
        </is>
      </c>
      <c r="B3576" s="12" t="inlineStr">
        <is>
          <t>G</t>
        </is>
      </c>
      <c r="C3576" s="12" t="inlineStr">
        <is>
          <t>Carbon capture</t>
        </is>
      </c>
      <c r="D3576" s="12" t="inlineStr">
        <is>
          <t>MOV 3: power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0.6 %</t>
        </is>
      </c>
      <c r="AA3576" s="12">
        <f>N3576*O3576</f>
        <v/>
      </c>
    </row>
    <row r="3577">
      <c r="A3577" s="12" t="inlineStr">
        <is>
          <t>G-P-0044</t>
        </is>
      </c>
      <c r="B3577" s="12" t="inlineStr">
        <is>
          <t>G</t>
        </is>
      </c>
      <c r="C3577" s="12" t="inlineStr">
        <is>
          <t>Carbon capture</t>
        </is>
      </c>
      <c r="D3577" s="12" t="inlineStr">
        <is>
          <t>MOV 4: power</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6" t="n">
        <v>250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VD 0.6 %</t>
        </is>
      </c>
      <c r="AA3577" s="12">
        <f>N3577*O3577</f>
        <v/>
      </c>
    </row>
    <row r="3578">
      <c r="A3578" s="12" t="inlineStr">
        <is>
          <t>G-P-0045</t>
        </is>
      </c>
      <c r="B3578" s="12" t="inlineStr">
        <is>
          <t>G</t>
        </is>
      </c>
      <c r="C3578" s="12" t="inlineStr">
        <is>
          <t>Carbon capture</t>
        </is>
      </c>
      <c r="D3578" s="12" t="inlineStr">
        <is>
          <t>MOV 5: power</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6" t="n">
        <v>250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VD 0.6 %</t>
        </is>
      </c>
      <c r="AA3578" s="12">
        <f>N3578*O3578</f>
        <v/>
      </c>
    </row>
    <row r="3579">
      <c r="A3579" s="12" t="inlineStr">
        <is>
          <t>G-P-0046</t>
        </is>
      </c>
      <c r="B3579" s="12" t="inlineStr">
        <is>
          <t>G</t>
        </is>
      </c>
      <c r="C3579" s="12" t="inlineStr">
        <is>
          <t>Carbon capture</t>
        </is>
      </c>
      <c r="D3579" s="12" t="inlineStr">
        <is>
          <t>MOV 6: power</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6" t="n">
        <v>250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VD 0.6 %</t>
        </is>
      </c>
      <c r="AA3579" s="12">
        <f>N3579*O3579</f>
        <v/>
      </c>
    </row>
    <row r="3580">
      <c r="A3580" s="12" t="inlineStr">
        <is>
          <t>G-P-0047</t>
        </is>
      </c>
      <c r="B3580" s="12" t="inlineStr">
        <is>
          <t>G</t>
        </is>
      </c>
      <c r="C3580" s="12" t="inlineStr">
        <is>
          <t>Carbon capture</t>
        </is>
      </c>
      <c r="D3580" s="12" t="inlineStr">
        <is>
          <t>MOV 7: power</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0.6 %</t>
        </is>
      </c>
      <c r="AA3580" s="12">
        <f>N3580*O3580</f>
        <v/>
      </c>
    </row>
    <row r="3581">
      <c r="A3581" s="12" t="inlineStr">
        <is>
          <t>G-P-0048</t>
        </is>
      </c>
      <c r="B3581" s="12" t="inlineStr">
        <is>
          <t>G</t>
        </is>
      </c>
      <c r="C3581" s="12" t="inlineStr">
        <is>
          <t>Carbon capture</t>
        </is>
      </c>
      <c r="D3581" s="12" t="inlineStr">
        <is>
          <t>MOV 8: power</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0.6 %</t>
        </is>
      </c>
      <c r="AA3581" s="12">
        <f>N3581*O3581</f>
        <v/>
      </c>
    </row>
    <row r="3582">
      <c r="A3582" s="12" t="inlineStr">
        <is>
          <t>G-P-0049</t>
        </is>
      </c>
      <c r="B3582" s="12" t="inlineStr">
        <is>
          <t>G</t>
        </is>
      </c>
      <c r="C3582" s="12" t="inlineStr">
        <is>
          <t>Carbon capture</t>
        </is>
      </c>
      <c r="D3582" s="12" t="inlineStr">
        <is>
          <t>MOV 9: power</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0.6 %</t>
        </is>
      </c>
      <c r="AA3582" s="12">
        <f>N3582*O3582</f>
        <v/>
      </c>
    </row>
    <row r="3583">
      <c r="A3583" s="12" t="inlineStr">
        <is>
          <t>G-P-0050</t>
        </is>
      </c>
      <c r="B3583" s="12" t="inlineStr">
        <is>
          <t>G</t>
        </is>
      </c>
      <c r="C3583" s="12" t="inlineStr">
        <is>
          <t>Carbon capture</t>
        </is>
      </c>
      <c r="D3583" s="12" t="inlineStr">
        <is>
          <t>MOV 10: power</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0.6 %</t>
        </is>
      </c>
      <c r="AA3583" s="12">
        <f>N3583*O3583</f>
        <v/>
      </c>
    </row>
    <row r="3584">
      <c r="A3584" s="12" t="inlineStr">
        <is>
          <t>G-P-0051</t>
        </is>
      </c>
      <c r="B3584" s="12" t="inlineStr">
        <is>
          <t>G</t>
        </is>
      </c>
      <c r="C3584" s="12" t="inlineStr">
        <is>
          <t>Carbon capture</t>
        </is>
      </c>
      <c r="D3584" s="12" t="inlineStr">
        <is>
          <t>LV power feeder</t>
        </is>
      </c>
      <c r="E3584" s="12" t="inlineStr"/>
      <c r="F3584" s="12" t="inlineStr">
        <is>
          <t>CCS MV switchgear building (VFDs)</t>
        </is>
      </c>
      <c r="G3584" s="12" t="inlineStr">
        <is>
          <t>ABS-C</t>
        </is>
      </c>
      <c r="H3584" s="12" t="inlineStr">
        <is>
          <t>Absorber C (62 ft dia x 262 ft, stack to 313 ft)</t>
        </is>
      </c>
      <c r="I3584" s="12" t="inlineStr">
        <is>
          <t>LV 600 V</t>
        </is>
      </c>
      <c r="J3584" s="12" t="inlineStr">
        <is>
          <t>Type TC-ER 600 V 3/C Cu XHHW-2 + ground, PVC jacket</t>
        </is>
      </c>
      <c r="K3584" s="12" t="inlineStr">
        <is>
          <t>LV|3/C+G|4</t>
        </is>
      </c>
      <c r="L3584" s="12" t="inlineStr">
        <is>
          <t>3/C+G</t>
        </is>
      </c>
      <c r="M3584" s="12" t="inlineStr">
        <is>
          <t>4</t>
        </is>
      </c>
      <c r="N3584" s="12" t="n">
        <v>1</v>
      </c>
      <c r="O3584" s="12" t="n">
        <v>1</v>
      </c>
      <c r="P3584" s="12" t="n">
        <v>480</v>
      </c>
      <c r="Q3584" s="12" t="n">
        <v>40</v>
      </c>
      <c r="R3584" s="12" t="n">
        <v>56.6</v>
      </c>
      <c r="S3584" s="12" t="inlineStr">
        <is>
          <t>Tray</t>
        </is>
      </c>
      <c r="T3584" s="16" t="n">
        <v>250</v>
      </c>
      <c r="U3584" s="16" t="n">
        <v>80</v>
      </c>
      <c r="V3584" s="16">
        <f>ROUNDUP((T3584+U3584+2*'Read Me'!$B$13)*(1+'Read Me'!$B$12),-1)</f>
        <v/>
      </c>
      <c r="W3584" s="16">
        <f>V3584*N3584*O3584</f>
        <v/>
      </c>
      <c r="X3584" s="12">
        <f>IF(LEFT(I3584,2)="MV",2*N3584*IF(L3584="1/C",O3584,1),0)</f>
        <v/>
      </c>
      <c r="Y3584" s="12">
        <f>IF(OR(LEFT(K3584,4)="LVAX",LEFT(K3584,6)="MV15AX",LEFT(K3584,4)="CTAX",LEFT(K3584,2)="W|"),2*N3584*O3584,0)</f>
        <v/>
      </c>
      <c r="Z3584" s="12" t="inlineStr">
        <is>
          <t>VD 2.3 %</t>
        </is>
      </c>
      <c r="AA3584" s="12">
        <f>N3584*O3584</f>
        <v/>
      </c>
    </row>
    <row r="3585">
      <c r="A3585" s="12" t="inlineStr">
        <is>
          <t>G-P-0052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ABS-C</t>
        </is>
      </c>
      <c r="H3585" s="12" t="inlineStr">
        <is>
          <t>Absorber C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6" t="n">
        <v>550</v>
      </c>
      <c r="U3585" s="16" t="n">
        <v>80</v>
      </c>
      <c r="V3585" s="16">
        <f>ROUNDUP((T3585+U3585+2*'Read Me'!$B$13)*(1+'Read Me'!$B$12),-1)</f>
        <v/>
      </c>
      <c r="W3585" s="16">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G-P-0053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ABS-C</t>
        </is>
      </c>
      <c r="H3586" s="12" t="inlineStr">
        <is>
          <t>Absorber C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6" t="n">
        <v>550</v>
      </c>
      <c r="U3586" s="16" t="n">
        <v>80</v>
      </c>
      <c r="V3586" s="16">
        <f>ROUNDUP((T3586+U3586+2*'Read Me'!$B$13)*(1+'Read Me'!$B$12),-1)</f>
        <v/>
      </c>
      <c r="W3586" s="16">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G-P-0054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ABS-C</t>
        </is>
      </c>
      <c r="H3587" s="12" t="inlineStr">
        <is>
          <t>Absorber C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6" t="n">
        <v>550</v>
      </c>
      <c r="U3587" s="16" t="n">
        <v>80</v>
      </c>
      <c r="V3587" s="16">
        <f>ROUNDUP((T3587+U3587+2*'Read Me'!$B$13)*(1+'Read Me'!$B$12),-1)</f>
        <v/>
      </c>
      <c r="W3587" s="16">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G-P-0055</t>
        </is>
      </c>
      <c r="B3588" s="12" t="inlineStr">
        <is>
          <t>G</t>
        </is>
      </c>
      <c r="C3588" s="12" t="inlineStr">
        <is>
          <t>Carbon capture</t>
        </is>
      </c>
      <c r="D3588" s="12" t="inlineStr">
        <is>
          <t>480 V welding receptacle 1</t>
        </is>
      </c>
      <c r="E3588" s="12" t="inlineStr"/>
      <c r="F3588" s="12" t="inlineStr">
        <is>
          <t>CCS MV switchgear building (VFDs)</t>
        </is>
      </c>
      <c r="G3588" s="12" t="inlineStr">
        <is>
          <t>ABS-C</t>
        </is>
      </c>
      <c r="H3588" s="12" t="inlineStr">
        <is>
          <t>Absorber C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6" t="n">
        <v>250</v>
      </c>
      <c r="U3588" s="16" t="n">
        <v>80</v>
      </c>
      <c r="V3588" s="16">
        <f>ROUNDUP((T3588+U3588+2*'Read Me'!$B$13)*(1+'Read Me'!$B$12),-1)</f>
        <v/>
      </c>
      <c r="W3588" s="16">
        <f>V3588*N3588*O3588</f>
        <v/>
      </c>
      <c r="X3588" s="12">
        <f>IF(LEFT(I3588,2)="MV",2*N3588*IF(L3588="1/C",O3588,1),0)</f>
        <v/>
      </c>
      <c r="Y3588" s="12">
        <f>IF(OR(LEFT(K3588,4)="LVAX",LEFT(K3588,6)="MV15AX",LEFT(K3588,4)="CTAX",LEFT(K3588,2)="W|"),2*N3588*O3588,0)</f>
        <v/>
      </c>
      <c r="Z3588" s="12" t="inlineStr">
        <is>
          <t>VD 1.9 %</t>
        </is>
      </c>
      <c r="AA3588" s="12">
        <f>N3588*O3588</f>
        <v/>
      </c>
    </row>
    <row r="3589">
      <c r="A3589" s="12" t="inlineStr">
        <is>
          <t>G-P-0056</t>
        </is>
      </c>
      <c r="B3589" s="12" t="inlineStr">
        <is>
          <t>G</t>
        </is>
      </c>
      <c r="C3589" s="12" t="inlineStr">
        <is>
          <t>Carbon capture</t>
        </is>
      </c>
      <c r="D3589" s="12" t="inlineStr">
        <is>
          <t>480 V welding receptacle 2</t>
        </is>
      </c>
      <c r="E3589" s="12" t="inlineStr"/>
      <c r="F3589" s="12" t="inlineStr">
        <is>
          <t>CCS MV switchgear building (VFDs)</t>
        </is>
      </c>
      <c r="G3589" s="12" t="inlineStr">
        <is>
          <t>ABS-C</t>
        </is>
      </c>
      <c r="H3589" s="12" t="inlineStr">
        <is>
          <t>Absorber C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6" t="n">
        <v>250</v>
      </c>
      <c r="U3589" s="16" t="n">
        <v>80</v>
      </c>
      <c r="V3589" s="16">
        <f>ROUNDUP((T3589+U3589+2*'Read Me'!$B$13)*(1+'Read Me'!$B$12),-1)</f>
        <v/>
      </c>
      <c r="W3589" s="16">
        <f>V3589*N3589*O3589</f>
        <v/>
      </c>
      <c r="X3589" s="12">
        <f>IF(LEFT(I3589,2)="MV",2*N3589*IF(L3589="1/C",O3589,1),0)</f>
        <v/>
      </c>
      <c r="Y3589" s="12">
        <f>IF(OR(LEFT(K3589,4)="LVAX",LEFT(K3589,6)="MV15AX",LEFT(K3589,4)="CTAX",LEFT(K3589,2)="W|"),2*N3589*O3589,0)</f>
        <v/>
      </c>
      <c r="Z3589" s="12" t="inlineStr">
        <is>
          <t>VD 1.9 %</t>
        </is>
      </c>
      <c r="AA3589" s="12">
        <f>N3589*O3589</f>
        <v/>
      </c>
    </row>
    <row r="3590">
      <c r="A3590" s="12" t="inlineStr">
        <is>
          <t>G-P-0057</t>
        </is>
      </c>
      <c r="B3590" s="12" t="inlineStr">
        <is>
          <t>G</t>
        </is>
      </c>
      <c r="C3590" s="12" t="inlineStr">
        <is>
          <t>Carbon capture</t>
        </is>
      </c>
      <c r="D3590" s="12" t="inlineStr">
        <is>
          <t>480 V welding receptacle 3</t>
        </is>
      </c>
      <c r="E3590" s="12" t="inlineStr"/>
      <c r="F3590" s="12" t="inlineStr">
        <is>
          <t>CCS MV switchgear building (VFDs)</t>
        </is>
      </c>
      <c r="G3590" s="12" t="inlineStr">
        <is>
          <t>ABS-C</t>
        </is>
      </c>
      <c r="H3590" s="12" t="inlineStr">
        <is>
          <t>Absorber C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6" t="n">
        <v>250</v>
      </c>
      <c r="U3590" s="16" t="n">
        <v>80</v>
      </c>
      <c r="V3590" s="16">
        <f>ROUNDUP((T3590+U3590+2*'Read Me'!$B$13)*(1+'Read Me'!$B$12),-1)</f>
        <v/>
      </c>
      <c r="W3590" s="16">
        <f>V3590*N3590*O3590</f>
        <v/>
      </c>
      <c r="X3590" s="12">
        <f>IF(LEFT(I3590,2)="MV",2*N3590*IF(L3590="1/C",O3590,1),0)</f>
        <v/>
      </c>
      <c r="Y3590" s="12">
        <f>IF(OR(LEFT(K3590,4)="LVAX",LEFT(K3590,6)="MV15AX",LEFT(K3590,4)="CTAX",LEFT(K3590,2)="W|"),2*N3590*O3590,0)</f>
        <v/>
      </c>
      <c r="Z3590" s="12" t="inlineStr">
        <is>
          <t>VD 1.9 %</t>
        </is>
      </c>
      <c r="AA3590" s="12">
        <f>N3590*O3590</f>
        <v/>
      </c>
    </row>
    <row r="3591">
      <c r="A3591" s="12" t="inlineStr">
        <is>
          <t>G-P-0058</t>
        </is>
      </c>
      <c r="B3591" s="12" t="inlineStr">
        <is>
          <t>G</t>
        </is>
      </c>
      <c r="C3591" s="12" t="inlineStr">
        <is>
          <t>Carbon capture</t>
        </is>
      </c>
      <c r="D3591" s="12" t="inlineStr">
        <is>
          <t>480 V welding receptacle 4</t>
        </is>
      </c>
      <c r="E3591" s="12" t="inlineStr"/>
      <c r="F3591" s="12" t="inlineStr">
        <is>
          <t>CCS MV switchgear building (VFDs)</t>
        </is>
      </c>
      <c r="G3591" s="12" t="inlineStr">
        <is>
          <t>ABS-C</t>
        </is>
      </c>
      <c r="H3591" s="12" t="inlineStr">
        <is>
          <t>Absorber C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6" t="n">
        <v>250</v>
      </c>
      <c r="U3591" s="16" t="n">
        <v>80</v>
      </c>
      <c r="V3591" s="16">
        <f>ROUNDUP((T3591+U3591+2*'Read Me'!$B$13)*(1+'Read Me'!$B$12),-1)</f>
        <v/>
      </c>
      <c r="W3591" s="16">
        <f>V3591*N3591*O3591</f>
        <v/>
      </c>
      <c r="X3591" s="12">
        <f>IF(LEFT(I3591,2)="MV",2*N3591*IF(L3591="1/C",O3591,1),0)</f>
        <v/>
      </c>
      <c r="Y3591" s="12">
        <f>IF(OR(LEFT(K3591,4)="LVAX",LEFT(K3591,6)="MV15AX",LEFT(K3591,4)="CTAX",LEFT(K3591,2)="W|"),2*N3591*O3591,0)</f>
        <v/>
      </c>
      <c r="Z3591" s="12" t="inlineStr">
        <is>
          <t>VD 1.9 %</t>
        </is>
      </c>
      <c r="AA3591" s="12">
        <f>N3591*O3591</f>
        <v/>
      </c>
    </row>
    <row r="3592">
      <c r="A3592" s="12" t="inlineStr">
        <is>
          <t>G-P-0059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C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6" t="n">
        <v>232</v>
      </c>
      <c r="U3592" s="16" t="n">
        <v>81</v>
      </c>
      <c r="V3592" s="16">
        <f>ROUNDUP((T3592+U3592+2*'Read Me'!$B$13)*(1+'Read Me'!$B$12),-1)</f>
        <v/>
      </c>
      <c r="W3592" s="16">
        <f>V3592*N3592*O3592</f>
        <v/>
      </c>
      <c r="X3592" s="12">
        <f>IF(LEFT(I3592,2)="MV",2*N3592*IF(L3592="1/C",O3592,1),0)</f>
        <v/>
      </c>
      <c r="Y3592" s="12">
        <f>IF(OR(LEFT(K3592,4)="LVAX",LEFT(K3592,6)="MV15AX",LEFT(K3592,4)="CTAX",LEFT(K3592,2)="W|"),2*N3592*O3592,0)</f>
        <v/>
      </c>
      <c r="Z3592" s="12" t="inlineStr">
        <is>
          <t>VD 1.0 %</t>
        </is>
      </c>
      <c r="AA3592" s="12">
        <f>N3592*O3592</f>
        <v/>
      </c>
    </row>
    <row r="3593">
      <c r="A3593" s="12" t="inlineStr">
        <is>
          <t>G-P-0060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C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6" t="n">
        <v>232</v>
      </c>
      <c r="U3593" s="16" t="n">
        <v>81</v>
      </c>
      <c r="V3593" s="16">
        <f>ROUNDUP((T3593+U3593+2*'Read Me'!$B$13)*(1+'Read Me'!$B$12),-1)</f>
        <v/>
      </c>
      <c r="W3593" s="16">
        <f>V3593*N3593*O3593</f>
        <v/>
      </c>
      <c r="X3593" s="12">
        <f>IF(LEFT(I3593,2)="MV",2*N3593*IF(L3593="1/C",O3593,1),0)</f>
        <v/>
      </c>
      <c r="Y3593" s="12">
        <f>IF(OR(LEFT(K3593,4)="LVAX",LEFT(K3593,6)="MV15AX",LEFT(K3593,4)="CTAX",LEFT(K3593,2)="W|"),2*N3593*O3593,0)</f>
        <v/>
      </c>
      <c r="Z3593" s="12" t="inlineStr">
        <is>
          <t>VD 1.0 %</t>
        </is>
      </c>
      <c r="AA3593" s="12">
        <f>N3593*O3593</f>
        <v/>
      </c>
    </row>
    <row r="3594">
      <c r="A3594" s="12" t="inlineStr">
        <is>
          <t>G-P-0061</t>
        </is>
      </c>
      <c r="B3594" s="12" t="inlineStr">
        <is>
          <t>G</t>
        </is>
      </c>
      <c r="C3594" s="12" t="inlineStr">
        <is>
          <t>Carbon capture</t>
        </is>
      </c>
      <c r="D3594" s="12" t="inlineStr">
        <is>
          <t>LV power feeder</t>
        </is>
      </c>
      <c r="E3594" s="12" t="inlineStr"/>
      <c r="F3594" s="12" t="inlineStr">
        <is>
          <t>CCS MV switchgear building (VFDs)</t>
        </is>
      </c>
      <c r="G3594" s="12" t="inlineStr"/>
      <c r="H3594" s="12" t="inlineStr">
        <is>
          <t>Activated-carbon filter</t>
        </is>
      </c>
      <c r="I3594" s="12" t="inlineStr">
        <is>
          <t>LV 600 V</t>
        </is>
      </c>
      <c r="J3594" s="12" t="inlineStr">
        <is>
          <t>Type TC-ER 600 V 3/C Cu XHHW-2 + ground, PVC jacket</t>
        </is>
      </c>
      <c r="K3594" s="12" t="inlineStr">
        <is>
          <t>LV|3/C+G|8</t>
        </is>
      </c>
      <c r="L3594" s="12" t="inlineStr">
        <is>
          <t>3/C+G</t>
        </is>
      </c>
      <c r="M3594" s="12" t="inlineStr">
        <is>
          <t>8</t>
        </is>
      </c>
      <c r="N3594" s="12" t="n">
        <v>1</v>
      </c>
      <c r="O3594" s="12" t="n">
        <v>1</v>
      </c>
      <c r="P3594" s="12" t="n">
        <v>480</v>
      </c>
      <c r="Q3594" s="12" t="n">
        <v>15</v>
      </c>
      <c r="R3594" s="12" t="n">
        <v>21.2</v>
      </c>
      <c r="S3594" s="12" t="inlineStr">
        <is>
          <t>Duct bank</t>
        </is>
      </c>
      <c r="T3594" s="16" t="n">
        <v>289</v>
      </c>
      <c r="U3594" s="16" t="n">
        <v>43</v>
      </c>
      <c r="V3594" s="16">
        <f>ROUNDUP((T3594+U3594+2*'Read Me'!$B$13)*(1+'Read Me'!$B$12),-1)</f>
        <v/>
      </c>
      <c r="W3594" s="16">
        <f>V3594*N3594*O3594</f>
        <v/>
      </c>
      <c r="X3594" s="12">
        <f>IF(LEFT(I3594,2)="MV",2*N3594*IF(L3594="1/C",O3594,1),0)</f>
        <v/>
      </c>
      <c r="Y3594" s="12">
        <f>IF(OR(LEFT(K3594,4)="LVAX",LEFT(K3594,6)="MV15AX",LEFT(K3594,4)="CTAX",LEFT(K3594,2)="W|"),2*N3594*O3594,0)</f>
        <v/>
      </c>
      <c r="Z3594" s="12" t="inlineStr">
        <is>
          <t>VD 2.1 %</t>
        </is>
      </c>
      <c r="AA3594" s="12">
        <f>N3594*O3594</f>
        <v/>
      </c>
    </row>
    <row r="3595">
      <c r="A3595" s="12" t="inlineStr">
        <is>
          <t>G-P-0062</t>
        </is>
      </c>
      <c r="B3595" s="12" t="inlineStr">
        <is>
          <t>G</t>
        </is>
      </c>
      <c r="C3595" s="12" t="inlineStr">
        <is>
          <t>Carbon capture</t>
        </is>
      </c>
      <c r="D3595" s="12" t="inlineStr">
        <is>
          <t>Motor 1 of 4, 15 kW</t>
        </is>
      </c>
      <c r="E3595" s="12" t="inlineStr"/>
      <c r="F3595" s="12" t="inlineStr">
        <is>
          <t>CCS MV switchgear building (VFDs)</t>
        </is>
      </c>
      <c r="G3595" s="12" t="inlineStr">
        <is>
          <t>BF-A</t>
        </is>
      </c>
      <c r="H3595" s="12" t="inlineStr">
        <is>
          <t>BF-A: booster fan (~16 MW)</t>
        </is>
      </c>
      <c r="I3595" s="12" t="inlineStr">
        <is>
          <t>LV 600 V</t>
        </is>
      </c>
      <c r="J3595" s="12" t="inlineStr">
        <is>
          <t>Type TC-ER 600 V 3/C Cu XHHW-2 + ground, PVC jacket</t>
        </is>
      </c>
      <c r="K3595" s="12" t="inlineStr">
        <is>
          <t>LV|3/C+G|6</t>
        </is>
      </c>
      <c r="L3595" s="12" t="inlineStr">
        <is>
          <t>3/C+G</t>
        </is>
      </c>
      <c r="M3595" s="12" t="inlineStr">
        <is>
          <t>6</t>
        </is>
      </c>
      <c r="N3595" s="12" t="n">
        <v>1</v>
      </c>
      <c r="O3595" s="12" t="n">
        <v>1</v>
      </c>
      <c r="P3595" s="12" t="n">
        <v>480</v>
      </c>
      <c r="Q3595" s="12" t="n">
        <v>15</v>
      </c>
      <c r="R3595" s="12" t="n">
        <v>21.2</v>
      </c>
      <c r="S3595" s="12" t="inlineStr">
        <is>
          <t>Duct bank</t>
        </is>
      </c>
      <c r="T3595" s="16" t="n">
        <v>460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2.0 %</t>
        </is>
      </c>
      <c r="AA3595" s="12">
        <f>N3595*O3595</f>
        <v/>
      </c>
    </row>
    <row r="3596">
      <c r="A3596" s="12" t="inlineStr">
        <is>
          <t>G-P-0063</t>
        </is>
      </c>
      <c r="B3596" s="12" t="inlineStr">
        <is>
          <t>G</t>
        </is>
      </c>
      <c r="C3596" s="12" t="inlineStr">
        <is>
          <t>Carbon capture</t>
        </is>
      </c>
      <c r="D3596" s="12" t="inlineStr">
        <is>
          <t>Motor 2 of 4, 15 kW</t>
        </is>
      </c>
      <c r="E3596" s="12" t="inlineStr"/>
      <c r="F3596" s="12" t="inlineStr">
        <is>
          <t>CCS MV switchgear building (VFDs)</t>
        </is>
      </c>
      <c r="G3596" s="12" t="inlineStr">
        <is>
          <t>BF-A</t>
        </is>
      </c>
      <c r="H3596" s="12" t="inlineStr">
        <is>
          <t>BF-A: booster fan (~16 MW)</t>
        </is>
      </c>
      <c r="I3596" s="12" t="inlineStr">
        <is>
          <t>LV 600 V</t>
        </is>
      </c>
      <c r="J3596" s="12" t="inlineStr">
        <is>
          <t>Type TC-ER 600 V 3/C Cu XHHW-2 + ground, PVC jacket</t>
        </is>
      </c>
      <c r="K3596" s="12" t="inlineStr">
        <is>
          <t>LV|3/C+G|6</t>
        </is>
      </c>
      <c r="L3596" s="12" t="inlineStr">
        <is>
          <t>3/C+G</t>
        </is>
      </c>
      <c r="M3596" s="12" t="inlineStr">
        <is>
          <t>6</t>
        </is>
      </c>
      <c r="N3596" s="12" t="n">
        <v>1</v>
      </c>
      <c r="O3596" s="12" t="n">
        <v>1</v>
      </c>
      <c r="P3596" s="12" t="n">
        <v>480</v>
      </c>
      <c r="Q3596" s="12" t="n">
        <v>15</v>
      </c>
      <c r="R3596" s="12" t="n">
        <v>21.2</v>
      </c>
      <c r="S3596" s="12" t="inlineStr">
        <is>
          <t>Duct bank</t>
        </is>
      </c>
      <c r="T3596" s="16" t="n">
        <v>460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2.0 %</t>
        </is>
      </c>
      <c r="AA3596" s="12">
        <f>N3596*O3596</f>
        <v/>
      </c>
    </row>
    <row r="3597">
      <c r="A3597" s="12" t="inlineStr">
        <is>
          <t>G-P-0064</t>
        </is>
      </c>
      <c r="B3597" s="12" t="inlineStr">
        <is>
          <t>G</t>
        </is>
      </c>
      <c r="C3597" s="12" t="inlineStr">
        <is>
          <t>Carbon capture</t>
        </is>
      </c>
      <c r="D3597" s="12" t="inlineStr">
        <is>
          <t>Motor 3 of 4, 15 kW</t>
        </is>
      </c>
      <c r="E3597" s="12" t="inlineStr"/>
      <c r="F3597" s="12" t="inlineStr">
        <is>
          <t>CCS MV switchgear building (VFDs)</t>
        </is>
      </c>
      <c r="G3597" s="12" t="inlineStr">
        <is>
          <t>BF-A</t>
        </is>
      </c>
      <c r="H3597" s="12" t="inlineStr">
        <is>
          <t>BF-A: booster fan (~16 MW)</t>
        </is>
      </c>
      <c r="I3597" s="12" t="inlineStr">
        <is>
          <t>LV 600 V</t>
        </is>
      </c>
      <c r="J3597" s="12" t="inlineStr">
        <is>
          <t>Type TC-ER 600 V 3/C Cu XHHW-2 + ground, PVC jacket</t>
        </is>
      </c>
      <c r="K3597" s="12" t="inlineStr">
        <is>
          <t>LV|3/C+G|6</t>
        </is>
      </c>
      <c r="L3597" s="12" t="inlineStr">
        <is>
          <t>3/C+G</t>
        </is>
      </c>
      <c r="M3597" s="12" t="inlineStr">
        <is>
          <t>6</t>
        </is>
      </c>
      <c r="N3597" s="12" t="n">
        <v>1</v>
      </c>
      <c r="O3597" s="12" t="n">
        <v>1</v>
      </c>
      <c r="P3597" s="12" t="n">
        <v>480</v>
      </c>
      <c r="Q3597" s="12" t="n">
        <v>15</v>
      </c>
      <c r="R3597" s="12" t="n">
        <v>21.2</v>
      </c>
      <c r="S3597" s="12" t="inlineStr">
        <is>
          <t>Duct bank</t>
        </is>
      </c>
      <c r="T3597" s="16" t="n">
        <v>460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2.0 %</t>
        </is>
      </c>
      <c r="AA3597" s="12">
        <f>N3597*O3597</f>
        <v/>
      </c>
    </row>
    <row r="3598">
      <c r="A3598" s="12" t="inlineStr">
        <is>
          <t>G-P-0065</t>
        </is>
      </c>
      <c r="B3598" s="12" t="inlineStr">
        <is>
          <t>G</t>
        </is>
      </c>
      <c r="C3598" s="12" t="inlineStr">
        <is>
          <t>Carbon capture</t>
        </is>
      </c>
      <c r="D3598" s="12" t="inlineStr">
        <is>
          <t>Motor 4 of 4, 15 kW</t>
        </is>
      </c>
      <c r="E3598" s="12" t="inlineStr"/>
      <c r="F3598" s="12" t="inlineStr">
        <is>
          <t>CCS MV switchgear building (VFDs)</t>
        </is>
      </c>
      <c r="G3598" s="12" t="inlineStr">
        <is>
          <t>BF-A</t>
        </is>
      </c>
      <c r="H3598" s="12" t="inlineStr">
        <is>
          <t>BF-A: booster fan (~16 MW)</t>
        </is>
      </c>
      <c r="I3598" s="12" t="inlineStr">
        <is>
          <t>LV 600 V</t>
        </is>
      </c>
      <c r="J3598" s="12" t="inlineStr">
        <is>
          <t>Type TC-ER 600 V 3/C Cu XHHW-2 + ground, PVC jacket</t>
        </is>
      </c>
      <c r="K3598" s="12" t="inlineStr">
        <is>
          <t>LV|3/C+G|6</t>
        </is>
      </c>
      <c r="L3598" s="12" t="inlineStr">
        <is>
          <t>3/C+G</t>
        </is>
      </c>
      <c r="M3598" s="12" t="inlineStr">
        <is>
          <t>6</t>
        </is>
      </c>
      <c r="N3598" s="12" t="n">
        <v>1</v>
      </c>
      <c r="O3598" s="12" t="n">
        <v>1</v>
      </c>
      <c r="P3598" s="12" t="n">
        <v>480</v>
      </c>
      <c r="Q3598" s="12" t="n">
        <v>15</v>
      </c>
      <c r="R3598" s="12" t="n">
        <v>21.2</v>
      </c>
      <c r="S3598" s="12" t="inlineStr">
        <is>
          <t>Duct bank</t>
        </is>
      </c>
      <c r="T3598" s="16" t="n">
        <v>460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2.0 %</t>
        </is>
      </c>
      <c r="AA3598" s="12">
        <f>N3598*O3598</f>
        <v/>
      </c>
    </row>
    <row r="3599">
      <c r="A3599" s="12" t="inlineStr">
        <is>
          <t>G-P-0066</t>
        </is>
      </c>
      <c r="B3599" s="12" t="inlineStr">
        <is>
          <t>G</t>
        </is>
      </c>
      <c r="C3599" s="12" t="inlineStr">
        <is>
          <t>Carbon capture</t>
        </is>
      </c>
      <c r="D3599" s="12" t="inlineStr">
        <is>
          <t>480 V welding receptacle 1</t>
        </is>
      </c>
      <c r="E3599" s="12" t="inlineStr"/>
      <c r="F3599" s="12" t="inlineStr">
        <is>
          <t>CCS MV switchgear building (VFDs)</t>
        </is>
      </c>
      <c r="G3599" s="12" t="inlineStr">
        <is>
          <t>BF-A</t>
        </is>
      </c>
      <c r="H3599" s="12" t="inlineStr">
        <is>
          <t>BF-A: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460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2.9 %</t>
        </is>
      </c>
      <c r="AA3599" s="12">
        <f>N3599*O3599</f>
        <v/>
      </c>
    </row>
    <row r="3600">
      <c r="A3600" s="12" t="inlineStr">
        <is>
          <t>G-P-0067</t>
        </is>
      </c>
      <c r="B3600" s="12" t="inlineStr">
        <is>
          <t>G</t>
        </is>
      </c>
      <c r="C3600" s="12" t="inlineStr">
        <is>
          <t>Carbon capture</t>
        </is>
      </c>
      <c r="D3600" s="12" t="inlineStr">
        <is>
          <t>480 V welding receptacle 2</t>
        </is>
      </c>
      <c r="E3600" s="12" t="inlineStr"/>
      <c r="F3600" s="12" t="inlineStr">
        <is>
          <t>CCS MV switchgear building (VFDs)</t>
        </is>
      </c>
      <c r="G3600" s="12" t="inlineStr">
        <is>
          <t>BF-A</t>
        </is>
      </c>
      <c r="H3600" s="12" t="inlineStr">
        <is>
          <t>BF-A: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460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2.9 %</t>
        </is>
      </c>
      <c r="AA3600" s="12">
        <f>N3600*O3600</f>
        <v/>
      </c>
    </row>
    <row r="3601">
      <c r="A3601" s="12" t="inlineStr">
        <is>
          <t>G-P-0068</t>
        </is>
      </c>
      <c r="B3601" s="12" t="inlineStr">
        <is>
          <t>G</t>
        </is>
      </c>
      <c r="C3601" s="12" t="inlineStr">
        <is>
          <t>Carbon capture</t>
        </is>
      </c>
      <c r="D3601" s="12" t="inlineStr">
        <is>
          <t>480 V welding receptacle 3</t>
        </is>
      </c>
      <c r="E3601" s="12" t="inlineStr"/>
      <c r="F3601" s="12" t="inlineStr">
        <is>
          <t>CCS MV switchgear building (VFDs)</t>
        </is>
      </c>
      <c r="G3601" s="12" t="inlineStr">
        <is>
          <t>BF-A</t>
        </is>
      </c>
      <c r="H3601" s="12" t="inlineStr">
        <is>
          <t>BF-A: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460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2.9 %</t>
        </is>
      </c>
      <c r="AA3601" s="12">
        <f>N3601*O3601</f>
        <v/>
      </c>
    </row>
    <row r="3602">
      <c r="A3602" s="12" t="inlineStr">
        <is>
          <t>G-P-0069</t>
        </is>
      </c>
      <c r="B3602" s="12" t="inlineStr">
        <is>
          <t>G</t>
        </is>
      </c>
      <c r="C3602" s="12" t="inlineStr">
        <is>
          <t>Carbon capture</t>
        </is>
      </c>
      <c r="D3602" s="12" t="inlineStr">
        <is>
          <t>480 V welding receptacle 4</t>
        </is>
      </c>
      <c r="E3602" s="12" t="inlineStr"/>
      <c r="F3602" s="12" t="inlineStr">
        <is>
          <t>CCS MV switchgear building (VFDs)</t>
        </is>
      </c>
      <c r="G3602" s="12" t="inlineStr">
        <is>
          <t>BF-A</t>
        </is>
      </c>
      <c r="H3602" s="12" t="inlineStr">
        <is>
          <t>BF-A: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460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2.9 %</t>
        </is>
      </c>
      <c r="AA3602" s="12">
        <f>N3602*O3602</f>
        <v/>
      </c>
    </row>
    <row r="3603">
      <c r="A3603" s="12" t="inlineStr">
        <is>
          <t>G-P-0070</t>
        </is>
      </c>
      <c r="B3603" s="12" t="inlineStr">
        <is>
          <t>G</t>
        </is>
      </c>
      <c r="C3603" s="12" t="inlineStr">
        <is>
          <t>Carbon capture</t>
        </is>
      </c>
      <c r="D3603" s="12" t="inlineStr">
        <is>
          <t>Motor 1 of 4, 15 kW</t>
        </is>
      </c>
      <c r="E3603" s="12" t="inlineStr"/>
      <c r="F3603" s="12" t="inlineStr">
        <is>
          <t>CCS MV switchgear building (VFDs)</t>
        </is>
      </c>
      <c r="G3603" s="12" t="inlineStr">
        <is>
          <t>BF-B</t>
        </is>
      </c>
      <c r="H3603" s="12" t="inlineStr">
        <is>
          <t>BF-B: booster fan (~16 MW)</t>
        </is>
      </c>
      <c r="I3603" s="12" t="inlineStr">
        <is>
          <t>LV 600 V</t>
        </is>
      </c>
      <c r="J3603" s="12" t="inlineStr">
        <is>
          <t>Type TC-ER 600 V 3/C Cu XHHW-2 + ground, PVC jacket</t>
        </is>
      </c>
      <c r="K3603" s="12" t="inlineStr">
        <is>
          <t>LV|3/C+G|8</t>
        </is>
      </c>
      <c r="L3603" s="12" t="inlineStr">
        <is>
          <t>3/C+G</t>
        </is>
      </c>
      <c r="M3603" s="12" t="inlineStr">
        <is>
          <t>8</t>
        </is>
      </c>
      <c r="N3603" s="12" t="n">
        <v>1</v>
      </c>
      <c r="O3603" s="12" t="n">
        <v>1</v>
      </c>
      <c r="P3603" s="12" t="n">
        <v>480</v>
      </c>
      <c r="Q3603" s="12" t="n">
        <v>15</v>
      </c>
      <c r="R3603" s="12" t="n">
        <v>21.2</v>
      </c>
      <c r="S3603" s="12" t="inlineStr">
        <is>
          <t>Duct bank</t>
        </is>
      </c>
      <c r="T3603" s="16" t="n">
        <v>300</v>
      </c>
      <c r="U3603" s="16" t="n">
        <v>32</v>
      </c>
      <c r="V3603" s="16">
        <f>ROUNDUP((T3603+U3603+2*'Read Me'!$B$13)*(1+'Read Me'!$B$12),-1)</f>
        <v/>
      </c>
      <c r="W3603" s="16">
        <f>V3603*N3603*O3603</f>
        <v/>
      </c>
      <c r="X3603" s="12">
        <f>IF(LEFT(I3603,2)="MV",2*N3603*IF(L3603="1/C",O3603,1),0)</f>
        <v/>
      </c>
      <c r="Y3603" s="12">
        <f>IF(OR(LEFT(K3603,4)="LVAX",LEFT(K3603,6)="MV15AX",LEFT(K3603,4)="CTAX",LEFT(K3603,2)="W|"),2*N3603*O3603,0)</f>
        <v/>
      </c>
      <c r="Z3603" s="12" t="inlineStr">
        <is>
          <t>VD 2.1 %</t>
        </is>
      </c>
      <c r="AA3603" s="12">
        <f>N3603*O3603</f>
        <v/>
      </c>
    </row>
    <row r="3604">
      <c r="A3604" s="12" t="inlineStr">
        <is>
          <t>G-P-0071</t>
        </is>
      </c>
      <c r="B3604" s="12" t="inlineStr">
        <is>
          <t>G</t>
        </is>
      </c>
      <c r="C3604" s="12" t="inlineStr">
        <is>
          <t>Carbon capture</t>
        </is>
      </c>
      <c r="D3604" s="12" t="inlineStr">
        <is>
          <t>Motor 2 of 4, 15 kW</t>
        </is>
      </c>
      <c r="E3604" s="12" t="inlineStr"/>
      <c r="F3604" s="12" t="inlineStr">
        <is>
          <t>CCS MV switchgear building (VFDs)</t>
        </is>
      </c>
      <c r="G3604" s="12" t="inlineStr">
        <is>
          <t>BF-B</t>
        </is>
      </c>
      <c r="H3604" s="12" t="inlineStr">
        <is>
          <t>BF-B: booster fan (~16 MW)</t>
        </is>
      </c>
      <c r="I3604" s="12" t="inlineStr">
        <is>
          <t>LV 600 V</t>
        </is>
      </c>
      <c r="J3604" s="12" t="inlineStr">
        <is>
          <t>Type TC-ER 600 V 3/C Cu XHHW-2 + ground, PVC jacket</t>
        </is>
      </c>
      <c r="K3604" s="12" t="inlineStr">
        <is>
          <t>LV|3/C+G|8</t>
        </is>
      </c>
      <c r="L3604" s="12" t="inlineStr">
        <is>
          <t>3/C+G</t>
        </is>
      </c>
      <c r="M3604" s="12" t="inlineStr">
        <is>
          <t>8</t>
        </is>
      </c>
      <c r="N3604" s="12" t="n">
        <v>1</v>
      </c>
      <c r="O3604" s="12" t="n">
        <v>1</v>
      </c>
      <c r="P3604" s="12" t="n">
        <v>480</v>
      </c>
      <c r="Q3604" s="12" t="n">
        <v>15</v>
      </c>
      <c r="R3604" s="12" t="n">
        <v>21.2</v>
      </c>
      <c r="S3604" s="12" t="inlineStr">
        <is>
          <t>Duct bank</t>
        </is>
      </c>
      <c r="T3604" s="16" t="n">
        <v>300</v>
      </c>
      <c r="U3604" s="16" t="n">
        <v>32</v>
      </c>
      <c r="V3604" s="16">
        <f>ROUNDUP((T3604+U3604+2*'Read Me'!$B$13)*(1+'Read Me'!$B$12),-1)</f>
        <v/>
      </c>
      <c r="W3604" s="16">
        <f>V3604*N3604*O3604</f>
        <v/>
      </c>
      <c r="X3604" s="12">
        <f>IF(LEFT(I3604,2)="MV",2*N3604*IF(L3604="1/C",O3604,1),0)</f>
        <v/>
      </c>
      <c r="Y3604" s="12">
        <f>IF(OR(LEFT(K3604,4)="LVAX",LEFT(K3604,6)="MV15AX",LEFT(K3604,4)="CTAX",LEFT(K3604,2)="W|"),2*N3604*O3604,0)</f>
        <v/>
      </c>
      <c r="Z3604" s="12" t="inlineStr">
        <is>
          <t>VD 2.1 %</t>
        </is>
      </c>
      <c r="AA3604" s="12">
        <f>N3604*O3604</f>
        <v/>
      </c>
    </row>
    <row r="3605">
      <c r="A3605" s="12" t="inlineStr">
        <is>
          <t>G-P-0072</t>
        </is>
      </c>
      <c r="B3605" s="12" t="inlineStr">
        <is>
          <t>G</t>
        </is>
      </c>
      <c r="C3605" s="12" t="inlineStr">
        <is>
          <t>Carbon capture</t>
        </is>
      </c>
      <c r="D3605" s="12" t="inlineStr">
        <is>
          <t>Motor 3 of 4, 15 kW</t>
        </is>
      </c>
      <c r="E3605" s="12" t="inlineStr"/>
      <c r="F3605" s="12" t="inlineStr">
        <is>
          <t>CCS MV switchgear building (VFDs)</t>
        </is>
      </c>
      <c r="G3605" s="12" t="inlineStr">
        <is>
          <t>BF-B</t>
        </is>
      </c>
      <c r="H3605" s="12" t="inlineStr">
        <is>
          <t>BF-B: booster fan (~16 MW)</t>
        </is>
      </c>
      <c r="I3605" s="12" t="inlineStr">
        <is>
          <t>LV 600 V</t>
        </is>
      </c>
      <c r="J3605" s="12" t="inlineStr">
        <is>
          <t>Type TC-ER 600 V 3/C Cu XHHW-2 + ground, PVC jacket</t>
        </is>
      </c>
      <c r="K3605" s="12" t="inlineStr">
        <is>
          <t>LV|3/C+G|8</t>
        </is>
      </c>
      <c r="L3605" s="12" t="inlineStr">
        <is>
          <t>3/C+G</t>
        </is>
      </c>
      <c r="M3605" s="12" t="inlineStr">
        <is>
          <t>8</t>
        </is>
      </c>
      <c r="N3605" s="12" t="n">
        <v>1</v>
      </c>
      <c r="O3605" s="12" t="n">
        <v>1</v>
      </c>
      <c r="P3605" s="12" t="n">
        <v>480</v>
      </c>
      <c r="Q3605" s="12" t="n">
        <v>15</v>
      </c>
      <c r="R3605" s="12" t="n">
        <v>21.2</v>
      </c>
      <c r="S3605" s="12" t="inlineStr">
        <is>
          <t>Duct bank</t>
        </is>
      </c>
      <c r="T3605" s="16" t="n">
        <v>300</v>
      </c>
      <c r="U3605" s="16" t="n">
        <v>32</v>
      </c>
      <c r="V3605" s="16">
        <f>ROUNDUP((T3605+U3605+2*'Read Me'!$B$13)*(1+'Read Me'!$B$12),-1)</f>
        <v/>
      </c>
      <c r="W3605" s="16">
        <f>V3605*N3605*O3605</f>
        <v/>
      </c>
      <c r="X3605" s="12">
        <f>IF(LEFT(I3605,2)="MV",2*N3605*IF(L3605="1/C",O3605,1),0)</f>
        <v/>
      </c>
      <c r="Y3605" s="12">
        <f>IF(OR(LEFT(K3605,4)="LVAX",LEFT(K3605,6)="MV15AX",LEFT(K3605,4)="CTAX",LEFT(K3605,2)="W|"),2*N3605*O3605,0)</f>
        <v/>
      </c>
      <c r="Z3605" s="12" t="inlineStr">
        <is>
          <t>VD 2.1 %</t>
        </is>
      </c>
      <c r="AA3605" s="12">
        <f>N3605*O3605</f>
        <v/>
      </c>
    </row>
    <row r="3606">
      <c r="A3606" s="12" t="inlineStr">
        <is>
          <t>G-P-0073</t>
        </is>
      </c>
      <c r="B3606" s="12" t="inlineStr">
        <is>
          <t>G</t>
        </is>
      </c>
      <c r="C3606" s="12" t="inlineStr">
        <is>
          <t>Carbon capture</t>
        </is>
      </c>
      <c r="D3606" s="12" t="inlineStr">
        <is>
          <t>Motor 4 of 4, 15 kW</t>
        </is>
      </c>
      <c r="E3606" s="12" t="inlineStr"/>
      <c r="F3606" s="12" t="inlineStr">
        <is>
          <t>CCS MV switchgear building (VFDs)</t>
        </is>
      </c>
      <c r="G3606" s="12" t="inlineStr">
        <is>
          <t>BF-B</t>
        </is>
      </c>
      <c r="H3606" s="12" t="inlineStr">
        <is>
          <t>BF-B: booster fan (~16 MW)</t>
        </is>
      </c>
      <c r="I3606" s="12" t="inlineStr">
        <is>
          <t>LV 600 V</t>
        </is>
      </c>
      <c r="J3606" s="12" t="inlineStr">
        <is>
          <t>Type TC-ER 600 V 3/C Cu XHHW-2 + ground, PVC jacket</t>
        </is>
      </c>
      <c r="K3606" s="12" t="inlineStr">
        <is>
          <t>LV|3/C+G|8</t>
        </is>
      </c>
      <c r="L3606" s="12" t="inlineStr">
        <is>
          <t>3/C+G</t>
        </is>
      </c>
      <c r="M3606" s="12" t="inlineStr">
        <is>
          <t>8</t>
        </is>
      </c>
      <c r="N3606" s="12" t="n">
        <v>1</v>
      </c>
      <c r="O3606" s="12" t="n">
        <v>1</v>
      </c>
      <c r="P3606" s="12" t="n">
        <v>480</v>
      </c>
      <c r="Q3606" s="12" t="n">
        <v>15</v>
      </c>
      <c r="R3606" s="12" t="n">
        <v>21.2</v>
      </c>
      <c r="S3606" s="12" t="inlineStr">
        <is>
          <t>Duct bank</t>
        </is>
      </c>
      <c r="T3606" s="16" t="n">
        <v>300</v>
      </c>
      <c r="U3606" s="16" t="n">
        <v>32</v>
      </c>
      <c r="V3606" s="16">
        <f>ROUNDUP((T3606+U3606+2*'Read Me'!$B$13)*(1+'Read Me'!$B$12),-1)</f>
        <v/>
      </c>
      <c r="W3606" s="16">
        <f>V3606*N3606*O3606</f>
        <v/>
      </c>
      <c r="X3606" s="12">
        <f>IF(LEFT(I3606,2)="MV",2*N3606*IF(L3606="1/C",O3606,1),0)</f>
        <v/>
      </c>
      <c r="Y3606" s="12">
        <f>IF(OR(LEFT(K3606,4)="LVAX",LEFT(K3606,6)="MV15AX",LEFT(K3606,4)="CTAX",LEFT(K3606,2)="W|"),2*N3606*O3606,0)</f>
        <v/>
      </c>
      <c r="Z3606" s="12" t="inlineStr">
        <is>
          <t>VD 2.1 %</t>
        </is>
      </c>
      <c r="AA3606" s="12">
        <f>N3606*O3606</f>
        <v/>
      </c>
    </row>
    <row r="3607">
      <c r="A3607" s="12" t="inlineStr">
        <is>
          <t>G-P-0074</t>
        </is>
      </c>
      <c r="B3607" s="12" t="inlineStr">
        <is>
          <t>G</t>
        </is>
      </c>
      <c r="C3607" s="12" t="inlineStr">
        <is>
          <t>Carbon capture</t>
        </is>
      </c>
      <c r="D3607" s="12" t="inlineStr">
        <is>
          <t>480 V welding receptacle 1</t>
        </is>
      </c>
      <c r="E3607" s="12" t="inlineStr"/>
      <c r="F3607" s="12" t="inlineStr">
        <is>
          <t>CCS MV switchgear building (VFDs)</t>
        </is>
      </c>
      <c r="G3607" s="12" t="inlineStr">
        <is>
          <t>BF-B</t>
        </is>
      </c>
      <c r="H3607" s="12" t="inlineStr">
        <is>
          <t>BF-B: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Duct bank</t>
        </is>
      </c>
      <c r="T3607" s="16" t="n">
        <v>300</v>
      </c>
      <c r="U3607" s="16" t="n">
        <v>32</v>
      </c>
      <c r="V3607" s="16">
        <f>ROUNDUP((T3607+U3607+2*'Read Me'!$B$13)*(1+'Read Me'!$B$12),-1)</f>
        <v/>
      </c>
      <c r="W3607" s="16">
        <f>V3607*N3607*O3607</f>
        <v/>
      </c>
      <c r="X3607" s="12">
        <f>IF(LEFT(I3607,2)="MV",2*N3607*IF(L3607="1/C",O3607,1),0)</f>
        <v/>
      </c>
      <c r="Y3607" s="12">
        <f>IF(OR(LEFT(K3607,4)="LVAX",LEFT(K3607,6)="MV15AX",LEFT(K3607,4)="CTAX",LEFT(K3607,2)="W|"),2*N3607*O3607,0)</f>
        <v/>
      </c>
      <c r="Z3607" s="12" t="inlineStr">
        <is>
          <t>VD 1.9 %</t>
        </is>
      </c>
      <c r="AA3607" s="12">
        <f>N3607*O3607</f>
        <v/>
      </c>
    </row>
    <row r="3608">
      <c r="A3608" s="12" t="inlineStr">
        <is>
          <t>G-P-0075</t>
        </is>
      </c>
      <c r="B3608" s="12" t="inlineStr">
        <is>
          <t>G</t>
        </is>
      </c>
      <c r="C3608" s="12" t="inlineStr">
        <is>
          <t>Carbon capture</t>
        </is>
      </c>
      <c r="D3608" s="12" t="inlineStr">
        <is>
          <t>480 V welding receptacle 2</t>
        </is>
      </c>
      <c r="E3608" s="12" t="inlineStr"/>
      <c r="F3608" s="12" t="inlineStr">
        <is>
          <t>CCS MV switchgear building (VFDs)</t>
        </is>
      </c>
      <c r="G3608" s="12" t="inlineStr">
        <is>
          <t>BF-B</t>
        </is>
      </c>
      <c r="H3608" s="12" t="inlineStr">
        <is>
          <t>BF-B: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Duct bank</t>
        </is>
      </c>
      <c r="T3608" s="16" t="n">
        <v>300</v>
      </c>
      <c r="U3608" s="16" t="n">
        <v>32</v>
      </c>
      <c r="V3608" s="16">
        <f>ROUNDUP((T3608+U3608+2*'Read Me'!$B$13)*(1+'Read Me'!$B$12),-1)</f>
        <v/>
      </c>
      <c r="W3608" s="16">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G-P-0076</t>
        </is>
      </c>
      <c r="B3609" s="12" t="inlineStr">
        <is>
          <t>G</t>
        </is>
      </c>
      <c r="C3609" s="12" t="inlineStr">
        <is>
          <t>Carbon capture</t>
        </is>
      </c>
      <c r="D3609" s="12" t="inlineStr">
        <is>
          <t>480 V welding receptacle 3</t>
        </is>
      </c>
      <c r="E3609" s="12" t="inlineStr"/>
      <c r="F3609" s="12" t="inlineStr">
        <is>
          <t>CCS MV switchgear building (VFDs)</t>
        </is>
      </c>
      <c r="G3609" s="12" t="inlineStr">
        <is>
          <t>BF-B</t>
        </is>
      </c>
      <c r="H3609" s="12" t="inlineStr">
        <is>
          <t>BF-B: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Duct bank</t>
        </is>
      </c>
      <c r="T3609" s="16" t="n">
        <v>300</v>
      </c>
      <c r="U3609" s="16" t="n">
        <v>32</v>
      </c>
      <c r="V3609" s="16">
        <f>ROUNDUP((T3609+U3609+2*'Read Me'!$B$13)*(1+'Read Me'!$B$12),-1)</f>
        <v/>
      </c>
      <c r="W3609" s="16">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G-P-0077</t>
        </is>
      </c>
      <c r="B3610" s="12" t="inlineStr">
        <is>
          <t>G</t>
        </is>
      </c>
      <c r="C3610" s="12" t="inlineStr">
        <is>
          <t>Carbon capture</t>
        </is>
      </c>
      <c r="D3610" s="12" t="inlineStr">
        <is>
          <t>480 V welding receptacle 4</t>
        </is>
      </c>
      <c r="E3610" s="12" t="inlineStr"/>
      <c r="F3610" s="12" t="inlineStr">
        <is>
          <t>CCS MV switchgear building (VFDs)</t>
        </is>
      </c>
      <c r="G3610" s="12" t="inlineStr">
        <is>
          <t>BF-B</t>
        </is>
      </c>
      <c r="H3610" s="12" t="inlineStr">
        <is>
          <t>BF-B: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Duct bank</t>
        </is>
      </c>
      <c r="T3610" s="16" t="n">
        <v>300</v>
      </c>
      <c r="U3610" s="16" t="n">
        <v>32</v>
      </c>
      <c r="V3610" s="16">
        <f>ROUNDUP((T3610+U3610+2*'Read Me'!$B$13)*(1+'Read Me'!$B$12),-1)</f>
        <v/>
      </c>
      <c r="W3610" s="16">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G-P-0078</t>
        </is>
      </c>
      <c r="B3611" s="12" t="inlineStr">
        <is>
          <t>G</t>
        </is>
      </c>
      <c r="C3611" s="12" t="inlineStr">
        <is>
          <t>Carbon capture</t>
        </is>
      </c>
      <c r="D3611" s="12" t="inlineStr">
        <is>
          <t>Motor 1 of 4, 15 kW</t>
        </is>
      </c>
      <c r="E3611" s="12" t="inlineStr"/>
      <c r="F3611" s="12" t="inlineStr">
        <is>
          <t>CCS MV switchgear building (VFDs)</t>
        </is>
      </c>
      <c r="G3611" s="12" t="inlineStr">
        <is>
          <t>BF-C</t>
        </is>
      </c>
      <c r="H3611" s="12" t="inlineStr">
        <is>
          <t>BF-C: booster fan (~16 MW)</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15</v>
      </c>
      <c r="R3611" s="12" t="n">
        <v>21.2</v>
      </c>
      <c r="S3611" s="12" t="inlineStr">
        <is>
          <t>Tray</t>
        </is>
      </c>
      <c r="T3611" s="16" t="n">
        <v>16</v>
      </c>
      <c r="U3611" s="16" t="n">
        <v>150</v>
      </c>
      <c r="V3611" s="16">
        <f>ROUNDUP((T3611+U3611+2*'Read Me'!$B$13)*(1+'Read Me'!$B$12),-1)</f>
        <v/>
      </c>
      <c r="W3611" s="16">
        <f>V3611*N3611*O3611</f>
        <v/>
      </c>
      <c r="X3611" s="12">
        <f>IF(LEFT(I3611,2)="MV",2*N3611*IF(L3611="1/C",O3611,1),0)</f>
        <v/>
      </c>
      <c r="Y3611" s="12">
        <f>IF(OR(LEFT(K3611,4)="LVAX",LEFT(K3611,6)="MV15AX",LEFT(K3611,4)="CTAX",LEFT(K3611,2)="W|"),2*N3611*O3611,0)</f>
        <v/>
      </c>
      <c r="Z3611" s="12" t="inlineStr">
        <is>
          <t>VD 1.7 %</t>
        </is>
      </c>
      <c r="AA3611" s="12">
        <f>N3611*O3611</f>
        <v/>
      </c>
    </row>
    <row r="3612">
      <c r="A3612" s="12" t="inlineStr">
        <is>
          <t>G-P-0079</t>
        </is>
      </c>
      <c r="B3612" s="12" t="inlineStr">
        <is>
          <t>G</t>
        </is>
      </c>
      <c r="C3612" s="12" t="inlineStr">
        <is>
          <t>Carbon capture</t>
        </is>
      </c>
      <c r="D3612" s="12" t="inlineStr">
        <is>
          <t>Motor 2 of 4, 15 kW</t>
        </is>
      </c>
      <c r="E3612" s="12" t="inlineStr"/>
      <c r="F3612" s="12" t="inlineStr">
        <is>
          <t>CCS MV switchgear building (VFDs)</t>
        </is>
      </c>
      <c r="G3612" s="12" t="inlineStr">
        <is>
          <t>BF-C</t>
        </is>
      </c>
      <c r="H3612" s="12" t="inlineStr">
        <is>
          <t>BF-C: booster fan (~16 MW)</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15</v>
      </c>
      <c r="R3612" s="12" t="n">
        <v>21.2</v>
      </c>
      <c r="S3612" s="12" t="inlineStr">
        <is>
          <t>Tray</t>
        </is>
      </c>
      <c r="T3612" s="16" t="n">
        <v>16</v>
      </c>
      <c r="U3612" s="16" t="n">
        <v>150</v>
      </c>
      <c r="V3612" s="16">
        <f>ROUNDUP((T3612+U3612+2*'Read Me'!$B$13)*(1+'Read Me'!$B$12),-1)</f>
        <v/>
      </c>
      <c r="W3612" s="16">
        <f>V3612*N3612*O3612</f>
        <v/>
      </c>
      <c r="X3612" s="12">
        <f>IF(LEFT(I3612,2)="MV",2*N3612*IF(L3612="1/C",O3612,1),0)</f>
        <v/>
      </c>
      <c r="Y3612" s="12">
        <f>IF(OR(LEFT(K3612,4)="LVAX",LEFT(K3612,6)="MV15AX",LEFT(K3612,4)="CTAX",LEFT(K3612,2)="W|"),2*N3612*O3612,0)</f>
        <v/>
      </c>
      <c r="Z3612" s="12" t="inlineStr">
        <is>
          <t>VD 1.7 %</t>
        </is>
      </c>
      <c r="AA3612" s="12">
        <f>N3612*O3612</f>
        <v/>
      </c>
    </row>
    <row r="3613">
      <c r="A3613" s="12" t="inlineStr">
        <is>
          <t>G-P-0080</t>
        </is>
      </c>
      <c r="B3613" s="12" t="inlineStr">
        <is>
          <t>G</t>
        </is>
      </c>
      <c r="C3613" s="12" t="inlineStr">
        <is>
          <t>Carbon capture</t>
        </is>
      </c>
      <c r="D3613" s="12" t="inlineStr">
        <is>
          <t>Motor 3 of 4, 15 kW</t>
        </is>
      </c>
      <c r="E3613" s="12" t="inlineStr"/>
      <c r="F3613" s="12" t="inlineStr">
        <is>
          <t>CCS MV switchgear building (VFDs)</t>
        </is>
      </c>
      <c r="G3613" s="12" t="inlineStr">
        <is>
          <t>BF-C</t>
        </is>
      </c>
      <c r="H3613" s="12" t="inlineStr">
        <is>
          <t>BF-C: booster fan (~16 MW)</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15</v>
      </c>
      <c r="R3613" s="12" t="n">
        <v>21.2</v>
      </c>
      <c r="S3613" s="12" t="inlineStr">
        <is>
          <t>Tray</t>
        </is>
      </c>
      <c r="T3613" s="16" t="n">
        <v>16</v>
      </c>
      <c r="U3613" s="16" t="n">
        <v>150</v>
      </c>
      <c r="V3613" s="16">
        <f>ROUNDUP((T3613+U3613+2*'Read Me'!$B$13)*(1+'Read Me'!$B$12),-1)</f>
        <v/>
      </c>
      <c r="W3613" s="16">
        <f>V3613*N3613*O3613</f>
        <v/>
      </c>
      <c r="X3613" s="12">
        <f>IF(LEFT(I3613,2)="MV",2*N3613*IF(L3613="1/C",O3613,1),0)</f>
        <v/>
      </c>
      <c r="Y3613" s="12">
        <f>IF(OR(LEFT(K3613,4)="LVAX",LEFT(K3613,6)="MV15AX",LEFT(K3613,4)="CTAX",LEFT(K3613,2)="W|"),2*N3613*O3613,0)</f>
        <v/>
      </c>
      <c r="Z3613" s="12" t="inlineStr">
        <is>
          <t>VD 1.7 %</t>
        </is>
      </c>
      <c r="AA3613" s="12">
        <f>N3613*O3613</f>
        <v/>
      </c>
    </row>
    <row r="3614">
      <c r="A3614" s="12" t="inlineStr">
        <is>
          <t>G-P-0081</t>
        </is>
      </c>
      <c r="B3614" s="12" t="inlineStr">
        <is>
          <t>G</t>
        </is>
      </c>
      <c r="C3614" s="12" t="inlineStr">
        <is>
          <t>Carbon capture</t>
        </is>
      </c>
      <c r="D3614" s="12" t="inlineStr">
        <is>
          <t>Motor 4 of 4, 15 kW</t>
        </is>
      </c>
      <c r="E3614" s="12" t="inlineStr"/>
      <c r="F3614" s="12" t="inlineStr">
        <is>
          <t>CCS MV switchgear building (VFDs)</t>
        </is>
      </c>
      <c r="G3614" s="12" t="inlineStr">
        <is>
          <t>BF-C</t>
        </is>
      </c>
      <c r="H3614" s="12" t="inlineStr">
        <is>
          <t>BF-C: booster fan (~16 MW)</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15</v>
      </c>
      <c r="R3614" s="12" t="n">
        <v>21.2</v>
      </c>
      <c r="S3614" s="12" t="inlineStr">
        <is>
          <t>Tray</t>
        </is>
      </c>
      <c r="T3614" s="16" t="n">
        <v>16</v>
      </c>
      <c r="U3614" s="16" t="n">
        <v>150</v>
      </c>
      <c r="V3614" s="16">
        <f>ROUNDUP((T3614+U3614+2*'Read Me'!$B$13)*(1+'Read Me'!$B$12),-1)</f>
        <v/>
      </c>
      <c r="W3614" s="16">
        <f>V3614*N3614*O3614</f>
        <v/>
      </c>
      <c r="X3614" s="12">
        <f>IF(LEFT(I3614,2)="MV",2*N3614*IF(L3614="1/C",O3614,1),0)</f>
        <v/>
      </c>
      <c r="Y3614" s="12">
        <f>IF(OR(LEFT(K3614,4)="LVAX",LEFT(K3614,6)="MV15AX",LEFT(K3614,4)="CTAX",LEFT(K3614,2)="W|"),2*N3614*O3614,0)</f>
        <v/>
      </c>
      <c r="Z3614" s="12" t="inlineStr">
        <is>
          <t>VD 1.7 %</t>
        </is>
      </c>
      <c r="AA3614" s="12">
        <f>N3614*O3614</f>
        <v/>
      </c>
    </row>
    <row r="3615">
      <c r="A3615" s="12" t="inlineStr">
        <is>
          <t>G-P-0082</t>
        </is>
      </c>
      <c r="B3615" s="12" t="inlineStr">
        <is>
          <t>G</t>
        </is>
      </c>
      <c r="C3615" s="12" t="inlineStr">
        <is>
          <t>Carbon capture</t>
        </is>
      </c>
      <c r="D3615" s="12" t="inlineStr">
        <is>
          <t>480 V welding receptacle 1</t>
        </is>
      </c>
      <c r="E3615" s="12" t="inlineStr"/>
      <c r="F3615" s="12" t="inlineStr">
        <is>
          <t>CCS MV switchgear building (VFDs)</t>
        </is>
      </c>
      <c r="G3615" s="12" t="inlineStr">
        <is>
          <t>BF-C</t>
        </is>
      </c>
      <c r="H3615" s="12" t="inlineStr">
        <is>
          <t>BF-C: booster fan (~16 MW)</t>
        </is>
      </c>
      <c r="I3615" s="12" t="inlineStr">
        <is>
          <t>LV 600 V</t>
        </is>
      </c>
      <c r="J3615" s="12" t="inlineStr">
        <is>
          <t>Type TC-ER 600 V 3/C Cu XHHW-2 + ground, PVC jacket</t>
        </is>
      </c>
      <c r="K3615" s="12" t="inlineStr">
        <is>
          <t>LV|3/C+G|2</t>
        </is>
      </c>
      <c r="L3615" s="12" t="inlineStr">
        <is>
          <t>3/C+G</t>
        </is>
      </c>
      <c r="M3615" s="12" t="inlineStr">
        <is>
          <t>2</t>
        </is>
      </c>
      <c r="N3615" s="12" t="n">
        <v>1</v>
      </c>
      <c r="O3615" s="12" t="n">
        <v>1</v>
      </c>
      <c r="P3615" s="12" t="n">
        <v>480</v>
      </c>
      <c r="Q3615" s="12" t="n">
        <v>60</v>
      </c>
      <c r="R3615" s="12" t="n">
        <v>76</v>
      </c>
      <c r="S3615" s="12" t="inlineStr">
        <is>
          <t>Tray</t>
        </is>
      </c>
      <c r="T3615" s="16" t="n">
        <v>16</v>
      </c>
      <c r="U3615" s="16" t="n">
        <v>150</v>
      </c>
      <c r="V3615" s="16">
        <f>ROUNDUP((T3615+U3615+2*'Read Me'!$B$13)*(1+'Read Me'!$B$12),-1)</f>
        <v/>
      </c>
      <c r="W3615" s="16">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G-P-0083</t>
        </is>
      </c>
      <c r="B3616" s="12" t="inlineStr">
        <is>
          <t>G</t>
        </is>
      </c>
      <c r="C3616" s="12" t="inlineStr">
        <is>
          <t>Carbon capture</t>
        </is>
      </c>
      <c r="D3616" s="12" t="inlineStr">
        <is>
          <t>480 V welding receptacle 2</t>
        </is>
      </c>
      <c r="E3616" s="12" t="inlineStr"/>
      <c r="F3616" s="12" t="inlineStr">
        <is>
          <t>CCS MV switchgear building (VFDs)</t>
        </is>
      </c>
      <c r="G3616" s="12" t="inlineStr">
        <is>
          <t>BF-C</t>
        </is>
      </c>
      <c r="H3616" s="12" t="inlineStr">
        <is>
          <t>BF-C: booster fan (~16 MW)</t>
        </is>
      </c>
      <c r="I3616" s="12" t="inlineStr">
        <is>
          <t>LV 600 V</t>
        </is>
      </c>
      <c r="J3616" s="12" t="inlineStr">
        <is>
          <t>Type TC-ER 600 V 3/C Cu XHHW-2 + ground, PVC jacket</t>
        </is>
      </c>
      <c r="K3616" s="12" t="inlineStr">
        <is>
          <t>LV|3/C+G|2</t>
        </is>
      </c>
      <c r="L3616" s="12" t="inlineStr">
        <is>
          <t>3/C+G</t>
        </is>
      </c>
      <c r="M3616" s="12" t="inlineStr">
        <is>
          <t>2</t>
        </is>
      </c>
      <c r="N3616" s="12" t="n">
        <v>1</v>
      </c>
      <c r="O3616" s="12" t="n">
        <v>1</v>
      </c>
      <c r="P3616" s="12" t="n">
        <v>480</v>
      </c>
      <c r="Q3616" s="12" t="n">
        <v>60</v>
      </c>
      <c r="R3616" s="12" t="n">
        <v>76</v>
      </c>
      <c r="S3616" s="12" t="inlineStr">
        <is>
          <t>Tray</t>
        </is>
      </c>
      <c r="T3616" s="16" t="n">
        <v>16</v>
      </c>
      <c r="U3616" s="16" t="n">
        <v>150</v>
      </c>
      <c r="V3616" s="16">
        <f>ROUNDUP((T3616+U3616+2*'Read Me'!$B$13)*(1+'Read Me'!$B$12),-1)</f>
        <v/>
      </c>
      <c r="W3616" s="16">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G-P-0084</t>
        </is>
      </c>
      <c r="B3617" s="12" t="inlineStr">
        <is>
          <t>G</t>
        </is>
      </c>
      <c r="C3617" s="12" t="inlineStr">
        <is>
          <t>Carbon capture</t>
        </is>
      </c>
      <c r="D3617" s="12" t="inlineStr">
        <is>
          <t>480 V welding receptacle 3</t>
        </is>
      </c>
      <c r="E3617" s="12" t="inlineStr"/>
      <c r="F3617" s="12" t="inlineStr">
        <is>
          <t>CCS MV switchgear building (VFDs)</t>
        </is>
      </c>
      <c r="G3617" s="12" t="inlineStr">
        <is>
          <t>BF-C</t>
        </is>
      </c>
      <c r="H3617" s="12" t="inlineStr">
        <is>
          <t>BF-C: booster fan (~16 MW)</t>
        </is>
      </c>
      <c r="I3617" s="12" t="inlineStr">
        <is>
          <t>LV 600 V</t>
        </is>
      </c>
      <c r="J3617" s="12" t="inlineStr">
        <is>
          <t>Type TC-ER 600 V 3/C Cu XHHW-2 + ground, PVC jacket</t>
        </is>
      </c>
      <c r="K3617" s="12" t="inlineStr">
        <is>
          <t>LV|3/C+G|2</t>
        </is>
      </c>
      <c r="L3617" s="12" t="inlineStr">
        <is>
          <t>3/C+G</t>
        </is>
      </c>
      <c r="M3617" s="12" t="inlineStr">
        <is>
          <t>2</t>
        </is>
      </c>
      <c r="N3617" s="12" t="n">
        <v>1</v>
      </c>
      <c r="O3617" s="12" t="n">
        <v>1</v>
      </c>
      <c r="P3617" s="12" t="n">
        <v>480</v>
      </c>
      <c r="Q3617" s="12" t="n">
        <v>60</v>
      </c>
      <c r="R3617" s="12" t="n">
        <v>76</v>
      </c>
      <c r="S3617" s="12" t="inlineStr">
        <is>
          <t>Tray</t>
        </is>
      </c>
      <c r="T3617" s="16" t="n">
        <v>16</v>
      </c>
      <c r="U3617" s="16" t="n">
        <v>150</v>
      </c>
      <c r="V3617" s="16">
        <f>ROUNDUP((T3617+U3617+2*'Read Me'!$B$13)*(1+'Read Me'!$B$12),-1)</f>
        <v/>
      </c>
      <c r="W3617" s="16">
        <f>V3617*N3617*O3617</f>
        <v/>
      </c>
      <c r="X3617" s="12">
        <f>IF(LEFT(I3617,2)="MV",2*N3617*IF(L3617="1/C",O3617,1),0)</f>
        <v/>
      </c>
      <c r="Y3617" s="12">
        <f>IF(OR(LEFT(K3617,4)="LVAX",LEFT(K3617,6)="MV15AX",LEFT(K3617,4)="CTAX",LEFT(K3617,2)="W|"),2*N3617*O3617,0)</f>
        <v/>
      </c>
      <c r="Z3617" s="12" t="inlineStr">
        <is>
          <t>VD 1.0 %</t>
        </is>
      </c>
      <c r="AA3617" s="12">
        <f>N3617*O3617</f>
        <v/>
      </c>
    </row>
    <row r="3618">
      <c r="A3618" s="12" t="inlineStr">
        <is>
          <t>G-P-0085</t>
        </is>
      </c>
      <c r="B3618" s="12" t="inlineStr">
        <is>
          <t>G</t>
        </is>
      </c>
      <c r="C3618" s="12" t="inlineStr">
        <is>
          <t>Carbon capture</t>
        </is>
      </c>
      <c r="D3618" s="12" t="inlineStr">
        <is>
          <t>480 V welding receptacle 4</t>
        </is>
      </c>
      <c r="E3618" s="12" t="inlineStr"/>
      <c r="F3618" s="12" t="inlineStr">
        <is>
          <t>CCS MV switchgear building (VFDs)</t>
        </is>
      </c>
      <c r="G3618" s="12" t="inlineStr">
        <is>
          <t>BF-C</t>
        </is>
      </c>
      <c r="H3618" s="12" t="inlineStr">
        <is>
          <t>BF-C: booster fan (~16 MW)</t>
        </is>
      </c>
      <c r="I3618" s="12" t="inlineStr">
        <is>
          <t>LV 600 V</t>
        </is>
      </c>
      <c r="J3618" s="12" t="inlineStr">
        <is>
          <t>Type TC-ER 600 V 3/C Cu XHHW-2 + ground, PVC jacket</t>
        </is>
      </c>
      <c r="K3618" s="12" t="inlineStr">
        <is>
          <t>LV|3/C+G|2</t>
        </is>
      </c>
      <c r="L3618" s="12" t="inlineStr">
        <is>
          <t>3/C+G</t>
        </is>
      </c>
      <c r="M3618" s="12" t="inlineStr">
        <is>
          <t>2</t>
        </is>
      </c>
      <c r="N3618" s="12" t="n">
        <v>1</v>
      </c>
      <c r="O3618" s="12" t="n">
        <v>1</v>
      </c>
      <c r="P3618" s="12" t="n">
        <v>480</v>
      </c>
      <c r="Q3618" s="12" t="n">
        <v>60</v>
      </c>
      <c r="R3618" s="12" t="n">
        <v>76</v>
      </c>
      <c r="S3618" s="12" t="inlineStr">
        <is>
          <t>Tray</t>
        </is>
      </c>
      <c r="T3618" s="16" t="n">
        <v>16</v>
      </c>
      <c r="U3618" s="16" t="n">
        <v>150</v>
      </c>
      <c r="V3618" s="16">
        <f>ROUNDUP((T3618+U3618+2*'Read Me'!$B$13)*(1+'Read Me'!$B$12),-1)</f>
        <v/>
      </c>
      <c r="W3618" s="16">
        <f>V3618*N3618*O3618</f>
        <v/>
      </c>
      <c r="X3618" s="12">
        <f>IF(LEFT(I3618,2)="MV",2*N3618*IF(L3618="1/C",O3618,1),0)</f>
        <v/>
      </c>
      <c r="Y3618" s="12">
        <f>IF(OR(LEFT(K3618,4)="LVAX",LEFT(K3618,6)="MV15AX",LEFT(K3618,4)="CTAX",LEFT(K3618,2)="W|"),2*N3618*O3618,0)</f>
        <v/>
      </c>
      <c r="Z3618" s="12" t="inlineStr">
        <is>
          <t>VD 1.0 %</t>
        </is>
      </c>
      <c r="AA3618" s="12">
        <f>N3618*O3618</f>
        <v/>
      </c>
    </row>
    <row r="3619">
      <c r="A3619" s="12" t="inlineStr">
        <is>
          <t>G-P-0086</t>
        </is>
      </c>
      <c r="B3619" s="12" t="inlineStr">
        <is>
          <t>G</t>
        </is>
      </c>
      <c r="C3619" s="12" t="inlineStr">
        <is>
          <t>Carbon capture</t>
        </is>
      </c>
      <c r="D3619" s="12" t="inlineStr">
        <is>
          <t>LV panel / distribution feeder</t>
        </is>
      </c>
      <c r="E3619" s="12" t="inlineStr"/>
      <c r="F3619" s="12" t="inlineStr">
        <is>
          <t>CCS MV switchgear building (VFDs)</t>
        </is>
      </c>
      <c r="G3619" s="12" t="inlineStr"/>
      <c r="H3619" s="12" t="inlineStr">
        <is>
          <t>CCS F&amp;G / control</t>
        </is>
      </c>
      <c r="I3619" s="12" t="inlineStr">
        <is>
          <t>LV 600 V</t>
        </is>
      </c>
      <c r="J3619" s="12" t="inlineStr">
        <is>
          <t>Type TC-ER 600 V 3/C Cu XHHW-2 + ground, PVC jacket</t>
        </is>
      </c>
      <c r="K3619" s="12" t="inlineStr">
        <is>
          <t>LV|3/C+G|4</t>
        </is>
      </c>
      <c r="L3619" s="12" t="inlineStr">
        <is>
          <t>3/C+G</t>
        </is>
      </c>
      <c r="M3619" s="12" t="inlineStr">
        <is>
          <t>4</t>
        </is>
      </c>
      <c r="N3619" s="12" t="n">
        <v>1</v>
      </c>
      <c r="O3619" s="12" t="n">
        <v>1</v>
      </c>
      <c r="P3619" s="12" t="n">
        <v>480</v>
      </c>
      <c r="Q3619" s="12" t="n">
        <v>40</v>
      </c>
      <c r="R3619" s="12" t="n">
        <v>56.6</v>
      </c>
      <c r="S3619" s="12" t="inlineStr">
        <is>
          <t>Duct bank</t>
        </is>
      </c>
      <c r="T3619" s="16" t="n">
        <v>206</v>
      </c>
      <c r="U3619" s="16" t="n">
        <v>101</v>
      </c>
      <c r="V3619" s="16">
        <f>ROUNDUP((T3619+U3619+2*'Read Me'!$B$13)*(1+'Read Me'!$B$12),-1)</f>
        <v/>
      </c>
      <c r="W3619" s="16">
        <f>V3619*N3619*O3619</f>
        <v/>
      </c>
      <c r="X3619" s="12">
        <f>IF(LEFT(I3619,2)="MV",2*N3619*IF(L3619="1/C",O3619,1),0)</f>
        <v/>
      </c>
      <c r="Y3619" s="12">
        <f>IF(OR(LEFT(K3619,4)="LVAX",LEFT(K3619,6)="MV15AX",LEFT(K3619,4)="CTAX",LEFT(K3619,2)="W|"),2*N3619*O3619,0)</f>
        <v/>
      </c>
      <c r="Z3619" s="12" t="inlineStr">
        <is>
          <t>VD 2.1 %</t>
        </is>
      </c>
      <c r="AA3619" s="12">
        <f>N3619*O3619</f>
        <v/>
      </c>
    </row>
    <row r="3620">
      <c r="A3620" s="12" t="inlineStr">
        <is>
          <t>G-P-0087</t>
        </is>
      </c>
      <c r="B3620" s="12" t="inlineStr">
        <is>
          <t>G</t>
        </is>
      </c>
      <c r="C3620" s="12" t="inlineStr">
        <is>
          <t>Carbon capture</t>
        </is>
      </c>
      <c r="D3620" s="12" t="inlineStr">
        <is>
          <t>LV panel / distribution feeder</t>
        </is>
      </c>
      <c r="E3620" s="12" t="inlineStr"/>
      <c r="F3620" s="12" t="inlineStr">
        <is>
          <t>CCS MV switchgear building (VFDs)</t>
        </is>
      </c>
      <c r="G3620" s="12" t="inlineStr"/>
      <c r="H3620" s="12" t="inlineStr">
        <is>
          <t>CCS MV switchgear building (VFDs)</t>
        </is>
      </c>
      <c r="I3620" s="12" t="inlineStr">
        <is>
          <t>LV 600 V</t>
        </is>
      </c>
      <c r="J3620" s="12" t="inlineStr">
        <is>
          <t>Type TC-ER 600 V 3/C Cu XHHW-2 + ground, PVC jacket</t>
        </is>
      </c>
      <c r="K3620" s="12" t="inlineStr">
        <is>
          <t>LV|3/C+G|3/0</t>
        </is>
      </c>
      <c r="L3620" s="12" t="inlineStr">
        <is>
          <t>3/C+G</t>
        </is>
      </c>
      <c r="M3620" s="12" t="inlineStr">
        <is>
          <t>3/0</t>
        </is>
      </c>
      <c r="N3620" s="12" t="n">
        <v>1</v>
      </c>
      <c r="O3620" s="12" t="n">
        <v>1</v>
      </c>
      <c r="P3620" s="12" t="n">
        <v>480</v>
      </c>
      <c r="Q3620" s="12" t="n">
        <v>109</v>
      </c>
      <c r="R3620" s="12" t="n">
        <v>154.2</v>
      </c>
      <c r="S3620" s="12" t="inlineStr">
        <is>
          <t>Tray</t>
        </is>
      </c>
      <c r="T3620" s="16" t="n">
        <v>0</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G-P-0088</t>
        </is>
      </c>
      <c r="B3621" s="12" t="inlineStr">
        <is>
          <t>G</t>
        </is>
      </c>
      <c r="C3621" s="12" t="inlineStr">
        <is>
          <t>Carbon capture</t>
        </is>
      </c>
      <c r="D3621" s="12" t="inlineStr">
        <is>
          <t>Motor 1 of 6, 2 kW</t>
        </is>
      </c>
      <c r="E3621" s="12" t="inlineStr"/>
      <c r="F3621" s="12" t="inlineStr">
        <is>
          <t>CCS MV switchgear building (VFDs)</t>
        </is>
      </c>
      <c r="G3621" s="12" t="inlineStr">
        <is>
          <t>CCS T-1</t>
        </is>
      </c>
      <c r="H3621" s="12" t="inlineStr">
        <is>
          <t>CCS T-1: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361</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0.5 %</t>
        </is>
      </c>
      <c r="AA3621" s="12">
        <f>N3621*O3621</f>
        <v/>
      </c>
    </row>
    <row r="3622">
      <c r="A3622" s="12" t="inlineStr">
        <is>
          <t>G-P-0089</t>
        </is>
      </c>
      <c r="B3622" s="12" t="inlineStr">
        <is>
          <t>G</t>
        </is>
      </c>
      <c r="C3622" s="12" t="inlineStr">
        <is>
          <t>Carbon capture</t>
        </is>
      </c>
      <c r="D3622" s="12" t="inlineStr">
        <is>
          <t>Motor 2 of 6, 2 kW</t>
        </is>
      </c>
      <c r="E3622" s="12" t="inlineStr"/>
      <c r="F3622" s="12" t="inlineStr">
        <is>
          <t>CCS MV switchgear building (VFDs)</t>
        </is>
      </c>
      <c r="G3622" s="12" t="inlineStr">
        <is>
          <t>CCS T-1</t>
        </is>
      </c>
      <c r="H3622" s="12" t="inlineStr">
        <is>
          <t>CCS T-1: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361</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0.5 %</t>
        </is>
      </c>
      <c r="AA3622" s="12">
        <f>N3622*O3622</f>
        <v/>
      </c>
    </row>
    <row r="3623">
      <c r="A3623" s="12" t="inlineStr">
        <is>
          <t>G-P-0090</t>
        </is>
      </c>
      <c r="B3623" s="12" t="inlineStr">
        <is>
          <t>G</t>
        </is>
      </c>
      <c r="C3623" s="12" t="inlineStr">
        <is>
          <t>Carbon capture</t>
        </is>
      </c>
      <c r="D3623" s="12" t="inlineStr">
        <is>
          <t>Motor 3 of 6, 2 kW</t>
        </is>
      </c>
      <c r="E3623" s="12" t="inlineStr"/>
      <c r="F3623" s="12" t="inlineStr">
        <is>
          <t>CCS MV switchgear building (VFDs)</t>
        </is>
      </c>
      <c r="G3623" s="12" t="inlineStr">
        <is>
          <t>CCS T-1</t>
        </is>
      </c>
      <c r="H3623" s="12" t="inlineStr">
        <is>
          <t>CCS T-1: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361</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0.5 %</t>
        </is>
      </c>
      <c r="AA3623" s="12">
        <f>N3623*O3623</f>
        <v/>
      </c>
    </row>
    <row r="3624">
      <c r="A3624" s="12" t="inlineStr">
        <is>
          <t>G-P-0091</t>
        </is>
      </c>
      <c r="B3624" s="12" t="inlineStr">
        <is>
          <t>G</t>
        </is>
      </c>
      <c r="C3624" s="12" t="inlineStr">
        <is>
          <t>Carbon capture</t>
        </is>
      </c>
      <c r="D3624" s="12" t="inlineStr">
        <is>
          <t>Motor 4 of 6, 2 kW</t>
        </is>
      </c>
      <c r="E3624" s="12" t="inlineStr"/>
      <c r="F3624" s="12" t="inlineStr">
        <is>
          <t>CCS MV switchgear building (VFDs)</t>
        </is>
      </c>
      <c r="G3624" s="12" t="inlineStr">
        <is>
          <t>CCS T-1</t>
        </is>
      </c>
      <c r="H3624" s="12" t="inlineStr">
        <is>
          <t>CCS T-1: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361</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0.5 %</t>
        </is>
      </c>
      <c r="AA3624" s="12">
        <f>N3624*O3624</f>
        <v/>
      </c>
    </row>
    <row r="3625">
      <c r="A3625" s="12" t="inlineStr">
        <is>
          <t>G-P-0092</t>
        </is>
      </c>
      <c r="B3625" s="12" t="inlineStr">
        <is>
          <t>G</t>
        </is>
      </c>
      <c r="C3625" s="12" t="inlineStr">
        <is>
          <t>Carbon capture</t>
        </is>
      </c>
      <c r="D3625" s="12" t="inlineStr">
        <is>
          <t>Motor 5 of 6, 2 kW</t>
        </is>
      </c>
      <c r="E3625" s="12" t="inlineStr"/>
      <c r="F3625" s="12" t="inlineStr">
        <is>
          <t>CCS MV switchgear building (VFDs)</t>
        </is>
      </c>
      <c r="G3625" s="12" t="inlineStr">
        <is>
          <t>CCS T-1</t>
        </is>
      </c>
      <c r="H3625" s="12" t="inlineStr">
        <is>
          <t>CCS T-1: 230/13.8 kV</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v>
      </c>
      <c r="R3625" s="12" t="n">
        <v>2.8</v>
      </c>
      <c r="S3625" s="12" t="inlineStr">
        <is>
          <t>Duct bank</t>
        </is>
      </c>
      <c r="T3625" s="16" t="n">
        <v>361</v>
      </c>
      <c r="U3625" s="16" t="n">
        <v>32</v>
      </c>
      <c r="V3625" s="16">
        <f>ROUNDUP((T3625+U3625+2*'Read Me'!$B$13)*(1+'Read Me'!$B$12),-1)</f>
        <v/>
      </c>
      <c r="W3625" s="16">
        <f>V3625*N3625*O3625</f>
        <v/>
      </c>
      <c r="X3625" s="12">
        <f>IF(LEFT(I3625,2)="MV",2*N3625*IF(L3625="1/C",O3625,1),0)</f>
        <v/>
      </c>
      <c r="Y3625" s="12">
        <f>IF(OR(LEFT(K3625,4)="LVAX",LEFT(K3625,6)="MV15AX",LEFT(K3625,4)="CTAX",LEFT(K3625,2)="W|"),2*N3625*O3625,0)</f>
        <v/>
      </c>
      <c r="Z3625" s="12" t="inlineStr">
        <is>
          <t>VD 0.5 %</t>
        </is>
      </c>
      <c r="AA3625" s="12">
        <f>N3625*O3625</f>
        <v/>
      </c>
    </row>
    <row r="3626">
      <c r="A3626" s="12" t="inlineStr">
        <is>
          <t>G-P-0093</t>
        </is>
      </c>
      <c r="B3626" s="12" t="inlineStr">
        <is>
          <t>G</t>
        </is>
      </c>
      <c r="C3626" s="12" t="inlineStr">
        <is>
          <t>Carbon capture</t>
        </is>
      </c>
      <c r="D3626" s="12" t="inlineStr">
        <is>
          <t>Motor 6 of 6, 2 kW</t>
        </is>
      </c>
      <c r="E3626" s="12" t="inlineStr"/>
      <c r="F3626" s="12" t="inlineStr">
        <is>
          <t>CCS MV switchgear building (VFDs)</t>
        </is>
      </c>
      <c r="G3626" s="12" t="inlineStr">
        <is>
          <t>CCS T-1</t>
        </is>
      </c>
      <c r="H3626" s="12" t="inlineStr">
        <is>
          <t>CCS T-1: 230/13.8 kV</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v>
      </c>
      <c r="R3626" s="12" t="n">
        <v>2.8</v>
      </c>
      <c r="S3626" s="12" t="inlineStr">
        <is>
          <t>Duct bank</t>
        </is>
      </c>
      <c r="T3626" s="16" t="n">
        <v>361</v>
      </c>
      <c r="U3626" s="16" t="n">
        <v>32</v>
      </c>
      <c r="V3626" s="16">
        <f>ROUNDUP((T3626+U3626+2*'Read Me'!$B$13)*(1+'Read Me'!$B$12),-1)</f>
        <v/>
      </c>
      <c r="W3626" s="16">
        <f>V3626*N3626*O3626</f>
        <v/>
      </c>
      <c r="X3626" s="12">
        <f>IF(LEFT(I3626,2)="MV",2*N3626*IF(L3626="1/C",O3626,1),0)</f>
        <v/>
      </c>
      <c r="Y3626" s="12">
        <f>IF(OR(LEFT(K3626,4)="LVAX",LEFT(K3626,6)="MV15AX",LEFT(K3626,4)="CTAX",LEFT(K3626,2)="W|"),2*N3626*O3626,0)</f>
        <v/>
      </c>
      <c r="Z3626" s="12" t="inlineStr">
        <is>
          <t>VD 0.5 %</t>
        </is>
      </c>
      <c r="AA3626" s="12">
        <f>N3626*O3626</f>
        <v/>
      </c>
    </row>
    <row r="3627">
      <c r="A3627" s="12" t="inlineStr">
        <is>
          <t>G-P-0094</t>
        </is>
      </c>
      <c r="B3627" s="12" t="inlineStr">
        <is>
          <t>G</t>
        </is>
      </c>
      <c r="C3627" s="12" t="inlineStr">
        <is>
          <t>Carbon capture</t>
        </is>
      </c>
      <c r="D3627" s="12" t="inlineStr">
        <is>
          <t>Motor 1 of 6, 2 kW</t>
        </is>
      </c>
      <c r="E3627" s="12" t="inlineStr"/>
      <c r="F3627" s="12" t="inlineStr">
        <is>
          <t>CCS MV switchgear building (VFDs)</t>
        </is>
      </c>
      <c r="G3627" s="12" t="inlineStr">
        <is>
          <t>CCS T-2</t>
        </is>
      </c>
      <c r="H3627" s="12" t="inlineStr">
        <is>
          <t>CCS T-2: 230/13.8 kV</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v>
      </c>
      <c r="R3627" s="12" t="n">
        <v>2.8</v>
      </c>
      <c r="S3627" s="12" t="inlineStr">
        <is>
          <t>Duct bank</t>
        </is>
      </c>
      <c r="T3627" s="16" t="n">
        <v>409</v>
      </c>
      <c r="U3627" s="16" t="n">
        <v>32</v>
      </c>
      <c r="V3627" s="16">
        <f>ROUNDUP((T3627+U3627+2*'Read Me'!$B$13)*(1+'Read Me'!$B$12),-1)</f>
        <v/>
      </c>
      <c r="W3627" s="16">
        <f>V3627*N3627*O3627</f>
        <v/>
      </c>
      <c r="X3627" s="12">
        <f>IF(LEFT(I3627,2)="MV",2*N3627*IF(L3627="1/C",O3627,1),0)</f>
        <v/>
      </c>
      <c r="Y3627" s="12">
        <f>IF(OR(LEFT(K3627,4)="LVAX",LEFT(K3627,6)="MV15AX",LEFT(K3627,4)="CTAX",LEFT(K3627,2)="W|"),2*N3627*O3627,0)</f>
        <v/>
      </c>
      <c r="Z3627" s="12" t="inlineStr">
        <is>
          <t>VD 0.6 %</t>
        </is>
      </c>
      <c r="AA3627" s="12">
        <f>N3627*O3627</f>
        <v/>
      </c>
    </row>
    <row r="3628">
      <c r="A3628" s="12" t="inlineStr">
        <is>
          <t>G-P-0095</t>
        </is>
      </c>
      <c r="B3628" s="12" t="inlineStr">
        <is>
          <t>G</t>
        </is>
      </c>
      <c r="C3628" s="12" t="inlineStr">
        <is>
          <t>Carbon capture</t>
        </is>
      </c>
      <c r="D3628" s="12" t="inlineStr">
        <is>
          <t>Motor 2 of 6, 2 kW</t>
        </is>
      </c>
      <c r="E3628" s="12" t="inlineStr"/>
      <c r="F3628" s="12" t="inlineStr">
        <is>
          <t>CCS MV switchgear building (VFDs)</t>
        </is>
      </c>
      <c r="G3628" s="12" t="inlineStr">
        <is>
          <t>CCS T-2</t>
        </is>
      </c>
      <c r="H3628" s="12" t="inlineStr">
        <is>
          <t>CCS T-2: 230/13.8 kV</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v>
      </c>
      <c r="R3628" s="12" t="n">
        <v>2.8</v>
      </c>
      <c r="S3628" s="12" t="inlineStr">
        <is>
          <t>Duct bank</t>
        </is>
      </c>
      <c r="T3628" s="16" t="n">
        <v>409</v>
      </c>
      <c r="U3628" s="16" t="n">
        <v>32</v>
      </c>
      <c r="V3628" s="16">
        <f>ROUNDUP((T3628+U3628+2*'Read Me'!$B$13)*(1+'Read Me'!$B$12),-1)</f>
        <v/>
      </c>
      <c r="W3628" s="16">
        <f>V3628*N3628*O3628</f>
        <v/>
      </c>
      <c r="X3628" s="12">
        <f>IF(LEFT(I3628,2)="MV",2*N3628*IF(L3628="1/C",O3628,1),0)</f>
        <v/>
      </c>
      <c r="Y3628" s="12">
        <f>IF(OR(LEFT(K3628,4)="LVAX",LEFT(K3628,6)="MV15AX",LEFT(K3628,4)="CTAX",LEFT(K3628,2)="W|"),2*N3628*O3628,0)</f>
        <v/>
      </c>
      <c r="Z3628" s="12" t="inlineStr">
        <is>
          <t>VD 0.6 %</t>
        </is>
      </c>
      <c r="AA3628" s="12">
        <f>N3628*O3628</f>
        <v/>
      </c>
    </row>
    <row r="3629">
      <c r="A3629" s="12" t="inlineStr">
        <is>
          <t>G-P-0096</t>
        </is>
      </c>
      <c r="B3629" s="12" t="inlineStr">
        <is>
          <t>G</t>
        </is>
      </c>
      <c r="C3629" s="12" t="inlineStr">
        <is>
          <t>Carbon capture</t>
        </is>
      </c>
      <c r="D3629" s="12" t="inlineStr">
        <is>
          <t>Motor 3 of 6, 2 kW</t>
        </is>
      </c>
      <c r="E3629" s="12" t="inlineStr"/>
      <c r="F3629" s="12" t="inlineStr">
        <is>
          <t>CCS MV switchgear building (VFDs)</t>
        </is>
      </c>
      <c r="G3629" s="12" t="inlineStr">
        <is>
          <t>CCS T-2</t>
        </is>
      </c>
      <c r="H3629" s="12" t="inlineStr">
        <is>
          <t>CCS T-2: 230/13.8 kV</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v>
      </c>
      <c r="R3629" s="12" t="n">
        <v>2.8</v>
      </c>
      <c r="S3629" s="12" t="inlineStr">
        <is>
          <t>Duct bank</t>
        </is>
      </c>
      <c r="T3629" s="16" t="n">
        <v>409</v>
      </c>
      <c r="U3629" s="16" t="n">
        <v>32</v>
      </c>
      <c r="V3629" s="16">
        <f>ROUNDUP((T3629+U3629+2*'Read Me'!$B$13)*(1+'Read Me'!$B$12),-1)</f>
        <v/>
      </c>
      <c r="W3629" s="16">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G-P-0097</t>
        </is>
      </c>
      <c r="B3630" s="12" t="inlineStr">
        <is>
          <t>G</t>
        </is>
      </c>
      <c r="C3630" s="12" t="inlineStr">
        <is>
          <t>Carbon capture</t>
        </is>
      </c>
      <c r="D3630" s="12" t="inlineStr">
        <is>
          <t>Motor 4 of 6, 2 kW</t>
        </is>
      </c>
      <c r="E3630" s="12" t="inlineStr"/>
      <c r="F3630" s="12" t="inlineStr">
        <is>
          <t>CCS MV switchgear building (VFDs)</t>
        </is>
      </c>
      <c r="G3630" s="12" t="inlineStr">
        <is>
          <t>CCS T-2</t>
        </is>
      </c>
      <c r="H3630" s="12" t="inlineStr">
        <is>
          <t>CCS T-2: 230/13.8 kV</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v>
      </c>
      <c r="R3630" s="12" t="n">
        <v>2.8</v>
      </c>
      <c r="S3630" s="12" t="inlineStr">
        <is>
          <t>Duct bank</t>
        </is>
      </c>
      <c r="T3630" s="16" t="n">
        <v>409</v>
      </c>
      <c r="U3630" s="16" t="n">
        <v>32</v>
      </c>
      <c r="V3630" s="16">
        <f>ROUNDUP((T3630+U3630+2*'Read Me'!$B$13)*(1+'Read Me'!$B$12),-1)</f>
        <v/>
      </c>
      <c r="W3630" s="16">
        <f>V3630*N3630*O3630</f>
        <v/>
      </c>
      <c r="X3630" s="12">
        <f>IF(LEFT(I3630,2)="MV",2*N3630*IF(L3630="1/C",O3630,1),0)</f>
        <v/>
      </c>
      <c r="Y3630" s="12">
        <f>IF(OR(LEFT(K3630,4)="LVAX",LEFT(K3630,6)="MV15AX",LEFT(K3630,4)="CTAX",LEFT(K3630,2)="W|"),2*N3630*O3630,0)</f>
        <v/>
      </c>
      <c r="Z3630" s="12" t="inlineStr">
        <is>
          <t>VD 0.6 %</t>
        </is>
      </c>
      <c r="AA3630" s="12">
        <f>N3630*O3630</f>
        <v/>
      </c>
    </row>
    <row r="3631">
      <c r="A3631" s="12" t="inlineStr">
        <is>
          <t>G-P-0098</t>
        </is>
      </c>
      <c r="B3631" s="12" t="inlineStr">
        <is>
          <t>G</t>
        </is>
      </c>
      <c r="C3631" s="12" t="inlineStr">
        <is>
          <t>Carbon capture</t>
        </is>
      </c>
      <c r="D3631" s="12" t="inlineStr">
        <is>
          <t>Motor 5 of 6, 2 kW</t>
        </is>
      </c>
      <c r="E3631" s="12" t="inlineStr"/>
      <c r="F3631" s="12" t="inlineStr">
        <is>
          <t>CCS MV switchgear building (VFDs)</t>
        </is>
      </c>
      <c r="G3631" s="12" t="inlineStr">
        <is>
          <t>CCS T-2</t>
        </is>
      </c>
      <c r="H3631" s="12" t="inlineStr">
        <is>
          <t>CCS T-2: 230/13.8 kV</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v>
      </c>
      <c r="R3631" s="12" t="n">
        <v>2.8</v>
      </c>
      <c r="S3631" s="12" t="inlineStr">
        <is>
          <t>Duct bank</t>
        </is>
      </c>
      <c r="T3631" s="16" t="n">
        <v>409</v>
      </c>
      <c r="U3631" s="16" t="n">
        <v>32</v>
      </c>
      <c r="V3631" s="16">
        <f>ROUNDUP((T3631+U3631+2*'Read Me'!$B$13)*(1+'Read Me'!$B$12),-1)</f>
        <v/>
      </c>
      <c r="W3631" s="16">
        <f>V3631*N3631*O3631</f>
        <v/>
      </c>
      <c r="X3631" s="12">
        <f>IF(LEFT(I3631,2)="MV",2*N3631*IF(L3631="1/C",O3631,1),0)</f>
        <v/>
      </c>
      <c r="Y3631" s="12">
        <f>IF(OR(LEFT(K3631,4)="LVAX",LEFT(K3631,6)="MV15AX",LEFT(K3631,4)="CTAX",LEFT(K3631,2)="W|"),2*N3631*O3631,0)</f>
        <v/>
      </c>
      <c r="Z3631" s="12" t="inlineStr">
        <is>
          <t>VD 0.6 %</t>
        </is>
      </c>
      <c r="AA3631" s="12">
        <f>N3631*O3631</f>
        <v/>
      </c>
    </row>
    <row r="3632">
      <c r="A3632" s="12" t="inlineStr">
        <is>
          <t>G-P-0099</t>
        </is>
      </c>
      <c r="B3632" s="12" t="inlineStr">
        <is>
          <t>G</t>
        </is>
      </c>
      <c r="C3632" s="12" t="inlineStr">
        <is>
          <t>Carbon capture</t>
        </is>
      </c>
      <c r="D3632" s="12" t="inlineStr">
        <is>
          <t>Motor 6 of 6, 2 kW</t>
        </is>
      </c>
      <c r="E3632" s="12" t="inlineStr"/>
      <c r="F3632" s="12" t="inlineStr">
        <is>
          <t>CCS MV switchgear building (VFDs)</t>
        </is>
      </c>
      <c r="G3632" s="12" t="inlineStr">
        <is>
          <t>CCS T-2</t>
        </is>
      </c>
      <c r="H3632" s="12" t="inlineStr">
        <is>
          <t>CCS T-2: 230/13.8 kV</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v>
      </c>
      <c r="R3632" s="12" t="n">
        <v>2.8</v>
      </c>
      <c r="S3632" s="12" t="inlineStr">
        <is>
          <t>Duct bank</t>
        </is>
      </c>
      <c r="T3632" s="16" t="n">
        <v>409</v>
      </c>
      <c r="U3632" s="16" t="n">
        <v>32</v>
      </c>
      <c r="V3632" s="16">
        <f>ROUNDUP((T3632+U3632+2*'Read Me'!$B$13)*(1+'Read Me'!$B$12),-1)</f>
        <v/>
      </c>
      <c r="W3632" s="16">
        <f>V3632*N3632*O3632</f>
        <v/>
      </c>
      <c r="X3632" s="12">
        <f>IF(LEFT(I3632,2)="MV",2*N3632*IF(L3632="1/C",O3632,1),0)</f>
        <v/>
      </c>
      <c r="Y3632" s="12">
        <f>IF(OR(LEFT(K3632,4)="LVAX",LEFT(K3632,6)="MV15AX",LEFT(K3632,4)="CTAX",LEFT(K3632,2)="W|"),2*N3632*O3632,0)</f>
        <v/>
      </c>
      <c r="Z3632" s="12" t="inlineStr">
        <is>
          <t>VD 0.6 %</t>
        </is>
      </c>
      <c r="AA3632" s="12">
        <f>N3632*O3632</f>
        <v/>
      </c>
    </row>
    <row r="3633">
      <c r="A3633" s="12" t="inlineStr">
        <is>
          <t>G-P-0100</t>
        </is>
      </c>
      <c r="B3633" s="12" t="inlineStr">
        <is>
          <t>G</t>
        </is>
      </c>
      <c r="C3633" s="12" t="inlineStr">
        <is>
          <t>Carbon capture</t>
        </is>
      </c>
      <c r="D3633" s="12" t="inlineStr">
        <is>
          <t>Motor 1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G-P-0101</t>
        </is>
      </c>
      <c r="B3634" s="12" t="inlineStr">
        <is>
          <t>G</t>
        </is>
      </c>
      <c r="C3634" s="12" t="inlineStr">
        <is>
          <t>Carbon capture</t>
        </is>
      </c>
      <c r="D3634" s="12" t="inlineStr">
        <is>
          <t>Motor 2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G-P-0102</t>
        </is>
      </c>
      <c r="B3635" s="12" t="inlineStr">
        <is>
          <t>G</t>
        </is>
      </c>
      <c r="C3635" s="12" t="inlineStr">
        <is>
          <t>Carbon capture</t>
        </is>
      </c>
      <c r="D3635" s="12" t="inlineStr">
        <is>
          <t>Motor 3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G-P-0103</t>
        </is>
      </c>
      <c r="B3636" s="12" t="inlineStr">
        <is>
          <t>G</t>
        </is>
      </c>
      <c r="C3636" s="12" t="inlineStr">
        <is>
          <t>Carbon capture</t>
        </is>
      </c>
      <c r="D3636" s="12" t="inlineStr">
        <is>
          <t>Motor 4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G-P-0104</t>
        </is>
      </c>
      <c r="B3637" s="12" t="inlineStr">
        <is>
          <t>G</t>
        </is>
      </c>
      <c r="C3637" s="12" t="inlineStr">
        <is>
          <t>Carbon capture</t>
        </is>
      </c>
      <c r="D3637" s="12" t="inlineStr">
        <is>
          <t>Motor 5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G-P-0105</t>
        </is>
      </c>
      <c r="B3638" s="12" t="inlineStr">
        <is>
          <t>G</t>
        </is>
      </c>
      <c r="C3638" s="12" t="inlineStr">
        <is>
          <t>Carbon capture</t>
        </is>
      </c>
      <c r="D3638" s="12" t="inlineStr">
        <is>
          <t>Motor 6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G-P-0106</t>
        </is>
      </c>
      <c r="B3639" s="12" t="inlineStr">
        <is>
          <t>G</t>
        </is>
      </c>
      <c r="C3639" s="12" t="inlineStr">
        <is>
          <t>Carbon capture</t>
        </is>
      </c>
      <c r="D3639" s="12" t="inlineStr">
        <is>
          <t>Motor 7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G-P-0107</t>
        </is>
      </c>
      <c r="B3640" s="12" t="inlineStr">
        <is>
          <t>G</t>
        </is>
      </c>
      <c r="C3640" s="12" t="inlineStr">
        <is>
          <t>Carbon capture</t>
        </is>
      </c>
      <c r="D3640" s="12" t="inlineStr">
        <is>
          <t>Motor 8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G-P-0108</t>
        </is>
      </c>
      <c r="B3641" s="12" t="inlineStr">
        <is>
          <t>G</t>
        </is>
      </c>
      <c r="C3641" s="12" t="inlineStr">
        <is>
          <t>Carbon capture</t>
        </is>
      </c>
      <c r="D3641" s="12" t="inlineStr">
        <is>
          <t>Motor 9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G-P-0109</t>
        </is>
      </c>
      <c r="B3642" s="12" t="inlineStr">
        <is>
          <t>G</t>
        </is>
      </c>
      <c r="C3642" s="12" t="inlineStr">
        <is>
          <t>Carbon capture</t>
        </is>
      </c>
      <c r="D3642" s="12" t="inlineStr">
        <is>
          <t>Motor 10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G-P-0110</t>
        </is>
      </c>
      <c r="B3643" s="12" t="inlineStr">
        <is>
          <t>G</t>
        </is>
      </c>
      <c r="C3643" s="12" t="inlineStr">
        <is>
          <t>Carbon capture</t>
        </is>
      </c>
      <c r="D3643" s="12" t="inlineStr">
        <is>
          <t>Motor 11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G-P-0111</t>
        </is>
      </c>
      <c r="B3644" s="12" t="inlineStr">
        <is>
          <t>G</t>
        </is>
      </c>
      <c r="C3644" s="12" t="inlineStr">
        <is>
          <t>Carbon capture</t>
        </is>
      </c>
      <c r="D3644" s="12" t="inlineStr">
        <is>
          <t>Motor 12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G-P-0112</t>
        </is>
      </c>
      <c r="B3645" s="12" t="inlineStr">
        <is>
          <t>G</t>
        </is>
      </c>
      <c r="C3645" s="12" t="inlineStr">
        <is>
          <t>Carbon capture</t>
        </is>
      </c>
      <c r="D3645" s="12" t="inlineStr">
        <is>
          <t>Motor 13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G-P-0113</t>
        </is>
      </c>
      <c r="B3646" s="12" t="inlineStr">
        <is>
          <t>G</t>
        </is>
      </c>
      <c r="C3646" s="12" t="inlineStr">
        <is>
          <t>Carbon capture</t>
        </is>
      </c>
      <c r="D3646" s="12" t="inlineStr">
        <is>
          <t>Motor 14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G-P-0114</t>
        </is>
      </c>
      <c r="B3647" s="12" t="inlineStr">
        <is>
          <t>G</t>
        </is>
      </c>
      <c r="C3647" s="12" t="inlineStr">
        <is>
          <t>Carbon capture</t>
        </is>
      </c>
      <c r="D3647" s="12" t="inlineStr">
        <is>
          <t>Motor 15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G-P-0115</t>
        </is>
      </c>
      <c r="B3648" s="12" t="inlineStr">
        <is>
          <t>G</t>
        </is>
      </c>
      <c r="C3648" s="12" t="inlineStr">
        <is>
          <t>Carbon capture</t>
        </is>
      </c>
      <c r="D3648" s="12" t="inlineStr">
        <is>
          <t>Motor 16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G-P-0116</t>
        </is>
      </c>
      <c r="B3649" s="12" t="inlineStr">
        <is>
          <t>G</t>
        </is>
      </c>
      <c r="C3649" s="12" t="inlineStr">
        <is>
          <t>Carbon capture</t>
        </is>
      </c>
      <c r="D3649" s="12" t="inlineStr">
        <is>
          <t>Motor 17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G-P-0117</t>
        </is>
      </c>
      <c r="B3650" s="12" t="inlineStr">
        <is>
          <t>G</t>
        </is>
      </c>
      <c r="C3650" s="12" t="inlineStr">
        <is>
          <t>Carbon capture</t>
        </is>
      </c>
      <c r="D3650" s="12" t="inlineStr">
        <is>
          <t>Motor 18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G-P-0118</t>
        </is>
      </c>
      <c r="B3651" s="12" t="inlineStr">
        <is>
          <t>G</t>
        </is>
      </c>
      <c r="C3651" s="12" t="inlineStr">
        <is>
          <t>Carbon capture</t>
        </is>
      </c>
      <c r="D3651" s="12" t="inlineStr">
        <is>
          <t>Motor 19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G-P-0119</t>
        </is>
      </c>
      <c r="B3652" s="12" t="inlineStr">
        <is>
          <t>G</t>
        </is>
      </c>
      <c r="C3652" s="12" t="inlineStr">
        <is>
          <t>Carbon capture</t>
        </is>
      </c>
      <c r="D3652" s="12" t="inlineStr">
        <is>
          <t>Motor 20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G-P-0120</t>
        </is>
      </c>
      <c r="B3653" s="12" t="inlineStr">
        <is>
          <t>G</t>
        </is>
      </c>
      <c r="C3653" s="12" t="inlineStr">
        <is>
          <t>Carbon capture</t>
        </is>
      </c>
      <c r="D3653" s="12" t="inlineStr">
        <is>
          <t>Motor 21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G-P-0121</t>
        </is>
      </c>
      <c r="B3654" s="12" t="inlineStr">
        <is>
          <t>G</t>
        </is>
      </c>
      <c r="C3654" s="12" t="inlineStr">
        <is>
          <t>Carbon capture</t>
        </is>
      </c>
      <c r="D3654" s="12" t="inlineStr">
        <is>
          <t>Motor 22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G-P-0122</t>
        </is>
      </c>
      <c r="B3655" s="12" t="inlineStr">
        <is>
          <t>G</t>
        </is>
      </c>
      <c r="C3655" s="12" t="inlineStr">
        <is>
          <t>Carbon capture</t>
        </is>
      </c>
      <c r="D3655" s="12" t="inlineStr">
        <is>
          <t>Motor 23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6" t="n">
        <v>250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G-P-0123</t>
        </is>
      </c>
      <c r="B3656" s="12" t="inlineStr">
        <is>
          <t>G</t>
        </is>
      </c>
      <c r="C3656" s="12" t="inlineStr">
        <is>
          <t>Carbon capture</t>
        </is>
      </c>
      <c r="D3656" s="12" t="inlineStr">
        <is>
          <t>Motor 24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6" t="n">
        <v>250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G-P-0124</t>
        </is>
      </c>
      <c r="B3657" s="12" t="inlineStr">
        <is>
          <t>G</t>
        </is>
      </c>
      <c r="C3657" s="12" t="inlineStr">
        <is>
          <t>Carbon capture</t>
        </is>
      </c>
      <c r="D3657" s="12" t="inlineStr">
        <is>
          <t>Motor 25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6" t="n">
        <v>250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G-P-0125</t>
        </is>
      </c>
      <c r="B3658" s="12" t="inlineStr">
        <is>
          <t>G</t>
        </is>
      </c>
      <c r="C3658" s="12" t="inlineStr">
        <is>
          <t>Carbon capture</t>
        </is>
      </c>
      <c r="D3658" s="12" t="inlineStr">
        <is>
          <t>Motor 26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6" t="n">
        <v>250</v>
      </c>
      <c r="U3658" s="16" t="n">
        <v>42</v>
      </c>
      <c r="V3658" s="16">
        <f>ROUNDUP((T3658+U3658+2*'Read Me'!$B$13)*(1+'Read Me'!$B$12),-1)</f>
        <v/>
      </c>
      <c r="W3658" s="16">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G-P-0126</t>
        </is>
      </c>
      <c r="B3659" s="12" t="inlineStr">
        <is>
          <t>G</t>
        </is>
      </c>
      <c r="C3659" s="12" t="inlineStr">
        <is>
          <t>Carbon capture</t>
        </is>
      </c>
      <c r="D3659" s="12" t="inlineStr">
        <is>
          <t>Motor 27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6" t="n">
        <v>250</v>
      </c>
      <c r="U3659" s="16" t="n">
        <v>42</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G-P-0127</t>
        </is>
      </c>
      <c r="B3660" s="12" t="inlineStr">
        <is>
          <t>G</t>
        </is>
      </c>
      <c r="C3660" s="12" t="inlineStr">
        <is>
          <t>Carbon capture</t>
        </is>
      </c>
      <c r="D3660" s="12" t="inlineStr">
        <is>
          <t>Motor 28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6" t="n">
        <v>250</v>
      </c>
      <c r="U3660" s="16" t="n">
        <v>42</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G-P-0128</t>
        </is>
      </c>
      <c r="B3661" s="12" t="inlineStr">
        <is>
          <t>G</t>
        </is>
      </c>
      <c r="C3661" s="12" t="inlineStr">
        <is>
          <t>Carbon capture</t>
        </is>
      </c>
      <c r="D3661" s="12" t="inlineStr">
        <is>
          <t>Motor 29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6" t="n">
        <v>250</v>
      </c>
      <c r="U3661" s="16" t="n">
        <v>42</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G-P-0129</t>
        </is>
      </c>
      <c r="B3662" s="12" t="inlineStr">
        <is>
          <t>G</t>
        </is>
      </c>
      <c r="C3662" s="12" t="inlineStr">
        <is>
          <t>Carbon capture</t>
        </is>
      </c>
      <c r="D3662" s="12" t="inlineStr">
        <is>
          <t>Motor 30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6" t="n">
        <v>250</v>
      </c>
      <c r="U3662" s="16" t="n">
        <v>42</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G-P-0130</t>
        </is>
      </c>
      <c r="B3663" s="12" t="inlineStr">
        <is>
          <t>G</t>
        </is>
      </c>
      <c r="C3663" s="12" t="inlineStr">
        <is>
          <t>Carbon capture</t>
        </is>
      </c>
      <c r="D3663" s="12" t="inlineStr">
        <is>
          <t>Area / platform lighting circuit 1 (12 fixtures)</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Tray</t>
        </is>
      </c>
      <c r="T3663" s="16" t="n">
        <v>300</v>
      </c>
      <c r="U3663" s="16" t="n">
        <v>42</v>
      </c>
      <c r="V3663" s="16">
        <f>ROUNDUP((T3663+U3663+2*'Read Me'!$B$13)*(1+'Read Me'!$B$12),-1)</f>
        <v/>
      </c>
      <c r="W3663" s="16">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G-P-0131</t>
        </is>
      </c>
      <c r="B3664" s="12" t="inlineStr">
        <is>
          <t>G</t>
        </is>
      </c>
      <c r="C3664" s="12" t="inlineStr">
        <is>
          <t>Carbon capture</t>
        </is>
      </c>
      <c r="D3664" s="12" t="inlineStr">
        <is>
          <t>Area / platform lighting circuit 2 (12 fixtures)</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3</v>
      </c>
      <c r="R3664" s="12" t="n">
        <v>5</v>
      </c>
      <c r="S3664" s="12" t="inlineStr">
        <is>
          <t>Tray</t>
        </is>
      </c>
      <c r="T3664" s="16" t="n">
        <v>300</v>
      </c>
      <c r="U3664" s="16" t="n">
        <v>42</v>
      </c>
      <c r="V3664" s="16">
        <f>ROUNDUP((T3664+U3664+2*'Read Me'!$B$13)*(1+'Read Me'!$B$12),-1)</f>
        <v/>
      </c>
      <c r="W3664" s="16">
        <f>V3664*N3664*O3664</f>
        <v/>
      </c>
      <c r="X3664" s="12">
        <f>IF(LEFT(I3664,2)="MV",2*N3664*IF(L3664="1/C",O3664,1),0)</f>
        <v/>
      </c>
      <c r="Y3664" s="12">
        <f>IF(OR(LEFT(K3664,4)="LVAX",LEFT(K3664,6)="MV15AX",LEFT(K3664,4)="CTAX",LEFT(K3664,2)="W|"),2*N3664*O3664,0)</f>
        <v/>
      </c>
      <c r="Z3664" s="12" t="inlineStr">
        <is>
          <t>fixture-to-fixture run included</t>
        </is>
      </c>
      <c r="AA3664" s="12">
        <f>N3664*O3664</f>
        <v/>
      </c>
    </row>
    <row r="3665">
      <c r="A3665" s="12" t="inlineStr">
        <is>
          <t>G-P-0132</t>
        </is>
      </c>
      <c r="B3665" s="12" t="inlineStr">
        <is>
          <t>G</t>
        </is>
      </c>
      <c r="C3665" s="12" t="inlineStr">
        <is>
          <t>Carbon capture</t>
        </is>
      </c>
      <c r="D3665" s="12" t="inlineStr">
        <is>
          <t>Area / platform lighting circuit 3 (6 fixtures)</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3</v>
      </c>
      <c r="R3665" s="12" t="n">
        <v>5</v>
      </c>
      <c r="S3665" s="12" t="inlineStr">
        <is>
          <t>Tray</t>
        </is>
      </c>
      <c r="T3665" s="16" t="n">
        <v>300</v>
      </c>
      <c r="U3665" s="16" t="n">
        <v>42</v>
      </c>
      <c r="V3665" s="16">
        <f>ROUNDUP((T3665+U3665+2*'Read Me'!$B$13)*(1+'Read Me'!$B$12),-1)</f>
        <v/>
      </c>
      <c r="W3665" s="16">
        <f>V3665*N3665*O3665</f>
        <v/>
      </c>
      <c r="X3665" s="12">
        <f>IF(LEFT(I3665,2)="MV",2*N3665*IF(L3665="1/C",O3665,1),0)</f>
        <v/>
      </c>
      <c r="Y3665" s="12">
        <f>IF(OR(LEFT(K3665,4)="LVAX",LEFT(K3665,6)="MV15AX",LEFT(K3665,4)="CTAX",LEFT(K3665,2)="W|"),2*N3665*O3665,0)</f>
        <v/>
      </c>
      <c r="Z3665" s="12" t="inlineStr">
        <is>
          <t>fixture-to-fixture run included</t>
        </is>
      </c>
      <c r="AA3665" s="12">
        <f>N3665*O3665</f>
        <v/>
      </c>
    </row>
    <row r="3666">
      <c r="A3666" s="12" t="inlineStr">
        <is>
          <t>G-P-0133</t>
        </is>
      </c>
      <c r="B3666" s="12" t="inlineStr">
        <is>
          <t>G</t>
        </is>
      </c>
      <c r="C3666" s="12" t="inlineStr">
        <is>
          <t>Carbon capture</t>
        </is>
      </c>
      <c r="D3666" s="12" t="inlineStr">
        <is>
          <t>Motor 1 of 2, 250 kW</t>
        </is>
      </c>
      <c r="E3666" s="12" t="inlineStr"/>
      <c r="F3666" s="12" t="inlineStr">
        <is>
          <t>CCS MV switchgear building (VFDs)</t>
        </is>
      </c>
      <c r="G3666" s="12" t="inlineStr"/>
      <c r="H3666" s="12" t="inlineStr">
        <is>
          <t>CCS instrument air</t>
        </is>
      </c>
      <c r="I3666" s="12" t="inlineStr">
        <is>
          <t>LV 600 V</t>
        </is>
      </c>
      <c r="J3666" s="12" t="inlineStr">
        <is>
          <t>Type TC-ER 600 V 3/C Cu XHHW-2 + ground, PVC jacket</t>
        </is>
      </c>
      <c r="K3666" s="12" t="inlineStr">
        <is>
          <t>LV|3/C+G|4/0</t>
        </is>
      </c>
      <c r="L3666" s="12" t="inlineStr">
        <is>
          <t>3/C+G</t>
        </is>
      </c>
      <c r="M3666" s="12" t="inlineStr">
        <is>
          <t>4/0</t>
        </is>
      </c>
      <c r="N3666" s="12" t="n">
        <v>2</v>
      </c>
      <c r="O3666" s="12" t="n">
        <v>1</v>
      </c>
      <c r="P3666" s="12" t="n">
        <v>480</v>
      </c>
      <c r="Q3666" s="12" t="n">
        <v>250</v>
      </c>
      <c r="R3666" s="12" t="n">
        <v>353.8</v>
      </c>
      <c r="S3666" s="12" t="inlineStr">
        <is>
          <t>Duct bank</t>
        </is>
      </c>
      <c r="T3666" s="16" t="n">
        <v>206</v>
      </c>
      <c r="U3666" s="16" t="n">
        <v>51</v>
      </c>
      <c r="V3666" s="16">
        <f>ROUNDUP((T3666+U3666+2*'Read Me'!$B$13)*(1+'Read Me'!$B$12),-1)</f>
        <v/>
      </c>
      <c r="W3666" s="16">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G-P-0134</t>
        </is>
      </c>
      <c r="B3667" s="12" t="inlineStr">
        <is>
          <t>G</t>
        </is>
      </c>
      <c r="C3667" s="12" t="inlineStr">
        <is>
          <t>Carbon capture</t>
        </is>
      </c>
      <c r="D3667" s="12" t="inlineStr">
        <is>
          <t>Motor 2 of 2, 250 kW</t>
        </is>
      </c>
      <c r="E3667" s="12" t="inlineStr"/>
      <c r="F3667" s="12" t="inlineStr">
        <is>
          <t>CCS MV switchgear building (VFDs)</t>
        </is>
      </c>
      <c r="G3667" s="12" t="inlineStr"/>
      <c r="H3667" s="12" t="inlineStr">
        <is>
          <t>CCS instrument air</t>
        </is>
      </c>
      <c r="I3667" s="12" t="inlineStr">
        <is>
          <t>LV 600 V</t>
        </is>
      </c>
      <c r="J3667" s="12" t="inlineStr">
        <is>
          <t>Type TC-ER 600 V 3/C Cu XHHW-2 + ground, PVC jacket</t>
        </is>
      </c>
      <c r="K3667" s="12" t="inlineStr">
        <is>
          <t>LV|3/C+G|4/0</t>
        </is>
      </c>
      <c r="L3667" s="12" t="inlineStr">
        <is>
          <t>3/C+G</t>
        </is>
      </c>
      <c r="M3667" s="12" t="inlineStr">
        <is>
          <t>4/0</t>
        </is>
      </c>
      <c r="N3667" s="12" t="n">
        <v>2</v>
      </c>
      <c r="O3667" s="12" t="n">
        <v>1</v>
      </c>
      <c r="P3667" s="12" t="n">
        <v>480</v>
      </c>
      <c r="Q3667" s="12" t="n">
        <v>250</v>
      </c>
      <c r="R3667" s="12" t="n">
        <v>353.8</v>
      </c>
      <c r="S3667" s="12" t="inlineStr">
        <is>
          <t>Duct bank</t>
        </is>
      </c>
      <c r="T3667" s="16" t="n">
        <v>206</v>
      </c>
      <c r="U3667" s="16" t="n">
        <v>51</v>
      </c>
      <c r="V3667" s="16">
        <f>ROUNDUP((T3667+U3667+2*'Read Me'!$B$13)*(1+'Read Me'!$B$12),-1)</f>
        <v/>
      </c>
      <c r="W3667" s="16">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G-P-0135</t>
        </is>
      </c>
      <c r="B3668" s="12" t="inlineStr">
        <is>
          <t>G</t>
        </is>
      </c>
      <c r="C3668" s="12" t="inlineStr">
        <is>
          <t>Carbon capture</t>
        </is>
      </c>
      <c r="D3668" s="12" t="inlineStr">
        <is>
          <t>Motor 1 of 6, 15 kW</t>
        </is>
      </c>
      <c r="E3668" s="12" t="inlineStr"/>
      <c r="F3668" s="12" t="inlineStr">
        <is>
          <t>CT MCC / VFD e-house</t>
        </is>
      </c>
      <c r="G3668" s="12" t="inlineStr"/>
      <c r="H3668" s="12" t="inlineStr">
        <is>
          <t>CCS wastewater (DCC + tower blowdown)</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15</v>
      </c>
      <c r="R3668" s="12" t="n">
        <v>21.2</v>
      </c>
      <c r="S3668" s="12" t="inlineStr">
        <is>
          <t>Duct bank</t>
        </is>
      </c>
      <c r="T3668" s="16" t="n">
        <v>5</v>
      </c>
      <c r="U3668" s="16" t="n">
        <v>87</v>
      </c>
      <c r="V3668" s="16">
        <f>ROUNDUP((T3668+U3668+2*'Read Me'!$B$13)*(1+'Read Me'!$B$12),-1)</f>
        <v/>
      </c>
      <c r="W3668" s="16">
        <f>V3668*N3668*O3668</f>
        <v/>
      </c>
      <c r="X3668" s="12">
        <f>IF(LEFT(I3668,2)="MV",2*N3668*IF(L3668="1/C",O3668,1),0)</f>
        <v/>
      </c>
      <c r="Y3668" s="12">
        <f>IF(OR(LEFT(K3668,4)="LVAX",LEFT(K3668,6)="MV15AX",LEFT(K3668,4)="CTAX",LEFT(K3668,2)="W|"),2*N3668*O3668,0)</f>
        <v/>
      </c>
      <c r="Z3668" s="12" t="inlineStr">
        <is>
          <t>VD 0.9 %</t>
        </is>
      </c>
      <c r="AA3668" s="12">
        <f>N3668*O3668</f>
        <v/>
      </c>
    </row>
    <row r="3669">
      <c r="A3669" s="12" t="inlineStr">
        <is>
          <t>G-P-0136</t>
        </is>
      </c>
      <c r="B3669" s="12" t="inlineStr">
        <is>
          <t>G</t>
        </is>
      </c>
      <c r="C3669" s="12" t="inlineStr">
        <is>
          <t>Carbon capture</t>
        </is>
      </c>
      <c r="D3669" s="12" t="inlineStr">
        <is>
          <t>Motor 2 of 6, 15 kW</t>
        </is>
      </c>
      <c r="E3669" s="12" t="inlineStr"/>
      <c r="F3669" s="12" t="inlineStr">
        <is>
          <t>CT MCC / VFD e-house</t>
        </is>
      </c>
      <c r="G3669" s="12" t="inlineStr"/>
      <c r="H3669" s="12" t="inlineStr">
        <is>
          <t>CCS wastewater (DCC + tower blowdown)</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15</v>
      </c>
      <c r="R3669" s="12" t="n">
        <v>21.2</v>
      </c>
      <c r="S3669" s="12" t="inlineStr">
        <is>
          <t>Duct bank</t>
        </is>
      </c>
      <c r="T3669" s="16" t="n">
        <v>5</v>
      </c>
      <c r="U3669" s="16" t="n">
        <v>87</v>
      </c>
      <c r="V3669" s="16">
        <f>ROUNDUP((T3669+U3669+2*'Read Me'!$B$13)*(1+'Read Me'!$B$12),-1)</f>
        <v/>
      </c>
      <c r="W3669" s="16">
        <f>V3669*N3669*O3669</f>
        <v/>
      </c>
      <c r="X3669" s="12">
        <f>IF(LEFT(I3669,2)="MV",2*N3669*IF(L3669="1/C",O3669,1),0)</f>
        <v/>
      </c>
      <c r="Y3669" s="12">
        <f>IF(OR(LEFT(K3669,4)="LVAX",LEFT(K3669,6)="MV15AX",LEFT(K3669,4)="CTAX",LEFT(K3669,2)="W|"),2*N3669*O3669,0)</f>
        <v/>
      </c>
      <c r="Z3669" s="12" t="inlineStr">
        <is>
          <t>VD 0.9 %</t>
        </is>
      </c>
      <c r="AA3669" s="12">
        <f>N3669*O3669</f>
        <v/>
      </c>
    </row>
    <row r="3670">
      <c r="A3670" s="12" t="inlineStr">
        <is>
          <t>G-P-0137</t>
        </is>
      </c>
      <c r="B3670" s="12" t="inlineStr">
        <is>
          <t>G</t>
        </is>
      </c>
      <c r="C3670" s="12" t="inlineStr">
        <is>
          <t>Carbon capture</t>
        </is>
      </c>
      <c r="D3670" s="12" t="inlineStr">
        <is>
          <t>Motor 3 of 6, 15 kW</t>
        </is>
      </c>
      <c r="E3670" s="12" t="inlineStr"/>
      <c r="F3670" s="12" t="inlineStr">
        <is>
          <t>CT MCC / VFD e-house</t>
        </is>
      </c>
      <c r="G3670" s="12" t="inlineStr"/>
      <c r="H3670" s="12" t="inlineStr">
        <is>
          <t>CCS wastewater (DCC + tower blowdown)</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15</v>
      </c>
      <c r="R3670" s="12" t="n">
        <v>21.2</v>
      </c>
      <c r="S3670" s="12" t="inlineStr">
        <is>
          <t>Duct bank</t>
        </is>
      </c>
      <c r="T3670" s="16" t="n">
        <v>5</v>
      </c>
      <c r="U3670" s="16" t="n">
        <v>87</v>
      </c>
      <c r="V3670" s="16">
        <f>ROUNDUP((T3670+U3670+2*'Read Me'!$B$13)*(1+'Read Me'!$B$12),-1)</f>
        <v/>
      </c>
      <c r="W3670" s="16">
        <f>V3670*N3670*O3670</f>
        <v/>
      </c>
      <c r="X3670" s="12">
        <f>IF(LEFT(I3670,2)="MV",2*N3670*IF(L3670="1/C",O3670,1),0)</f>
        <v/>
      </c>
      <c r="Y3670" s="12">
        <f>IF(OR(LEFT(K3670,4)="LVAX",LEFT(K3670,6)="MV15AX",LEFT(K3670,4)="CTAX",LEFT(K3670,2)="W|"),2*N3670*O3670,0)</f>
        <v/>
      </c>
      <c r="Z3670" s="12" t="inlineStr">
        <is>
          <t>VD 0.9 %</t>
        </is>
      </c>
      <c r="AA3670" s="12">
        <f>N3670*O3670</f>
        <v/>
      </c>
    </row>
    <row r="3671">
      <c r="A3671" s="12" t="inlineStr">
        <is>
          <t>G-P-0138</t>
        </is>
      </c>
      <c r="B3671" s="12" t="inlineStr">
        <is>
          <t>G</t>
        </is>
      </c>
      <c r="C3671" s="12" t="inlineStr">
        <is>
          <t>Carbon capture</t>
        </is>
      </c>
      <c r="D3671" s="12" t="inlineStr">
        <is>
          <t>Motor 4 of 6, 15 kW</t>
        </is>
      </c>
      <c r="E3671" s="12" t="inlineStr"/>
      <c r="F3671" s="12" t="inlineStr">
        <is>
          <t>CT MCC / VFD e-house</t>
        </is>
      </c>
      <c r="G3671" s="12" t="inlineStr"/>
      <c r="H3671" s="12" t="inlineStr">
        <is>
          <t>CCS wastewater (DCC + tower blowdown)</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15</v>
      </c>
      <c r="R3671" s="12" t="n">
        <v>21.2</v>
      </c>
      <c r="S3671" s="12" t="inlineStr">
        <is>
          <t>Duct bank</t>
        </is>
      </c>
      <c r="T3671" s="16" t="n">
        <v>5</v>
      </c>
      <c r="U3671" s="16" t="n">
        <v>87</v>
      </c>
      <c r="V3671" s="16">
        <f>ROUNDUP((T3671+U3671+2*'Read Me'!$B$13)*(1+'Read Me'!$B$12),-1)</f>
        <v/>
      </c>
      <c r="W3671" s="16">
        <f>V3671*N3671*O3671</f>
        <v/>
      </c>
      <c r="X3671" s="12">
        <f>IF(LEFT(I3671,2)="MV",2*N3671*IF(L3671="1/C",O3671,1),0)</f>
        <v/>
      </c>
      <c r="Y3671" s="12">
        <f>IF(OR(LEFT(K3671,4)="LVAX",LEFT(K3671,6)="MV15AX",LEFT(K3671,4)="CTAX",LEFT(K3671,2)="W|"),2*N3671*O3671,0)</f>
        <v/>
      </c>
      <c r="Z3671" s="12" t="inlineStr">
        <is>
          <t>VD 0.9 %</t>
        </is>
      </c>
      <c r="AA3671" s="12">
        <f>N3671*O3671</f>
        <v/>
      </c>
    </row>
    <row r="3672">
      <c r="A3672" s="12" t="inlineStr">
        <is>
          <t>G-P-0139</t>
        </is>
      </c>
      <c r="B3672" s="12" t="inlineStr">
        <is>
          <t>G</t>
        </is>
      </c>
      <c r="C3672" s="12" t="inlineStr">
        <is>
          <t>Carbon capture</t>
        </is>
      </c>
      <c r="D3672" s="12" t="inlineStr">
        <is>
          <t>Motor 5 of 6, 15 kW</t>
        </is>
      </c>
      <c r="E3672" s="12" t="inlineStr"/>
      <c r="F3672" s="12" t="inlineStr">
        <is>
          <t>CT MCC / VFD e-house</t>
        </is>
      </c>
      <c r="G3672" s="12" t="inlineStr"/>
      <c r="H3672" s="12" t="inlineStr">
        <is>
          <t>CCS wastewater (DCC + tower blowdown)</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15</v>
      </c>
      <c r="R3672" s="12" t="n">
        <v>21.2</v>
      </c>
      <c r="S3672" s="12" t="inlineStr">
        <is>
          <t>Duct bank</t>
        </is>
      </c>
      <c r="T3672" s="16" t="n">
        <v>5</v>
      </c>
      <c r="U3672" s="16" t="n">
        <v>87</v>
      </c>
      <c r="V3672" s="16">
        <f>ROUNDUP((T3672+U3672+2*'Read Me'!$B$13)*(1+'Read Me'!$B$12),-1)</f>
        <v/>
      </c>
      <c r="W3672" s="16">
        <f>V3672*N3672*O3672</f>
        <v/>
      </c>
      <c r="X3672" s="12">
        <f>IF(LEFT(I3672,2)="MV",2*N3672*IF(L3672="1/C",O3672,1),0)</f>
        <v/>
      </c>
      <c r="Y3672" s="12">
        <f>IF(OR(LEFT(K3672,4)="LVAX",LEFT(K3672,6)="MV15AX",LEFT(K3672,4)="CTAX",LEFT(K3672,2)="W|"),2*N3672*O3672,0)</f>
        <v/>
      </c>
      <c r="Z3672" s="12" t="inlineStr">
        <is>
          <t>VD 0.9 %</t>
        </is>
      </c>
      <c r="AA3672" s="12">
        <f>N3672*O3672</f>
        <v/>
      </c>
    </row>
    <row r="3673">
      <c r="A3673" s="12" t="inlineStr">
        <is>
          <t>G-P-0140</t>
        </is>
      </c>
      <c r="B3673" s="12" t="inlineStr">
        <is>
          <t>G</t>
        </is>
      </c>
      <c r="C3673" s="12" t="inlineStr">
        <is>
          <t>Carbon capture</t>
        </is>
      </c>
      <c r="D3673" s="12" t="inlineStr">
        <is>
          <t>Motor 6 of 6, 15 kW</t>
        </is>
      </c>
      <c r="E3673" s="12" t="inlineStr"/>
      <c r="F3673" s="12" t="inlineStr">
        <is>
          <t>CT MCC / VFD e-house</t>
        </is>
      </c>
      <c r="G3673" s="12" t="inlineStr"/>
      <c r="H3673" s="12" t="inlineStr">
        <is>
          <t>CCS wastewater (DCC + tower blowdown)</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15</v>
      </c>
      <c r="R3673" s="12" t="n">
        <v>21.2</v>
      </c>
      <c r="S3673" s="12" t="inlineStr">
        <is>
          <t>Duct bank</t>
        </is>
      </c>
      <c r="T3673" s="16" t="n">
        <v>5</v>
      </c>
      <c r="U3673" s="16" t="n">
        <v>87</v>
      </c>
      <c r="V3673" s="16">
        <f>ROUNDUP((T3673+U3673+2*'Read Me'!$B$13)*(1+'Read Me'!$B$12),-1)</f>
        <v/>
      </c>
      <c r="W3673" s="16">
        <f>V3673*N3673*O3673</f>
        <v/>
      </c>
      <c r="X3673" s="12">
        <f>IF(LEFT(I3673,2)="MV",2*N3673*IF(L3673="1/C",O3673,1),0)</f>
        <v/>
      </c>
      <c r="Y3673" s="12">
        <f>IF(OR(LEFT(K3673,4)="LVAX",LEFT(K3673,6)="MV15AX",LEFT(K3673,4)="CTAX",LEFT(K3673,2)="W|"),2*N3673*O3673,0)</f>
        <v/>
      </c>
      <c r="Z3673" s="12" t="inlineStr">
        <is>
          <t>VD 0.9 %</t>
        </is>
      </c>
      <c r="AA3673" s="12">
        <f>N3673*O3673</f>
        <v/>
      </c>
    </row>
    <row r="3674">
      <c r="A3674" s="12" t="inlineStr">
        <is>
          <t>G-P-0141</t>
        </is>
      </c>
      <c r="B3674" s="12" t="inlineStr">
        <is>
          <t>G</t>
        </is>
      </c>
      <c r="C3674" s="12" t="inlineStr">
        <is>
          <t>Carbon capture</t>
        </is>
      </c>
      <c r="D3674" s="12" t="inlineStr">
        <is>
          <t>Motor 1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G-P-0142</t>
        </is>
      </c>
      <c r="B3675" s="12" t="inlineStr">
        <is>
          <t>G</t>
        </is>
      </c>
      <c r="C3675" s="12" t="inlineStr">
        <is>
          <t>Carbon capture</t>
        </is>
      </c>
      <c r="D3675" s="12" t="inlineStr">
        <is>
          <t>Motor 2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G-P-0143</t>
        </is>
      </c>
      <c r="B3676" s="12" t="inlineStr">
        <is>
          <t>G</t>
        </is>
      </c>
      <c r="C3676" s="12" t="inlineStr">
        <is>
          <t>Carbon capture</t>
        </is>
      </c>
      <c r="D3676" s="12" t="inlineStr">
        <is>
          <t>Motor 3 of 10, 30 kW</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LV|3/C+G|6</t>
        </is>
      </c>
      <c r="L3676" s="12" t="inlineStr">
        <is>
          <t>3/C+G</t>
        </is>
      </c>
      <c r="M3676" s="12" t="inlineStr">
        <is>
          <t>6</t>
        </is>
      </c>
      <c r="N3676" s="12" t="n">
        <v>1</v>
      </c>
      <c r="O3676" s="12" t="n">
        <v>1</v>
      </c>
      <c r="P3676" s="12" t="n">
        <v>480</v>
      </c>
      <c r="Q3676" s="12" t="n">
        <v>30</v>
      </c>
      <c r="R3676" s="12" t="n">
        <v>42.5</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2.7 %</t>
        </is>
      </c>
      <c r="AA3676" s="12">
        <f>N3676*O3676</f>
        <v/>
      </c>
    </row>
    <row r="3677">
      <c r="A3677" s="12" t="inlineStr">
        <is>
          <t>G-P-0144</t>
        </is>
      </c>
      <c r="B3677" s="12" t="inlineStr">
        <is>
          <t>G</t>
        </is>
      </c>
      <c r="C3677" s="12" t="inlineStr">
        <is>
          <t>Carbon capture</t>
        </is>
      </c>
      <c r="D3677" s="12" t="inlineStr">
        <is>
          <t>Motor 4 of 10, 30 kW</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LV|3/C+G|6</t>
        </is>
      </c>
      <c r="L3677" s="12" t="inlineStr">
        <is>
          <t>3/C+G</t>
        </is>
      </c>
      <c r="M3677" s="12" t="inlineStr">
        <is>
          <t>6</t>
        </is>
      </c>
      <c r="N3677" s="12" t="n">
        <v>1</v>
      </c>
      <c r="O3677" s="12" t="n">
        <v>1</v>
      </c>
      <c r="P3677" s="12" t="n">
        <v>480</v>
      </c>
      <c r="Q3677" s="12" t="n">
        <v>30</v>
      </c>
      <c r="R3677" s="12" t="n">
        <v>42.5</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2.7 %</t>
        </is>
      </c>
      <c r="AA3677" s="12">
        <f>N3677*O3677</f>
        <v/>
      </c>
    </row>
    <row r="3678">
      <c r="A3678" s="12" t="inlineStr">
        <is>
          <t>G-P-0145</t>
        </is>
      </c>
      <c r="B3678" s="12" t="inlineStr">
        <is>
          <t>G</t>
        </is>
      </c>
      <c r="C3678" s="12" t="inlineStr">
        <is>
          <t>Carbon capture</t>
        </is>
      </c>
      <c r="D3678" s="12" t="inlineStr">
        <is>
          <t>Motor 5 of 10, 30 kW</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LV|3/C+G|6</t>
        </is>
      </c>
      <c r="L3678" s="12" t="inlineStr">
        <is>
          <t>3/C+G</t>
        </is>
      </c>
      <c r="M3678" s="12" t="inlineStr">
        <is>
          <t>6</t>
        </is>
      </c>
      <c r="N3678" s="12" t="n">
        <v>1</v>
      </c>
      <c r="O3678" s="12" t="n">
        <v>1</v>
      </c>
      <c r="P3678" s="12" t="n">
        <v>480</v>
      </c>
      <c r="Q3678" s="12" t="n">
        <v>30</v>
      </c>
      <c r="R3678" s="12" t="n">
        <v>42.5</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2.7 %</t>
        </is>
      </c>
      <c r="AA3678" s="12">
        <f>N3678*O3678</f>
        <v/>
      </c>
    </row>
    <row r="3679">
      <c r="A3679" s="12" t="inlineStr">
        <is>
          <t>G-P-0146</t>
        </is>
      </c>
      <c r="B3679" s="12" t="inlineStr">
        <is>
          <t>G</t>
        </is>
      </c>
      <c r="C3679" s="12" t="inlineStr">
        <is>
          <t>Carbon capture</t>
        </is>
      </c>
      <c r="D3679" s="12" t="inlineStr">
        <is>
          <t>Motor 6 of 10, 30 kW</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LV|3/C+G|6</t>
        </is>
      </c>
      <c r="L3679" s="12" t="inlineStr">
        <is>
          <t>3/C+G</t>
        </is>
      </c>
      <c r="M3679" s="12" t="inlineStr">
        <is>
          <t>6</t>
        </is>
      </c>
      <c r="N3679" s="12" t="n">
        <v>1</v>
      </c>
      <c r="O3679" s="12" t="n">
        <v>1</v>
      </c>
      <c r="P3679" s="12" t="n">
        <v>480</v>
      </c>
      <c r="Q3679" s="12" t="n">
        <v>30</v>
      </c>
      <c r="R3679" s="12" t="n">
        <v>42.5</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2.7 %</t>
        </is>
      </c>
      <c r="AA3679" s="12">
        <f>N3679*O3679</f>
        <v/>
      </c>
    </row>
    <row r="3680">
      <c r="A3680" s="12" t="inlineStr">
        <is>
          <t>G-P-0147</t>
        </is>
      </c>
      <c r="B3680" s="12" t="inlineStr">
        <is>
          <t>G</t>
        </is>
      </c>
      <c r="C3680" s="12" t="inlineStr">
        <is>
          <t>Carbon capture</t>
        </is>
      </c>
      <c r="D3680" s="12" t="inlineStr">
        <is>
          <t>Motor 7 of 10, 30 kW</t>
        </is>
      </c>
      <c r="E3680" s="12" t="inlineStr"/>
      <c r="F3680" s="12" t="inlineStr">
        <is>
          <t>CCS MV switchgear building (VFDs)</t>
        </is>
      </c>
      <c r="G3680" s="12" t="inlineStr"/>
      <c r="H3680" s="12" t="inlineStr">
        <is>
          <t>CO2 compression 3 x ~19 MW + dehydration</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30</v>
      </c>
      <c r="R3680" s="12" t="n">
        <v>42.5</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VD 2.7 %</t>
        </is>
      </c>
      <c r="AA3680" s="12">
        <f>N3680*O3680</f>
        <v/>
      </c>
    </row>
    <row r="3681">
      <c r="A3681" s="12" t="inlineStr">
        <is>
          <t>G-P-0148</t>
        </is>
      </c>
      <c r="B3681" s="12" t="inlineStr">
        <is>
          <t>G</t>
        </is>
      </c>
      <c r="C3681" s="12" t="inlineStr">
        <is>
          <t>Carbon capture</t>
        </is>
      </c>
      <c r="D3681" s="12" t="inlineStr">
        <is>
          <t>Motor 8 of 10, 30 kW</t>
        </is>
      </c>
      <c r="E3681" s="12" t="inlineStr"/>
      <c r="F3681" s="12" t="inlineStr">
        <is>
          <t>CCS MV switchgear building (VFDs)</t>
        </is>
      </c>
      <c r="G3681" s="12" t="inlineStr"/>
      <c r="H3681" s="12" t="inlineStr">
        <is>
          <t>CO2 compression 3 x ~19 MW + dehydration</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30</v>
      </c>
      <c r="R3681" s="12" t="n">
        <v>42.5</v>
      </c>
      <c r="S3681" s="12" t="inlineStr">
        <is>
          <t>Duct bank</t>
        </is>
      </c>
      <c r="T3681" s="16" t="n">
        <v>291</v>
      </c>
      <c r="U3681" s="16" t="n">
        <v>36</v>
      </c>
      <c r="V3681" s="16">
        <f>ROUNDUP((T3681+U3681+2*'Read Me'!$B$13)*(1+'Read Me'!$B$12),-1)</f>
        <v/>
      </c>
      <c r="W3681" s="16">
        <f>V3681*N3681*O3681</f>
        <v/>
      </c>
      <c r="X3681" s="12">
        <f>IF(LEFT(I3681,2)="MV",2*N3681*IF(L3681="1/C",O3681,1),0)</f>
        <v/>
      </c>
      <c r="Y3681" s="12">
        <f>IF(OR(LEFT(K3681,4)="LVAX",LEFT(K3681,6)="MV15AX",LEFT(K3681,4)="CTAX",LEFT(K3681,2)="W|"),2*N3681*O3681,0)</f>
        <v/>
      </c>
      <c r="Z3681" s="12" t="inlineStr">
        <is>
          <t>VD 2.7 %</t>
        </is>
      </c>
      <c r="AA3681" s="12">
        <f>N3681*O3681</f>
        <v/>
      </c>
    </row>
    <row r="3682">
      <c r="A3682" s="12" t="inlineStr">
        <is>
          <t>G-P-0149</t>
        </is>
      </c>
      <c r="B3682" s="12" t="inlineStr">
        <is>
          <t>G</t>
        </is>
      </c>
      <c r="C3682" s="12" t="inlineStr">
        <is>
          <t>Carbon capture</t>
        </is>
      </c>
      <c r="D3682" s="12" t="inlineStr">
        <is>
          <t>Motor 9 of 10, 30 kW</t>
        </is>
      </c>
      <c r="E3682" s="12" t="inlineStr"/>
      <c r="F3682" s="12" t="inlineStr">
        <is>
          <t>CCS MV switchgear building (VFDs)</t>
        </is>
      </c>
      <c r="G3682" s="12" t="inlineStr"/>
      <c r="H3682" s="12" t="inlineStr">
        <is>
          <t>CO2 compression 3 x ~19 MW + dehydration</t>
        </is>
      </c>
      <c r="I3682" s="12" t="inlineStr">
        <is>
          <t>LV 600 V</t>
        </is>
      </c>
      <c r="J3682" s="12" t="inlineStr">
        <is>
          <t>Type TC-ER 600 V 3/C Cu XHHW-2 + ground, PVC jacket</t>
        </is>
      </c>
      <c r="K3682" s="12" t="inlineStr">
        <is>
          <t>LV|3/C+G|6</t>
        </is>
      </c>
      <c r="L3682" s="12" t="inlineStr">
        <is>
          <t>3/C+G</t>
        </is>
      </c>
      <c r="M3682" s="12" t="inlineStr">
        <is>
          <t>6</t>
        </is>
      </c>
      <c r="N3682" s="12" t="n">
        <v>1</v>
      </c>
      <c r="O3682" s="12" t="n">
        <v>1</v>
      </c>
      <c r="P3682" s="12" t="n">
        <v>480</v>
      </c>
      <c r="Q3682" s="12" t="n">
        <v>30</v>
      </c>
      <c r="R3682" s="12" t="n">
        <v>42.5</v>
      </c>
      <c r="S3682" s="12" t="inlineStr">
        <is>
          <t>Duct bank</t>
        </is>
      </c>
      <c r="T3682" s="16" t="n">
        <v>291</v>
      </c>
      <c r="U3682" s="16" t="n">
        <v>36</v>
      </c>
      <c r="V3682" s="16">
        <f>ROUNDUP((T3682+U3682+2*'Read Me'!$B$13)*(1+'Read Me'!$B$12),-1)</f>
        <v/>
      </c>
      <c r="W3682" s="16">
        <f>V3682*N3682*O3682</f>
        <v/>
      </c>
      <c r="X3682" s="12">
        <f>IF(LEFT(I3682,2)="MV",2*N3682*IF(L3682="1/C",O3682,1),0)</f>
        <v/>
      </c>
      <c r="Y3682" s="12">
        <f>IF(OR(LEFT(K3682,4)="LVAX",LEFT(K3682,6)="MV15AX",LEFT(K3682,4)="CTAX",LEFT(K3682,2)="W|"),2*N3682*O3682,0)</f>
        <v/>
      </c>
      <c r="Z3682" s="12" t="inlineStr">
        <is>
          <t>VD 2.7 %</t>
        </is>
      </c>
      <c r="AA3682" s="12">
        <f>N3682*O3682</f>
        <v/>
      </c>
    </row>
    <row r="3683">
      <c r="A3683" s="12" t="inlineStr">
        <is>
          <t>G-P-0150</t>
        </is>
      </c>
      <c r="B3683" s="12" t="inlineStr">
        <is>
          <t>G</t>
        </is>
      </c>
      <c r="C3683" s="12" t="inlineStr">
        <is>
          <t>Carbon capture</t>
        </is>
      </c>
      <c r="D3683" s="12" t="inlineStr">
        <is>
          <t>Motor 10 of 10, 30 kW</t>
        </is>
      </c>
      <c r="E3683" s="12" t="inlineStr"/>
      <c r="F3683" s="12" t="inlineStr">
        <is>
          <t>CCS MV switchgear building (VFDs)</t>
        </is>
      </c>
      <c r="G3683" s="12" t="inlineStr"/>
      <c r="H3683" s="12" t="inlineStr">
        <is>
          <t>CO2 compression 3 x ~19 MW + dehydration</t>
        </is>
      </c>
      <c r="I3683" s="12" t="inlineStr">
        <is>
          <t>LV 600 V</t>
        </is>
      </c>
      <c r="J3683" s="12" t="inlineStr">
        <is>
          <t>Type TC-ER 600 V 3/C Cu XHHW-2 + ground, PVC jacket</t>
        </is>
      </c>
      <c r="K3683" s="12" t="inlineStr">
        <is>
          <t>LV|3/C+G|6</t>
        </is>
      </c>
      <c r="L3683" s="12" t="inlineStr">
        <is>
          <t>3/C+G</t>
        </is>
      </c>
      <c r="M3683" s="12" t="inlineStr">
        <is>
          <t>6</t>
        </is>
      </c>
      <c r="N3683" s="12" t="n">
        <v>1</v>
      </c>
      <c r="O3683" s="12" t="n">
        <v>1</v>
      </c>
      <c r="P3683" s="12" t="n">
        <v>480</v>
      </c>
      <c r="Q3683" s="12" t="n">
        <v>30</v>
      </c>
      <c r="R3683" s="12" t="n">
        <v>42.5</v>
      </c>
      <c r="S3683" s="12" t="inlineStr">
        <is>
          <t>Duct bank</t>
        </is>
      </c>
      <c r="T3683" s="16" t="n">
        <v>291</v>
      </c>
      <c r="U3683" s="16" t="n">
        <v>36</v>
      </c>
      <c r="V3683" s="16">
        <f>ROUNDUP((T3683+U3683+2*'Read Me'!$B$13)*(1+'Read Me'!$B$12),-1)</f>
        <v/>
      </c>
      <c r="W3683" s="16">
        <f>V3683*N3683*O3683</f>
        <v/>
      </c>
      <c r="X3683" s="12">
        <f>IF(LEFT(I3683,2)="MV",2*N3683*IF(L3683="1/C",O3683,1),0)</f>
        <v/>
      </c>
      <c r="Y3683" s="12">
        <f>IF(OR(LEFT(K3683,4)="LVAX",LEFT(K3683,6)="MV15AX",LEFT(K3683,4)="CTAX",LEFT(K3683,2)="W|"),2*N3683*O3683,0)</f>
        <v/>
      </c>
      <c r="Z3683" s="12" t="inlineStr">
        <is>
          <t>VD 2.7 %</t>
        </is>
      </c>
      <c r="AA3683" s="12">
        <f>N3683*O3683</f>
        <v/>
      </c>
    </row>
    <row r="3684">
      <c r="A3684" s="12" t="inlineStr">
        <is>
          <t>G-P-0151</t>
        </is>
      </c>
      <c r="B3684" s="12" t="inlineStr">
        <is>
          <t>G</t>
        </is>
      </c>
      <c r="C3684" s="12" t="inlineStr">
        <is>
          <t>Carbon capture</t>
        </is>
      </c>
      <c r="D3684" s="12" t="inlineStr">
        <is>
          <t>480 V welding receptacle 1</t>
        </is>
      </c>
      <c r="E3684" s="12" t="inlineStr"/>
      <c r="F3684" s="12" t="inlineStr">
        <is>
          <t>CCS MV switchgear building (VFDs)</t>
        </is>
      </c>
      <c r="G3684" s="12" t="inlineStr"/>
      <c r="H3684" s="12" t="inlineStr">
        <is>
          <t>CO2 compression 3 x ~19 MW + dehydration</t>
        </is>
      </c>
      <c r="I3684" s="12" t="inlineStr">
        <is>
          <t>LV 600 V</t>
        </is>
      </c>
      <c r="J3684" s="12" t="inlineStr">
        <is>
          <t>Type TC-ER 600 V 3/C Cu XHHW-2 + ground, PVC jacket</t>
        </is>
      </c>
      <c r="K3684" s="12" t="inlineStr">
        <is>
          <t>LV|3/C+G|2</t>
        </is>
      </c>
      <c r="L3684" s="12" t="inlineStr">
        <is>
          <t>3/C+G</t>
        </is>
      </c>
      <c r="M3684" s="12" t="inlineStr">
        <is>
          <t>2</t>
        </is>
      </c>
      <c r="N3684" s="12" t="n">
        <v>1</v>
      </c>
      <c r="O3684" s="12" t="n">
        <v>1</v>
      </c>
      <c r="P3684" s="12" t="n">
        <v>480</v>
      </c>
      <c r="Q3684" s="12" t="n">
        <v>60</v>
      </c>
      <c r="R3684" s="12" t="n">
        <v>76</v>
      </c>
      <c r="S3684" s="12" t="inlineStr">
        <is>
          <t>Duct bank</t>
        </is>
      </c>
      <c r="T3684" s="16" t="n">
        <v>291</v>
      </c>
      <c r="U3684" s="16" t="n">
        <v>36</v>
      </c>
      <c r="V3684" s="16">
        <f>ROUNDUP((T3684+U3684+2*'Read Me'!$B$13)*(1+'Read Me'!$B$12),-1)</f>
        <v/>
      </c>
      <c r="W3684" s="16">
        <f>V3684*N3684*O3684</f>
        <v/>
      </c>
      <c r="X3684" s="12">
        <f>IF(LEFT(I3684,2)="MV",2*N3684*IF(L3684="1/C",O3684,1),0)</f>
        <v/>
      </c>
      <c r="Y3684" s="12">
        <f>IF(OR(LEFT(K3684,4)="LVAX",LEFT(K3684,6)="MV15AX",LEFT(K3684,4)="CTAX",LEFT(K3684,2)="W|"),2*N3684*O3684,0)</f>
        <v/>
      </c>
      <c r="Z3684" s="12" t="inlineStr">
        <is>
          <t>VD 1.9 %</t>
        </is>
      </c>
      <c r="AA3684" s="12">
        <f>N3684*O3684</f>
        <v/>
      </c>
    </row>
    <row r="3685">
      <c r="A3685" s="12" t="inlineStr">
        <is>
          <t>G-P-0152</t>
        </is>
      </c>
      <c r="B3685" s="12" t="inlineStr">
        <is>
          <t>G</t>
        </is>
      </c>
      <c r="C3685" s="12" t="inlineStr">
        <is>
          <t>Carbon capture</t>
        </is>
      </c>
      <c r="D3685" s="12" t="inlineStr">
        <is>
          <t>480 V welding receptacle 2</t>
        </is>
      </c>
      <c r="E3685" s="12" t="inlineStr"/>
      <c r="F3685" s="12" t="inlineStr">
        <is>
          <t>CCS MV switchgear building (VFDs)</t>
        </is>
      </c>
      <c r="G3685" s="12" t="inlineStr"/>
      <c r="H3685" s="12" t="inlineStr">
        <is>
          <t>CO2 compression 3 x ~19 MW + dehydration</t>
        </is>
      </c>
      <c r="I3685" s="12" t="inlineStr">
        <is>
          <t>LV 600 V</t>
        </is>
      </c>
      <c r="J3685" s="12" t="inlineStr">
        <is>
          <t>Type TC-ER 600 V 3/C Cu XHHW-2 + ground, PVC jacket</t>
        </is>
      </c>
      <c r="K3685" s="12" t="inlineStr">
        <is>
          <t>LV|3/C+G|2</t>
        </is>
      </c>
      <c r="L3685" s="12" t="inlineStr">
        <is>
          <t>3/C+G</t>
        </is>
      </c>
      <c r="M3685" s="12" t="inlineStr">
        <is>
          <t>2</t>
        </is>
      </c>
      <c r="N3685" s="12" t="n">
        <v>1</v>
      </c>
      <c r="O3685" s="12" t="n">
        <v>1</v>
      </c>
      <c r="P3685" s="12" t="n">
        <v>480</v>
      </c>
      <c r="Q3685" s="12" t="n">
        <v>60</v>
      </c>
      <c r="R3685" s="12" t="n">
        <v>76</v>
      </c>
      <c r="S3685" s="12" t="inlineStr">
        <is>
          <t>Duct bank</t>
        </is>
      </c>
      <c r="T3685" s="16" t="n">
        <v>291</v>
      </c>
      <c r="U3685" s="16" t="n">
        <v>36</v>
      </c>
      <c r="V3685" s="16">
        <f>ROUNDUP((T3685+U3685+2*'Read Me'!$B$13)*(1+'Read Me'!$B$12),-1)</f>
        <v/>
      </c>
      <c r="W3685" s="16">
        <f>V3685*N3685*O3685</f>
        <v/>
      </c>
      <c r="X3685" s="12">
        <f>IF(LEFT(I3685,2)="MV",2*N3685*IF(L3685="1/C",O3685,1),0)</f>
        <v/>
      </c>
      <c r="Y3685" s="12">
        <f>IF(OR(LEFT(K3685,4)="LVAX",LEFT(K3685,6)="MV15AX",LEFT(K3685,4)="CTAX",LEFT(K3685,2)="W|"),2*N3685*O3685,0)</f>
        <v/>
      </c>
      <c r="Z3685" s="12" t="inlineStr">
        <is>
          <t>VD 1.9 %</t>
        </is>
      </c>
      <c r="AA3685" s="12">
        <f>N3685*O3685</f>
        <v/>
      </c>
    </row>
    <row r="3686">
      <c r="A3686" s="12" t="inlineStr">
        <is>
          <t>G-P-0153</t>
        </is>
      </c>
      <c r="B3686" s="12" t="inlineStr">
        <is>
          <t>G</t>
        </is>
      </c>
      <c r="C3686" s="12" t="inlineStr">
        <is>
          <t>Carbon capture</t>
        </is>
      </c>
      <c r="D3686" s="12" t="inlineStr">
        <is>
          <t>480 V welding receptacle 3</t>
        </is>
      </c>
      <c r="E3686" s="12" t="inlineStr"/>
      <c r="F3686" s="12" t="inlineStr">
        <is>
          <t>CCS MV switchgear building (VFDs)</t>
        </is>
      </c>
      <c r="G3686" s="12" t="inlineStr"/>
      <c r="H3686" s="12" t="inlineStr">
        <is>
          <t>CO2 compression 3 x ~19 MW + dehydration</t>
        </is>
      </c>
      <c r="I3686" s="12" t="inlineStr">
        <is>
          <t>LV 600 V</t>
        </is>
      </c>
      <c r="J3686" s="12" t="inlineStr">
        <is>
          <t>Type TC-ER 600 V 3/C Cu XHHW-2 + ground, PVC jacket</t>
        </is>
      </c>
      <c r="K3686" s="12" t="inlineStr">
        <is>
          <t>LV|3/C+G|2</t>
        </is>
      </c>
      <c r="L3686" s="12" t="inlineStr">
        <is>
          <t>3/C+G</t>
        </is>
      </c>
      <c r="M3686" s="12" t="inlineStr">
        <is>
          <t>2</t>
        </is>
      </c>
      <c r="N3686" s="12" t="n">
        <v>1</v>
      </c>
      <c r="O3686" s="12" t="n">
        <v>1</v>
      </c>
      <c r="P3686" s="12" t="n">
        <v>480</v>
      </c>
      <c r="Q3686" s="12" t="n">
        <v>60</v>
      </c>
      <c r="R3686" s="12" t="n">
        <v>76</v>
      </c>
      <c r="S3686" s="12" t="inlineStr">
        <is>
          <t>Duct bank</t>
        </is>
      </c>
      <c r="T3686" s="16" t="n">
        <v>291</v>
      </c>
      <c r="U3686" s="16" t="n">
        <v>36</v>
      </c>
      <c r="V3686" s="16">
        <f>ROUNDUP((T3686+U3686+2*'Read Me'!$B$13)*(1+'Read Me'!$B$12),-1)</f>
        <v/>
      </c>
      <c r="W3686" s="16">
        <f>V3686*N3686*O3686</f>
        <v/>
      </c>
      <c r="X3686" s="12">
        <f>IF(LEFT(I3686,2)="MV",2*N3686*IF(L3686="1/C",O3686,1),0)</f>
        <v/>
      </c>
      <c r="Y3686" s="12">
        <f>IF(OR(LEFT(K3686,4)="LVAX",LEFT(K3686,6)="MV15AX",LEFT(K3686,4)="CTAX",LEFT(K3686,2)="W|"),2*N3686*O3686,0)</f>
        <v/>
      </c>
      <c r="Z3686" s="12" t="inlineStr">
        <is>
          <t>VD 1.9 %</t>
        </is>
      </c>
      <c r="AA3686" s="12">
        <f>N3686*O3686</f>
        <v/>
      </c>
    </row>
    <row r="3687">
      <c r="A3687" s="12" t="inlineStr">
        <is>
          <t>G-P-0154</t>
        </is>
      </c>
      <c r="B3687" s="12" t="inlineStr">
        <is>
          <t>G</t>
        </is>
      </c>
      <c r="C3687" s="12" t="inlineStr">
        <is>
          <t>Carbon capture</t>
        </is>
      </c>
      <c r="D3687" s="12" t="inlineStr">
        <is>
          <t>480 V welding receptacle 4</t>
        </is>
      </c>
      <c r="E3687" s="12" t="inlineStr"/>
      <c r="F3687" s="12" t="inlineStr">
        <is>
          <t>CCS MV switchgear building (VFDs)</t>
        </is>
      </c>
      <c r="G3687" s="12" t="inlineStr"/>
      <c r="H3687" s="12" t="inlineStr">
        <is>
          <t>CO2 compression 3 x ~19 MW + dehydration</t>
        </is>
      </c>
      <c r="I3687" s="12" t="inlineStr">
        <is>
          <t>LV 600 V</t>
        </is>
      </c>
      <c r="J3687" s="12" t="inlineStr">
        <is>
          <t>Type TC-ER 600 V 3/C Cu XHHW-2 + ground, PVC jacket</t>
        </is>
      </c>
      <c r="K3687" s="12" t="inlineStr">
        <is>
          <t>LV|3/C+G|2</t>
        </is>
      </c>
      <c r="L3687" s="12" t="inlineStr">
        <is>
          <t>3/C+G</t>
        </is>
      </c>
      <c r="M3687" s="12" t="inlineStr">
        <is>
          <t>2</t>
        </is>
      </c>
      <c r="N3687" s="12" t="n">
        <v>1</v>
      </c>
      <c r="O3687" s="12" t="n">
        <v>1</v>
      </c>
      <c r="P3687" s="12" t="n">
        <v>480</v>
      </c>
      <c r="Q3687" s="12" t="n">
        <v>60</v>
      </c>
      <c r="R3687" s="12" t="n">
        <v>76</v>
      </c>
      <c r="S3687" s="12" t="inlineStr">
        <is>
          <t>Duct bank</t>
        </is>
      </c>
      <c r="T3687" s="16" t="n">
        <v>291</v>
      </c>
      <c r="U3687" s="16" t="n">
        <v>36</v>
      </c>
      <c r="V3687" s="16">
        <f>ROUNDUP((T3687+U3687+2*'Read Me'!$B$13)*(1+'Read Me'!$B$12),-1)</f>
        <v/>
      </c>
      <c r="W3687" s="16">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G-P-0155</t>
        </is>
      </c>
      <c r="B3688" s="12" t="inlineStr">
        <is>
          <t>G</t>
        </is>
      </c>
      <c r="C3688" s="12" t="inlineStr">
        <is>
          <t>Carbon capture</t>
        </is>
      </c>
      <c r="D3688" s="12" t="inlineStr">
        <is>
          <t>Motor 1 of 2, 20 kW</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LV|3/C+G|6</t>
        </is>
      </c>
      <c r="L3688" s="12" t="inlineStr">
        <is>
          <t>3/C+G</t>
        </is>
      </c>
      <c r="M3688" s="12" t="inlineStr">
        <is>
          <t>6</t>
        </is>
      </c>
      <c r="N3688" s="12" t="n">
        <v>1</v>
      </c>
      <c r="O3688" s="12" t="n">
        <v>1</v>
      </c>
      <c r="P3688" s="12" t="n">
        <v>480</v>
      </c>
      <c r="Q3688" s="12" t="n">
        <v>20</v>
      </c>
      <c r="R3688" s="12" t="n">
        <v>28.3</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2.6 %</t>
        </is>
      </c>
      <c r="AA3688" s="12">
        <f>N3688*O3688</f>
        <v/>
      </c>
    </row>
    <row r="3689">
      <c r="A3689" s="12" t="inlineStr">
        <is>
          <t>G-P-0156</t>
        </is>
      </c>
      <c r="B3689" s="12" t="inlineStr">
        <is>
          <t>G</t>
        </is>
      </c>
      <c r="C3689" s="12" t="inlineStr">
        <is>
          <t>Carbon capture</t>
        </is>
      </c>
      <c r="D3689" s="12" t="inlineStr">
        <is>
          <t>Motor 2 of 2, 20 kW</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LV|3/C+G|6</t>
        </is>
      </c>
      <c r="L3689" s="12" t="inlineStr">
        <is>
          <t>3/C+G</t>
        </is>
      </c>
      <c r="M3689" s="12" t="inlineStr">
        <is>
          <t>6</t>
        </is>
      </c>
      <c r="N3689" s="12" t="n">
        <v>1</v>
      </c>
      <c r="O3689" s="12" t="n">
        <v>1</v>
      </c>
      <c r="P3689" s="12" t="n">
        <v>480</v>
      </c>
      <c r="Q3689" s="12" t="n">
        <v>20</v>
      </c>
      <c r="R3689" s="12" t="n">
        <v>28.3</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2.6 %</t>
        </is>
      </c>
      <c r="AA3689" s="12">
        <f>N3689*O3689</f>
        <v/>
      </c>
    </row>
    <row r="3690">
      <c r="A3690" s="12" t="inlineStr">
        <is>
          <t>G-P-0157</t>
        </is>
      </c>
      <c r="B3690" s="12" t="inlineStr">
        <is>
          <t>G</t>
        </is>
      </c>
      <c r="C3690" s="12" t="inlineStr">
        <is>
          <t>Carbon capture</t>
        </is>
      </c>
      <c r="D3690" s="12" t="inlineStr">
        <is>
          <t>Motor 1 of 1, 200 kW</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LV|3/C+G|500</t>
        </is>
      </c>
      <c r="L3690" s="12" t="inlineStr">
        <is>
          <t>3/C+G</t>
        </is>
      </c>
      <c r="M3690" s="12" t="inlineStr">
        <is>
          <t>500 kcmil</t>
        </is>
      </c>
      <c r="N3690" s="12" t="n">
        <v>1</v>
      </c>
      <c r="O3690" s="12" t="n">
        <v>1</v>
      </c>
      <c r="P3690" s="12" t="n">
        <v>480</v>
      </c>
      <c r="Q3690" s="12" t="n">
        <v>200</v>
      </c>
      <c r="R3690" s="12" t="n">
        <v>283</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1.3 %</t>
        </is>
      </c>
      <c r="AA3690" s="12">
        <f>N3690*O3690</f>
        <v/>
      </c>
    </row>
    <row r="3691">
      <c r="A3691" s="12" t="inlineStr">
        <is>
          <t>G-P-0158</t>
        </is>
      </c>
      <c r="B3691" s="12" t="inlineStr">
        <is>
          <t>G</t>
        </is>
      </c>
      <c r="C3691" s="12" t="inlineStr">
        <is>
          <t>Carbon capture</t>
        </is>
      </c>
      <c r="D3691" s="12" t="inlineStr">
        <is>
          <t>MOV 1: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G-P-0159</t>
        </is>
      </c>
      <c r="B3692" s="12" t="inlineStr">
        <is>
          <t>G</t>
        </is>
      </c>
      <c r="C3692" s="12" t="inlineStr">
        <is>
          <t>Carbon capture</t>
        </is>
      </c>
      <c r="D3692" s="12" t="inlineStr">
        <is>
          <t>MOV 2: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G-P-0160</t>
        </is>
      </c>
      <c r="B3693" s="12" t="inlineStr">
        <is>
          <t>G</t>
        </is>
      </c>
      <c r="C3693" s="12" t="inlineStr">
        <is>
          <t>Carbon capture</t>
        </is>
      </c>
      <c r="D3693" s="12" t="inlineStr">
        <is>
          <t>MOV 3: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G-P-0161</t>
        </is>
      </c>
      <c r="B3694" s="12" t="inlineStr">
        <is>
          <t>G</t>
        </is>
      </c>
      <c r="C3694" s="12" t="inlineStr">
        <is>
          <t>Carbon capture</t>
        </is>
      </c>
      <c r="D3694" s="12" t="inlineStr">
        <is>
          <t>MOV 4: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G-P-0162</t>
        </is>
      </c>
      <c r="B3695" s="12" t="inlineStr">
        <is>
          <t>G</t>
        </is>
      </c>
      <c r="C3695" s="12" t="inlineStr">
        <is>
          <t>Carbon capture</t>
        </is>
      </c>
      <c r="D3695" s="12" t="inlineStr">
        <is>
          <t>MOV 5: power</t>
        </is>
      </c>
      <c r="E3695" s="12" t="inlineStr"/>
      <c r="F3695" s="12" t="inlineStr">
        <is>
          <t>CCS MV switchgear building (VFDs)</t>
        </is>
      </c>
      <c r="G3695" s="12" t="inlineStr"/>
      <c r="H3695" s="12" t="inlineStr">
        <is>
          <t>CO2 dehydration: molecular-sieve towers and regeneration heater</t>
        </is>
      </c>
      <c r="I3695" s="12" t="inlineStr">
        <is>
          <t>LV 600 V</t>
        </is>
      </c>
      <c r="J3695" s="12" t="inlineStr">
        <is>
          <t>Type TC-ER 600 V 3/C Cu XHHW-2 + ground, PVC jacket</t>
        </is>
      </c>
      <c r="K3695" s="12" t="inlineStr">
        <is>
          <t>LV|3/C+G|10</t>
        </is>
      </c>
      <c r="L3695" s="12" t="inlineStr">
        <is>
          <t>3/C+G</t>
        </is>
      </c>
      <c r="M3695" s="12" t="inlineStr">
        <is>
          <t>10</t>
        </is>
      </c>
      <c r="N3695" s="12" t="n">
        <v>1</v>
      </c>
      <c r="O3695" s="12" t="n">
        <v>1</v>
      </c>
      <c r="P3695" s="12" t="n">
        <v>480</v>
      </c>
      <c r="Q3695" s="12" t="n">
        <v>2.5</v>
      </c>
      <c r="R3695" s="12" t="n">
        <v>3.5</v>
      </c>
      <c r="S3695" s="12" t="inlineStr">
        <is>
          <t>Duct bank</t>
        </is>
      </c>
      <c r="T3695" s="16" t="n">
        <v>305</v>
      </c>
      <c r="U3695" s="16" t="n">
        <v>160</v>
      </c>
      <c r="V3695" s="16">
        <f>ROUNDUP((T3695+U3695+2*'Read Me'!$B$13)*(1+'Read Me'!$B$12),-1)</f>
        <v/>
      </c>
      <c r="W3695" s="16">
        <f>V3695*N3695*O3695</f>
        <v/>
      </c>
      <c r="X3695" s="12">
        <f>IF(LEFT(I3695,2)="MV",2*N3695*IF(L3695="1/C",O3695,1),0)</f>
        <v/>
      </c>
      <c r="Y3695" s="12">
        <f>IF(OR(LEFT(K3695,4)="LVAX",LEFT(K3695,6)="MV15AX",LEFT(K3695,4)="CTAX",LEFT(K3695,2)="W|"),2*N3695*O3695,0)</f>
        <v/>
      </c>
      <c r="Z3695" s="12" t="inlineStr">
        <is>
          <t>VD 0.8 %</t>
        </is>
      </c>
      <c r="AA3695" s="12">
        <f>N3695*O3695</f>
        <v/>
      </c>
    </row>
    <row r="3696">
      <c r="A3696" s="12" t="inlineStr">
        <is>
          <t>G-P-0163</t>
        </is>
      </c>
      <c r="B3696" s="12" t="inlineStr">
        <is>
          <t>G</t>
        </is>
      </c>
      <c r="C3696" s="12" t="inlineStr">
        <is>
          <t>Carbon capture</t>
        </is>
      </c>
      <c r="D3696" s="12" t="inlineStr">
        <is>
          <t>MOV 6: power</t>
        </is>
      </c>
      <c r="E3696" s="12" t="inlineStr"/>
      <c r="F3696" s="12" t="inlineStr">
        <is>
          <t>CCS MV switchgear building (VFDs)</t>
        </is>
      </c>
      <c r="G3696" s="12" t="inlineStr"/>
      <c r="H3696" s="12" t="inlineStr">
        <is>
          <t>CO2 dehydration: molecular-sieve towers and regeneration heater</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2.5</v>
      </c>
      <c r="R3696" s="12" t="n">
        <v>3.5</v>
      </c>
      <c r="S3696" s="12" t="inlineStr">
        <is>
          <t>Duct bank</t>
        </is>
      </c>
      <c r="T3696" s="16" t="n">
        <v>305</v>
      </c>
      <c r="U3696" s="16" t="n">
        <v>160</v>
      </c>
      <c r="V3696" s="16">
        <f>ROUNDUP((T3696+U3696+2*'Read Me'!$B$13)*(1+'Read Me'!$B$12),-1)</f>
        <v/>
      </c>
      <c r="W3696" s="16">
        <f>V3696*N3696*O3696</f>
        <v/>
      </c>
      <c r="X3696" s="12">
        <f>IF(LEFT(I3696,2)="MV",2*N3696*IF(L3696="1/C",O3696,1),0)</f>
        <v/>
      </c>
      <c r="Y3696" s="12">
        <f>IF(OR(LEFT(K3696,4)="LVAX",LEFT(K3696,6)="MV15AX",LEFT(K3696,4)="CTAX",LEFT(K3696,2)="W|"),2*N3696*O3696,0)</f>
        <v/>
      </c>
      <c r="Z3696" s="12" t="inlineStr">
        <is>
          <t>VD 0.8 %</t>
        </is>
      </c>
      <c r="AA3696" s="12">
        <f>N3696*O3696</f>
        <v/>
      </c>
    </row>
    <row r="3697">
      <c r="A3697" s="12" t="inlineStr">
        <is>
          <t>G-P-0164</t>
        </is>
      </c>
      <c r="B3697" s="12" t="inlineStr">
        <is>
          <t>G</t>
        </is>
      </c>
      <c r="C3697" s="12" t="inlineStr">
        <is>
          <t>Carbon capture</t>
        </is>
      </c>
      <c r="D3697" s="12" t="inlineStr">
        <is>
          <t>MOV 7: power</t>
        </is>
      </c>
      <c r="E3697" s="12" t="inlineStr"/>
      <c r="F3697" s="12" t="inlineStr">
        <is>
          <t>CCS MV switchgear building (VFDs)</t>
        </is>
      </c>
      <c r="G3697" s="12" t="inlineStr"/>
      <c r="H3697" s="12" t="inlineStr">
        <is>
          <t>CO2 dehydration: molecular-sieve towers and regeneration heater</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2.5</v>
      </c>
      <c r="R3697" s="12" t="n">
        <v>3.5</v>
      </c>
      <c r="S3697" s="12" t="inlineStr">
        <is>
          <t>Duct bank</t>
        </is>
      </c>
      <c r="T3697" s="16" t="n">
        <v>305</v>
      </c>
      <c r="U3697" s="16" t="n">
        <v>160</v>
      </c>
      <c r="V3697" s="16">
        <f>ROUNDUP((T3697+U3697+2*'Read Me'!$B$13)*(1+'Read Me'!$B$12),-1)</f>
        <v/>
      </c>
      <c r="W3697" s="16">
        <f>V3697*N3697*O3697</f>
        <v/>
      </c>
      <c r="X3697" s="12">
        <f>IF(LEFT(I3697,2)="MV",2*N3697*IF(L3697="1/C",O3697,1),0)</f>
        <v/>
      </c>
      <c r="Y3697" s="12">
        <f>IF(OR(LEFT(K3697,4)="LVAX",LEFT(K3697,6)="MV15AX",LEFT(K3697,4)="CTAX",LEFT(K3697,2)="W|"),2*N3697*O3697,0)</f>
        <v/>
      </c>
      <c r="Z3697" s="12" t="inlineStr">
        <is>
          <t>VD 0.8 %</t>
        </is>
      </c>
      <c r="AA3697" s="12">
        <f>N3697*O3697</f>
        <v/>
      </c>
    </row>
    <row r="3698">
      <c r="A3698" s="12" t="inlineStr">
        <is>
          <t>G-P-0165</t>
        </is>
      </c>
      <c r="B3698" s="12" t="inlineStr">
        <is>
          <t>G</t>
        </is>
      </c>
      <c r="C3698" s="12" t="inlineStr">
        <is>
          <t>Carbon capture</t>
        </is>
      </c>
      <c r="D3698" s="12" t="inlineStr">
        <is>
          <t>MOV 8: power</t>
        </is>
      </c>
      <c r="E3698" s="12" t="inlineStr"/>
      <c r="F3698" s="12" t="inlineStr">
        <is>
          <t>CCS MV switchgear building (VFDs)</t>
        </is>
      </c>
      <c r="G3698" s="12" t="inlineStr"/>
      <c r="H3698" s="12" t="inlineStr">
        <is>
          <t>CO2 dehydration: molecular-sieve towers and regeneration heater</t>
        </is>
      </c>
      <c r="I3698" s="12" t="inlineStr">
        <is>
          <t>LV 600 V</t>
        </is>
      </c>
      <c r="J3698" s="12" t="inlineStr">
        <is>
          <t>Type TC-ER 600 V 3/C Cu XHHW-2 + ground, PVC jacket</t>
        </is>
      </c>
      <c r="K3698" s="12" t="inlineStr">
        <is>
          <t>LV|3/C+G|10</t>
        </is>
      </c>
      <c r="L3698" s="12" t="inlineStr">
        <is>
          <t>3/C+G</t>
        </is>
      </c>
      <c r="M3698" s="12" t="inlineStr">
        <is>
          <t>10</t>
        </is>
      </c>
      <c r="N3698" s="12" t="n">
        <v>1</v>
      </c>
      <c r="O3698" s="12" t="n">
        <v>1</v>
      </c>
      <c r="P3698" s="12" t="n">
        <v>480</v>
      </c>
      <c r="Q3698" s="12" t="n">
        <v>2.5</v>
      </c>
      <c r="R3698" s="12" t="n">
        <v>3.5</v>
      </c>
      <c r="S3698" s="12" t="inlineStr">
        <is>
          <t>Duct bank</t>
        </is>
      </c>
      <c r="T3698" s="16" t="n">
        <v>305</v>
      </c>
      <c r="U3698" s="16" t="n">
        <v>160</v>
      </c>
      <c r="V3698" s="16">
        <f>ROUNDUP((T3698+U3698+2*'Read Me'!$B$13)*(1+'Read Me'!$B$12),-1)</f>
        <v/>
      </c>
      <c r="W3698" s="16">
        <f>V3698*N3698*O3698</f>
        <v/>
      </c>
      <c r="X3698" s="12">
        <f>IF(LEFT(I3698,2)="MV",2*N3698*IF(L3698="1/C",O3698,1),0)</f>
        <v/>
      </c>
      <c r="Y3698" s="12">
        <f>IF(OR(LEFT(K3698,4)="LVAX",LEFT(K3698,6)="MV15AX",LEFT(K3698,4)="CTAX",LEFT(K3698,2)="W|"),2*N3698*O3698,0)</f>
        <v/>
      </c>
      <c r="Z3698" s="12" t="inlineStr">
        <is>
          <t>VD 0.8 %</t>
        </is>
      </c>
      <c r="AA3698" s="12">
        <f>N3698*O3698</f>
        <v/>
      </c>
    </row>
    <row r="3699">
      <c r="A3699" s="12" t="inlineStr">
        <is>
          <t>G-P-0166</t>
        </is>
      </c>
      <c r="B3699" s="12" t="inlineStr">
        <is>
          <t>G</t>
        </is>
      </c>
      <c r="C3699" s="12" t="inlineStr">
        <is>
          <t>Carbon capture</t>
        </is>
      </c>
      <c r="D3699" s="12" t="inlineStr">
        <is>
          <t>MOV 9: power</t>
        </is>
      </c>
      <c r="E3699" s="12" t="inlineStr"/>
      <c r="F3699" s="12" t="inlineStr">
        <is>
          <t>CCS MV switchgear building (VFDs)</t>
        </is>
      </c>
      <c r="G3699" s="12" t="inlineStr"/>
      <c r="H3699" s="12" t="inlineStr">
        <is>
          <t>CO2 dehydration: molecular-sieve towers and regeneration heater</t>
        </is>
      </c>
      <c r="I3699" s="12" t="inlineStr">
        <is>
          <t>LV 600 V</t>
        </is>
      </c>
      <c r="J3699" s="12" t="inlineStr">
        <is>
          <t>Type TC-ER 600 V 3/C Cu XHHW-2 + ground, PVC jacket</t>
        </is>
      </c>
      <c r="K3699" s="12" t="inlineStr">
        <is>
          <t>LV|3/C+G|10</t>
        </is>
      </c>
      <c r="L3699" s="12" t="inlineStr">
        <is>
          <t>3/C+G</t>
        </is>
      </c>
      <c r="M3699" s="12" t="inlineStr">
        <is>
          <t>10</t>
        </is>
      </c>
      <c r="N3699" s="12" t="n">
        <v>1</v>
      </c>
      <c r="O3699" s="12" t="n">
        <v>1</v>
      </c>
      <c r="P3699" s="12" t="n">
        <v>480</v>
      </c>
      <c r="Q3699" s="12" t="n">
        <v>2.5</v>
      </c>
      <c r="R3699" s="12" t="n">
        <v>3.5</v>
      </c>
      <c r="S3699" s="12" t="inlineStr">
        <is>
          <t>Duct bank</t>
        </is>
      </c>
      <c r="T3699" s="16" t="n">
        <v>305</v>
      </c>
      <c r="U3699" s="16" t="n">
        <v>160</v>
      </c>
      <c r="V3699" s="16">
        <f>ROUNDUP((T3699+U3699+2*'Read Me'!$B$13)*(1+'Read Me'!$B$12),-1)</f>
        <v/>
      </c>
      <c r="W3699" s="16">
        <f>V3699*N3699*O3699</f>
        <v/>
      </c>
      <c r="X3699" s="12">
        <f>IF(LEFT(I3699,2)="MV",2*N3699*IF(L3699="1/C",O3699,1),0)</f>
        <v/>
      </c>
      <c r="Y3699" s="12">
        <f>IF(OR(LEFT(K3699,4)="LVAX",LEFT(K3699,6)="MV15AX",LEFT(K3699,4)="CTAX",LEFT(K3699,2)="W|"),2*N3699*O3699,0)</f>
        <v/>
      </c>
      <c r="Z3699" s="12" t="inlineStr">
        <is>
          <t>VD 0.8 %</t>
        </is>
      </c>
      <c r="AA3699" s="12">
        <f>N3699*O3699</f>
        <v/>
      </c>
    </row>
    <row r="3700">
      <c r="A3700" s="12" t="inlineStr">
        <is>
          <t>G-P-0167</t>
        </is>
      </c>
      <c r="B3700" s="12" t="inlineStr">
        <is>
          <t>G</t>
        </is>
      </c>
      <c r="C3700" s="12" t="inlineStr">
        <is>
          <t>Carbon capture</t>
        </is>
      </c>
      <c r="D3700" s="12" t="inlineStr">
        <is>
          <t>MOV 10: power</t>
        </is>
      </c>
      <c r="E3700" s="12" t="inlineStr"/>
      <c r="F3700" s="12" t="inlineStr">
        <is>
          <t>CCS MV switchgear building (VFDs)</t>
        </is>
      </c>
      <c r="G3700" s="12" t="inlineStr"/>
      <c r="H3700" s="12" t="inlineStr">
        <is>
          <t>CO2 dehydration: molecular-sieve towers and regeneration heater</t>
        </is>
      </c>
      <c r="I3700" s="12" t="inlineStr">
        <is>
          <t>LV 600 V</t>
        </is>
      </c>
      <c r="J3700" s="12" t="inlineStr">
        <is>
          <t>Type TC-ER 600 V 3/C Cu XHHW-2 + ground, PVC jacket</t>
        </is>
      </c>
      <c r="K3700" s="12" t="inlineStr">
        <is>
          <t>LV|3/C+G|10</t>
        </is>
      </c>
      <c r="L3700" s="12" t="inlineStr">
        <is>
          <t>3/C+G</t>
        </is>
      </c>
      <c r="M3700" s="12" t="inlineStr">
        <is>
          <t>10</t>
        </is>
      </c>
      <c r="N3700" s="12" t="n">
        <v>1</v>
      </c>
      <c r="O3700" s="12" t="n">
        <v>1</v>
      </c>
      <c r="P3700" s="12" t="n">
        <v>480</v>
      </c>
      <c r="Q3700" s="12" t="n">
        <v>2.5</v>
      </c>
      <c r="R3700" s="12" t="n">
        <v>3.5</v>
      </c>
      <c r="S3700" s="12" t="inlineStr">
        <is>
          <t>Duct bank</t>
        </is>
      </c>
      <c r="T3700" s="16" t="n">
        <v>305</v>
      </c>
      <c r="U3700" s="16" t="n">
        <v>160</v>
      </c>
      <c r="V3700" s="16">
        <f>ROUNDUP((T3700+U3700+2*'Read Me'!$B$13)*(1+'Read Me'!$B$12),-1)</f>
        <v/>
      </c>
      <c r="W3700" s="16">
        <f>V3700*N3700*O3700</f>
        <v/>
      </c>
      <c r="X3700" s="12">
        <f>IF(LEFT(I3700,2)="MV",2*N3700*IF(L3700="1/C",O3700,1),0)</f>
        <v/>
      </c>
      <c r="Y3700" s="12">
        <f>IF(OR(LEFT(K3700,4)="LVAX",LEFT(K3700,6)="MV15AX",LEFT(K3700,4)="CTAX",LEFT(K3700,2)="W|"),2*N3700*O3700,0)</f>
        <v/>
      </c>
      <c r="Z3700" s="12" t="inlineStr">
        <is>
          <t>VD 0.8 %</t>
        </is>
      </c>
      <c r="AA3700" s="12">
        <f>N3700*O3700</f>
        <v/>
      </c>
    </row>
    <row r="3701">
      <c r="A3701" s="12" t="inlineStr">
        <is>
          <t>G-P-0168</t>
        </is>
      </c>
      <c r="B3701" s="12" t="inlineStr">
        <is>
          <t>G</t>
        </is>
      </c>
      <c r="C3701" s="12" t="inlineStr">
        <is>
          <t>Carbon capture</t>
        </is>
      </c>
      <c r="D3701" s="12" t="inlineStr">
        <is>
          <t>MOV 11: power</t>
        </is>
      </c>
      <c r="E3701" s="12" t="inlineStr"/>
      <c r="F3701" s="12" t="inlineStr">
        <is>
          <t>CCS MV switchgear building (VFDs)</t>
        </is>
      </c>
      <c r="G3701" s="12" t="inlineStr"/>
      <c r="H3701" s="12" t="inlineStr">
        <is>
          <t>CO2 dehydration: molecular-sieve towers and regeneration heater</t>
        </is>
      </c>
      <c r="I3701" s="12" t="inlineStr">
        <is>
          <t>LV 600 V</t>
        </is>
      </c>
      <c r="J3701" s="12" t="inlineStr">
        <is>
          <t>Type TC-ER 600 V 3/C Cu XHHW-2 + ground, PVC jacket</t>
        </is>
      </c>
      <c r="K3701" s="12" t="inlineStr">
        <is>
          <t>LV|3/C+G|10</t>
        </is>
      </c>
      <c r="L3701" s="12" t="inlineStr">
        <is>
          <t>3/C+G</t>
        </is>
      </c>
      <c r="M3701" s="12" t="inlineStr">
        <is>
          <t>10</t>
        </is>
      </c>
      <c r="N3701" s="12" t="n">
        <v>1</v>
      </c>
      <c r="O3701" s="12" t="n">
        <v>1</v>
      </c>
      <c r="P3701" s="12" t="n">
        <v>480</v>
      </c>
      <c r="Q3701" s="12" t="n">
        <v>2.5</v>
      </c>
      <c r="R3701" s="12" t="n">
        <v>3.5</v>
      </c>
      <c r="S3701" s="12" t="inlineStr">
        <is>
          <t>Duct bank</t>
        </is>
      </c>
      <c r="T3701" s="16" t="n">
        <v>305</v>
      </c>
      <c r="U3701" s="16" t="n">
        <v>160</v>
      </c>
      <c r="V3701" s="16">
        <f>ROUNDUP((T3701+U3701+2*'Read Me'!$B$13)*(1+'Read Me'!$B$12),-1)</f>
        <v/>
      </c>
      <c r="W3701" s="16">
        <f>V3701*N3701*O3701</f>
        <v/>
      </c>
      <c r="X3701" s="12">
        <f>IF(LEFT(I3701,2)="MV",2*N3701*IF(L3701="1/C",O3701,1),0)</f>
        <v/>
      </c>
      <c r="Y3701" s="12">
        <f>IF(OR(LEFT(K3701,4)="LVAX",LEFT(K3701,6)="MV15AX",LEFT(K3701,4)="CTAX",LEFT(K3701,2)="W|"),2*N3701*O3701,0)</f>
        <v/>
      </c>
      <c r="Z3701" s="12" t="inlineStr">
        <is>
          <t>VD 0.8 %</t>
        </is>
      </c>
      <c r="AA3701" s="12">
        <f>N3701*O3701</f>
        <v/>
      </c>
    </row>
    <row r="3702">
      <c r="A3702" s="12" t="inlineStr">
        <is>
          <t>G-P-0169</t>
        </is>
      </c>
      <c r="B3702" s="12" t="inlineStr">
        <is>
          <t>G</t>
        </is>
      </c>
      <c r="C3702" s="12" t="inlineStr">
        <is>
          <t>Carbon capture</t>
        </is>
      </c>
      <c r="D3702" s="12" t="inlineStr">
        <is>
          <t>MOV 12: power</t>
        </is>
      </c>
      <c r="E3702" s="12" t="inlineStr"/>
      <c r="F3702" s="12" t="inlineStr">
        <is>
          <t>CCS MV switchgear building (VFDs)</t>
        </is>
      </c>
      <c r="G3702" s="12" t="inlineStr"/>
      <c r="H3702" s="12" t="inlineStr">
        <is>
          <t>CO2 dehydration: molecular-sieve towers and regeneration heater</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2.5</v>
      </c>
      <c r="R3702" s="12" t="n">
        <v>3.5</v>
      </c>
      <c r="S3702" s="12" t="inlineStr">
        <is>
          <t>Duct bank</t>
        </is>
      </c>
      <c r="T3702" s="16" t="n">
        <v>305</v>
      </c>
      <c r="U3702" s="16" t="n">
        <v>160</v>
      </c>
      <c r="V3702" s="16">
        <f>ROUNDUP((T3702+U3702+2*'Read Me'!$B$13)*(1+'Read Me'!$B$12),-1)</f>
        <v/>
      </c>
      <c r="W3702" s="16">
        <f>V3702*N3702*O3702</f>
        <v/>
      </c>
      <c r="X3702" s="12">
        <f>IF(LEFT(I3702,2)="MV",2*N3702*IF(L3702="1/C",O3702,1),0)</f>
        <v/>
      </c>
      <c r="Y3702" s="12">
        <f>IF(OR(LEFT(K3702,4)="LVAX",LEFT(K3702,6)="MV15AX",LEFT(K3702,4)="CTAX",LEFT(K3702,2)="W|"),2*N3702*O3702,0)</f>
        <v/>
      </c>
      <c r="Z3702" s="12" t="inlineStr">
        <is>
          <t>VD 0.8 %</t>
        </is>
      </c>
      <c r="AA3702" s="12">
        <f>N3702*O3702</f>
        <v/>
      </c>
    </row>
    <row r="3703">
      <c r="A3703" s="12" t="inlineStr">
        <is>
          <t>G-P-0170</t>
        </is>
      </c>
      <c r="B3703" s="12" t="inlineStr">
        <is>
          <t>G</t>
        </is>
      </c>
      <c r="C3703" s="12" t="inlineStr">
        <is>
          <t>Carbon capture</t>
        </is>
      </c>
      <c r="D3703" s="12" t="inlineStr">
        <is>
          <t>Motor 1 of 4, 30 kW</t>
        </is>
      </c>
      <c r="E3703" s="12" t="inlineStr"/>
      <c r="F3703" s="12" t="inlineStr">
        <is>
          <t>CCS MV switchgear building (VFDs)</t>
        </is>
      </c>
      <c r="G3703" s="12" t="inlineStr"/>
      <c r="H3703" s="12" t="inlineStr">
        <is>
          <t>CONDITIONAL: HP export compressor + metering</t>
        </is>
      </c>
      <c r="I3703" s="12" t="inlineStr">
        <is>
          <t>LV 600 V</t>
        </is>
      </c>
      <c r="J3703" s="12" t="inlineStr">
        <is>
          <t>ARMOR-X MC-HL 600 V 3/C Cu XHHW-2 + ground, CWA, black PVC (Class I Div 2)</t>
        </is>
      </c>
      <c r="K3703" s="12" t="inlineStr">
        <is>
          <t>LVAX|3/C+G|6</t>
        </is>
      </c>
      <c r="L3703" s="12" t="inlineStr">
        <is>
          <t>3/C+G</t>
        </is>
      </c>
      <c r="M3703" s="12" t="inlineStr">
        <is>
          <t>6</t>
        </is>
      </c>
      <c r="N3703" s="12" t="n">
        <v>1</v>
      </c>
      <c r="O3703" s="12" t="n">
        <v>1</v>
      </c>
      <c r="P3703" s="12" t="n">
        <v>480</v>
      </c>
      <c r="Q3703" s="12" t="n">
        <v>30</v>
      </c>
      <c r="R3703" s="12" t="n">
        <v>42.5</v>
      </c>
      <c r="S3703" s="12" t="inlineStr">
        <is>
          <t>Duct bank</t>
        </is>
      </c>
      <c r="T3703" s="16" t="n">
        <v>303</v>
      </c>
      <c r="U3703" s="16" t="n">
        <v>34</v>
      </c>
      <c r="V3703" s="16">
        <f>ROUNDUP((T3703+U3703+2*'Read Me'!$B$13)*(1+'Read Me'!$B$12),-1)</f>
        <v/>
      </c>
      <c r="W3703" s="16">
        <f>V3703*N3703*O3703</f>
        <v/>
      </c>
      <c r="X3703" s="12">
        <f>IF(LEFT(I3703,2)="MV",2*N3703*IF(L3703="1/C",O3703,1),0)</f>
        <v/>
      </c>
      <c r="Y3703" s="12">
        <f>IF(OR(LEFT(K3703,4)="LVAX",LEFT(K3703,6)="MV15AX",LEFT(K3703,4)="CTAX",LEFT(K3703,2)="W|"),2*N3703*O3703,0)</f>
        <v/>
      </c>
      <c r="Z3703" s="12" t="inlineStr">
        <is>
          <t>VD 2.8 %</t>
        </is>
      </c>
      <c r="AA3703" s="12">
        <f>N3703*O3703</f>
        <v/>
      </c>
    </row>
    <row r="3704">
      <c r="A3704" s="12" t="inlineStr">
        <is>
          <t>G-P-0171</t>
        </is>
      </c>
      <c r="B3704" s="12" t="inlineStr">
        <is>
          <t>G</t>
        </is>
      </c>
      <c r="C3704" s="12" t="inlineStr">
        <is>
          <t>Carbon capture</t>
        </is>
      </c>
      <c r="D3704" s="12" t="inlineStr">
        <is>
          <t>Motor 2 of 4, 30 kW</t>
        </is>
      </c>
      <c r="E3704" s="12" t="inlineStr"/>
      <c r="F3704" s="12" t="inlineStr">
        <is>
          <t>CCS MV switchgear building (VFDs)</t>
        </is>
      </c>
      <c r="G3704" s="12" t="inlineStr"/>
      <c r="H3704" s="12" t="inlineStr">
        <is>
          <t>CONDITIONAL: HP export compressor + metering</t>
        </is>
      </c>
      <c r="I3704" s="12" t="inlineStr">
        <is>
          <t>LV 600 V</t>
        </is>
      </c>
      <c r="J3704" s="12" t="inlineStr">
        <is>
          <t>ARMOR-X MC-HL 600 V 3/C Cu XHHW-2 + ground, CWA, black PVC (Class I Div 2)</t>
        </is>
      </c>
      <c r="K3704" s="12" t="inlineStr">
        <is>
          <t>LVAX|3/C+G|6</t>
        </is>
      </c>
      <c r="L3704" s="12" t="inlineStr">
        <is>
          <t>3/C+G</t>
        </is>
      </c>
      <c r="M3704" s="12" t="inlineStr">
        <is>
          <t>6</t>
        </is>
      </c>
      <c r="N3704" s="12" t="n">
        <v>1</v>
      </c>
      <c r="O3704" s="12" t="n">
        <v>1</v>
      </c>
      <c r="P3704" s="12" t="n">
        <v>480</v>
      </c>
      <c r="Q3704" s="12" t="n">
        <v>30</v>
      </c>
      <c r="R3704" s="12" t="n">
        <v>42.5</v>
      </c>
      <c r="S3704" s="12" t="inlineStr">
        <is>
          <t>Duct bank</t>
        </is>
      </c>
      <c r="T3704" s="16" t="n">
        <v>303</v>
      </c>
      <c r="U3704" s="16" t="n">
        <v>34</v>
      </c>
      <c r="V3704" s="16">
        <f>ROUNDUP((T3704+U3704+2*'Read Me'!$B$13)*(1+'Read Me'!$B$12),-1)</f>
        <v/>
      </c>
      <c r="W3704" s="16">
        <f>V3704*N3704*O3704</f>
        <v/>
      </c>
      <c r="X3704" s="12">
        <f>IF(LEFT(I3704,2)="MV",2*N3704*IF(L3704="1/C",O3704,1),0)</f>
        <v/>
      </c>
      <c r="Y3704" s="12">
        <f>IF(OR(LEFT(K3704,4)="LVAX",LEFT(K3704,6)="MV15AX",LEFT(K3704,4)="CTAX",LEFT(K3704,2)="W|"),2*N3704*O3704,0)</f>
        <v/>
      </c>
      <c r="Z3704" s="12" t="inlineStr">
        <is>
          <t>VD 2.8 %</t>
        </is>
      </c>
      <c r="AA3704" s="12">
        <f>N3704*O3704</f>
        <v/>
      </c>
    </row>
    <row r="3705">
      <c r="A3705" s="12" t="inlineStr">
        <is>
          <t>G-P-0172</t>
        </is>
      </c>
      <c r="B3705" s="12" t="inlineStr">
        <is>
          <t>G</t>
        </is>
      </c>
      <c r="C3705" s="12" t="inlineStr">
        <is>
          <t>Carbon capture</t>
        </is>
      </c>
      <c r="D3705" s="12" t="inlineStr">
        <is>
          <t>Motor 3 of 4, 30 kW</t>
        </is>
      </c>
      <c r="E3705" s="12" t="inlineStr"/>
      <c r="F3705" s="12" t="inlineStr">
        <is>
          <t>CCS MV switchgear building (VFDs)</t>
        </is>
      </c>
      <c r="G3705" s="12" t="inlineStr"/>
      <c r="H3705" s="12" t="inlineStr">
        <is>
          <t>CONDITIONAL: HP export compressor + metering</t>
        </is>
      </c>
      <c r="I3705" s="12" t="inlineStr">
        <is>
          <t>LV 600 V</t>
        </is>
      </c>
      <c r="J3705" s="12" t="inlineStr">
        <is>
          <t>ARMOR-X MC-HL 600 V 3/C Cu XHHW-2 + ground, CWA, black PVC (Class I Div 2)</t>
        </is>
      </c>
      <c r="K3705" s="12" t="inlineStr">
        <is>
          <t>LVAX|3/C+G|6</t>
        </is>
      </c>
      <c r="L3705" s="12" t="inlineStr">
        <is>
          <t>3/C+G</t>
        </is>
      </c>
      <c r="M3705" s="12" t="inlineStr">
        <is>
          <t>6</t>
        </is>
      </c>
      <c r="N3705" s="12" t="n">
        <v>1</v>
      </c>
      <c r="O3705" s="12" t="n">
        <v>1</v>
      </c>
      <c r="P3705" s="12" t="n">
        <v>480</v>
      </c>
      <c r="Q3705" s="12" t="n">
        <v>30</v>
      </c>
      <c r="R3705" s="12" t="n">
        <v>42.5</v>
      </c>
      <c r="S3705" s="12" t="inlineStr">
        <is>
          <t>Duct bank</t>
        </is>
      </c>
      <c r="T3705" s="16" t="n">
        <v>303</v>
      </c>
      <c r="U3705" s="16" t="n">
        <v>34</v>
      </c>
      <c r="V3705" s="16">
        <f>ROUNDUP((T3705+U3705+2*'Read Me'!$B$13)*(1+'Read Me'!$B$12),-1)</f>
        <v/>
      </c>
      <c r="W3705" s="16">
        <f>V3705*N3705*O3705</f>
        <v/>
      </c>
      <c r="X3705" s="12">
        <f>IF(LEFT(I3705,2)="MV",2*N3705*IF(L3705="1/C",O3705,1),0)</f>
        <v/>
      </c>
      <c r="Y3705" s="12">
        <f>IF(OR(LEFT(K3705,4)="LVAX",LEFT(K3705,6)="MV15AX",LEFT(K3705,4)="CTAX",LEFT(K3705,2)="W|"),2*N3705*O3705,0)</f>
        <v/>
      </c>
      <c r="Z3705" s="12" t="inlineStr">
        <is>
          <t>VD 2.8 %</t>
        </is>
      </c>
      <c r="AA3705" s="12">
        <f>N3705*O3705</f>
        <v/>
      </c>
    </row>
    <row r="3706">
      <c r="A3706" s="12" t="inlineStr">
        <is>
          <t>G-P-0173</t>
        </is>
      </c>
      <c r="B3706" s="12" t="inlineStr">
        <is>
          <t>G</t>
        </is>
      </c>
      <c r="C3706" s="12" t="inlineStr">
        <is>
          <t>Carbon capture</t>
        </is>
      </c>
      <c r="D3706" s="12" t="inlineStr">
        <is>
          <t>Motor 4 of 4, 30 kW</t>
        </is>
      </c>
      <c r="E3706" s="12" t="inlineStr"/>
      <c r="F3706" s="12" t="inlineStr">
        <is>
          <t>CCS MV switchgear building (VFDs)</t>
        </is>
      </c>
      <c r="G3706" s="12" t="inlineStr"/>
      <c r="H3706" s="12" t="inlineStr">
        <is>
          <t>CONDITIONAL: HP export compressor + metering</t>
        </is>
      </c>
      <c r="I3706" s="12" t="inlineStr">
        <is>
          <t>LV 600 V</t>
        </is>
      </c>
      <c r="J3706" s="12" t="inlineStr">
        <is>
          <t>ARMOR-X MC-HL 600 V 3/C Cu XHHW-2 + ground, CWA, black PVC (Class I Div 2)</t>
        </is>
      </c>
      <c r="K3706" s="12" t="inlineStr">
        <is>
          <t>LVAX|3/C+G|6</t>
        </is>
      </c>
      <c r="L3706" s="12" t="inlineStr">
        <is>
          <t>3/C+G</t>
        </is>
      </c>
      <c r="M3706" s="12" t="inlineStr">
        <is>
          <t>6</t>
        </is>
      </c>
      <c r="N3706" s="12" t="n">
        <v>1</v>
      </c>
      <c r="O3706" s="12" t="n">
        <v>1</v>
      </c>
      <c r="P3706" s="12" t="n">
        <v>480</v>
      </c>
      <c r="Q3706" s="12" t="n">
        <v>30</v>
      </c>
      <c r="R3706" s="12" t="n">
        <v>42.5</v>
      </c>
      <c r="S3706" s="12" t="inlineStr">
        <is>
          <t>Duct bank</t>
        </is>
      </c>
      <c r="T3706" s="16" t="n">
        <v>303</v>
      </c>
      <c r="U3706" s="16" t="n">
        <v>34</v>
      </c>
      <c r="V3706" s="16">
        <f>ROUNDUP((T3706+U3706+2*'Read Me'!$B$13)*(1+'Read Me'!$B$12),-1)</f>
        <v/>
      </c>
      <c r="W3706" s="16">
        <f>V3706*N3706*O3706</f>
        <v/>
      </c>
      <c r="X3706" s="12">
        <f>IF(LEFT(I3706,2)="MV",2*N3706*IF(L3706="1/C",O3706,1),0)</f>
        <v/>
      </c>
      <c r="Y3706" s="12">
        <f>IF(OR(LEFT(K3706,4)="LVAX",LEFT(K3706,6)="MV15AX",LEFT(K3706,4)="CTAX",LEFT(K3706,2)="W|"),2*N3706*O3706,0)</f>
        <v/>
      </c>
      <c r="Z3706" s="12" t="inlineStr">
        <is>
          <t>VD 2.8 %</t>
        </is>
      </c>
      <c r="AA3706" s="12">
        <f>N3706*O3706</f>
        <v/>
      </c>
    </row>
    <row r="3707">
      <c r="A3707" s="12" t="inlineStr">
        <is>
          <t>G-P-0174</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DCC-A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515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2.0 %</t>
        </is>
      </c>
      <c r="AA3707" s="12">
        <f>N3707*O3707</f>
        <v/>
      </c>
    </row>
    <row r="3708">
      <c r="A3708" s="12" t="inlineStr">
        <is>
          <t>G-P-0175</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DCC-A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515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2.0 %</t>
        </is>
      </c>
      <c r="AA3708" s="12">
        <f>N3708*O3708</f>
        <v/>
      </c>
    </row>
    <row r="3709">
      <c r="A3709" s="12" t="inlineStr">
        <is>
          <t>G-P-0176</t>
        </is>
      </c>
      <c r="B3709" s="12" t="inlineStr">
        <is>
          <t>G</t>
        </is>
      </c>
      <c r="C3709" s="12" t="inlineStr">
        <is>
          <t>Carbon capture</t>
        </is>
      </c>
      <c r="D3709" s="12" t="inlineStr">
        <is>
          <t>LV power feeder</t>
        </is>
      </c>
      <c r="E3709" s="12" t="inlineStr"/>
      <c r="F3709" s="12" t="inlineStr">
        <is>
          <t>CCS MV switchgear building (VFDs)</t>
        </is>
      </c>
      <c r="G3709" s="12" t="inlineStr">
        <is>
          <t>DCC-A</t>
        </is>
      </c>
      <c r="H3709" s="12" t="inlineStr">
        <is>
          <t>DCC-A: direct-contact cooler (quench)</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15</v>
      </c>
      <c r="R3709" s="12" t="n">
        <v>21.2</v>
      </c>
      <c r="S3709" s="12" t="inlineStr">
        <is>
          <t>Duct bank</t>
        </is>
      </c>
      <c r="T3709" s="16" t="n">
        <v>460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2.2 %</t>
        </is>
      </c>
      <c r="AA3709" s="12">
        <f>N3709*O3709</f>
        <v/>
      </c>
    </row>
    <row r="3710">
      <c r="A3710" s="12" t="inlineStr">
        <is>
          <t>G-P-0177</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DCC-A</t>
        </is>
      </c>
      <c r="H3710" s="12" t="inlineStr">
        <is>
          <t>DCC-A: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760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G-P-0178</t>
        </is>
      </c>
      <c r="B3711" s="12" t="inlineStr">
        <is>
          <t>G</t>
        </is>
      </c>
      <c r="C3711" s="12" t="inlineStr">
        <is>
          <t>Carbon capture</t>
        </is>
      </c>
      <c r="D3711" s="12" t="inlineStr">
        <is>
          <t>Motor 1 of 2, 200 kW</t>
        </is>
      </c>
      <c r="E3711" s="12" t="inlineStr"/>
      <c r="F3711" s="12" t="inlineStr">
        <is>
          <t>CCS MV switchgear building (VFDs)</t>
        </is>
      </c>
      <c r="G3711" s="12" t="inlineStr"/>
      <c r="H3711" s="12" t="inlineStr">
        <is>
          <t>DCC-B pumps + water filter</t>
        </is>
      </c>
      <c r="I3711" s="12" t="inlineStr">
        <is>
          <t>LV 600 V</t>
        </is>
      </c>
      <c r="J3711" s="12" t="inlineStr">
        <is>
          <t>Type TC-ER 600 V 3/C Cu XHHW-2 + ground, PVC jacket</t>
        </is>
      </c>
      <c r="K3711" s="12" t="inlineStr">
        <is>
          <t>LV|3/C+G|500</t>
        </is>
      </c>
      <c r="L3711" s="12" t="inlineStr">
        <is>
          <t>3/C+G</t>
        </is>
      </c>
      <c r="M3711" s="12" t="inlineStr">
        <is>
          <t>500 kcmil</t>
        </is>
      </c>
      <c r="N3711" s="12" t="n">
        <v>1</v>
      </c>
      <c r="O3711" s="12" t="n">
        <v>1</v>
      </c>
      <c r="P3711" s="12" t="n">
        <v>480</v>
      </c>
      <c r="Q3711" s="12" t="n">
        <v>200</v>
      </c>
      <c r="R3711" s="12" t="n">
        <v>283</v>
      </c>
      <c r="S3711" s="12" t="inlineStr">
        <is>
          <t>Tray</t>
        </is>
      </c>
      <c r="T3711" s="16" t="n">
        <v>415</v>
      </c>
      <c r="U3711" s="16" t="n">
        <v>122</v>
      </c>
      <c r="V3711" s="16">
        <f>ROUNDUP((T3711+U3711+2*'Read Me'!$B$13)*(1+'Read Me'!$B$12),-1)</f>
        <v/>
      </c>
      <c r="W3711" s="16">
        <f>V3711*N3711*O3711</f>
        <v/>
      </c>
      <c r="X3711" s="12">
        <f>IF(LEFT(I3711,2)="MV",2*N3711*IF(L3711="1/C",O3711,1),0)</f>
        <v/>
      </c>
      <c r="Y3711" s="12">
        <f>IF(OR(LEFT(K3711,4)="LVAX",LEFT(K3711,6)="MV15AX",LEFT(K3711,4)="CTAX",LEFT(K3711,2)="W|"),2*N3711*O3711,0)</f>
        <v/>
      </c>
      <c r="Z3711" s="12" t="inlineStr">
        <is>
          <t>VD 1.6 %</t>
        </is>
      </c>
      <c r="AA3711" s="12">
        <f>N3711*O3711</f>
        <v/>
      </c>
    </row>
    <row r="3712">
      <c r="A3712" s="12" t="inlineStr">
        <is>
          <t>G-P-0179</t>
        </is>
      </c>
      <c r="B3712" s="12" t="inlineStr">
        <is>
          <t>G</t>
        </is>
      </c>
      <c r="C3712" s="12" t="inlineStr">
        <is>
          <t>Carbon capture</t>
        </is>
      </c>
      <c r="D3712" s="12" t="inlineStr">
        <is>
          <t>Motor 2 of 2, 200 kW</t>
        </is>
      </c>
      <c r="E3712" s="12" t="inlineStr"/>
      <c r="F3712" s="12" t="inlineStr">
        <is>
          <t>CCS MV switchgear building (VFDs)</t>
        </is>
      </c>
      <c r="G3712" s="12" t="inlineStr"/>
      <c r="H3712" s="12" t="inlineStr">
        <is>
          <t>DCC-B pumps + water filter</t>
        </is>
      </c>
      <c r="I3712" s="12" t="inlineStr">
        <is>
          <t>LV 600 V</t>
        </is>
      </c>
      <c r="J3712" s="12" t="inlineStr">
        <is>
          <t>Type TC-ER 600 V 3/C Cu XHHW-2 + ground, PVC jacket</t>
        </is>
      </c>
      <c r="K3712" s="12" t="inlineStr">
        <is>
          <t>LV|3/C+G|500</t>
        </is>
      </c>
      <c r="L3712" s="12" t="inlineStr">
        <is>
          <t>3/C+G</t>
        </is>
      </c>
      <c r="M3712" s="12" t="inlineStr">
        <is>
          <t>500 kcmil</t>
        </is>
      </c>
      <c r="N3712" s="12" t="n">
        <v>1</v>
      </c>
      <c r="O3712" s="12" t="n">
        <v>1</v>
      </c>
      <c r="P3712" s="12" t="n">
        <v>480</v>
      </c>
      <c r="Q3712" s="12" t="n">
        <v>200</v>
      </c>
      <c r="R3712" s="12" t="n">
        <v>283</v>
      </c>
      <c r="S3712" s="12" t="inlineStr">
        <is>
          <t>Tray</t>
        </is>
      </c>
      <c r="T3712" s="16" t="n">
        <v>415</v>
      </c>
      <c r="U3712" s="16" t="n">
        <v>122</v>
      </c>
      <c r="V3712" s="16">
        <f>ROUNDUP((T3712+U3712+2*'Read Me'!$B$13)*(1+'Read Me'!$B$12),-1)</f>
        <v/>
      </c>
      <c r="W3712" s="16">
        <f>V3712*N3712*O3712</f>
        <v/>
      </c>
      <c r="X3712" s="12">
        <f>IF(LEFT(I3712,2)="MV",2*N3712*IF(L3712="1/C",O3712,1),0)</f>
        <v/>
      </c>
      <c r="Y3712" s="12">
        <f>IF(OR(LEFT(K3712,4)="LVAX",LEFT(K3712,6)="MV15AX",LEFT(K3712,4)="CTAX",LEFT(K3712,2)="W|"),2*N3712*O3712,0)</f>
        <v/>
      </c>
      <c r="Z3712" s="12" t="inlineStr">
        <is>
          <t>VD 1.6 %</t>
        </is>
      </c>
      <c r="AA3712" s="12">
        <f>N3712*O3712</f>
        <v/>
      </c>
    </row>
    <row r="3713">
      <c r="A3713" s="12" t="inlineStr">
        <is>
          <t>G-P-0180</t>
        </is>
      </c>
      <c r="B3713" s="12" t="inlineStr">
        <is>
          <t>G</t>
        </is>
      </c>
      <c r="C3713" s="12" t="inlineStr">
        <is>
          <t>Carbon capture</t>
        </is>
      </c>
      <c r="D3713" s="12" t="inlineStr">
        <is>
          <t>LV power feeder</t>
        </is>
      </c>
      <c r="E3713" s="12" t="inlineStr"/>
      <c r="F3713" s="12" t="inlineStr">
        <is>
          <t>CCS MV switchgear building (VFDs)</t>
        </is>
      </c>
      <c r="G3713" s="12" t="inlineStr">
        <is>
          <t>DCC-B</t>
        </is>
      </c>
      <c r="H3713" s="12" t="inlineStr">
        <is>
          <t>DCC-B: direct-contact cooler (quench)</t>
        </is>
      </c>
      <c r="I3713" s="12" t="inlineStr">
        <is>
          <t>LV 600 V</t>
        </is>
      </c>
      <c r="J3713" s="12" t="inlineStr">
        <is>
          <t>Type TC-ER 600 V 3/C Cu XHHW-2 + ground, PVC jacket</t>
        </is>
      </c>
      <c r="K3713" s="12" t="inlineStr">
        <is>
          <t>LV|3/C+G|8</t>
        </is>
      </c>
      <c r="L3713" s="12" t="inlineStr">
        <is>
          <t>3/C+G</t>
        </is>
      </c>
      <c r="M3713" s="12" t="inlineStr">
        <is>
          <t>8</t>
        </is>
      </c>
      <c r="N3713" s="12" t="n">
        <v>1</v>
      </c>
      <c r="O3713" s="12" t="n">
        <v>1</v>
      </c>
      <c r="P3713" s="12" t="n">
        <v>480</v>
      </c>
      <c r="Q3713" s="12" t="n">
        <v>15</v>
      </c>
      <c r="R3713" s="12" t="n">
        <v>21.2</v>
      </c>
      <c r="S3713" s="12" t="inlineStr">
        <is>
          <t>Duct bank</t>
        </is>
      </c>
      <c r="T3713" s="16" t="n">
        <v>300</v>
      </c>
      <c r="U3713" s="16" t="n">
        <v>60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G-P-0181</t>
        </is>
      </c>
      <c r="B3714" s="12" t="inlineStr">
        <is>
          <t>G</t>
        </is>
      </c>
      <c r="C3714" s="12" t="inlineStr">
        <is>
          <t>Carbon capture</t>
        </is>
      </c>
      <c r="D3714" s="12" t="inlineStr">
        <is>
          <t>Area / platform lighting circuit 1 (8 fixtures)</t>
        </is>
      </c>
      <c r="E3714" s="12" t="inlineStr"/>
      <c r="F3714" s="12" t="inlineStr">
        <is>
          <t>CCS MV switchgear building (VFDs)</t>
        </is>
      </c>
      <c r="G3714" s="12" t="inlineStr">
        <is>
          <t>DCC-B</t>
        </is>
      </c>
      <c r="H3714" s="12" t="inlineStr">
        <is>
          <t>DCC-B: direct-contact cooler (quench)</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3</v>
      </c>
      <c r="R3714" s="12" t="n">
        <v>5</v>
      </c>
      <c r="S3714" s="12" t="inlineStr">
        <is>
          <t>Duct bank</t>
        </is>
      </c>
      <c r="T3714" s="16" t="n">
        <v>600</v>
      </c>
      <c r="U3714" s="16" t="n">
        <v>60</v>
      </c>
      <c r="V3714" s="16">
        <f>ROUNDUP((T3714+U3714+2*'Read Me'!$B$13)*(1+'Read Me'!$B$12),-1)</f>
        <v/>
      </c>
      <c r="W3714" s="16">
        <f>V3714*N3714*O3714</f>
        <v/>
      </c>
      <c r="X3714" s="12">
        <f>IF(LEFT(I3714,2)="MV",2*N3714*IF(L3714="1/C",O3714,1),0)</f>
        <v/>
      </c>
      <c r="Y3714" s="12">
        <f>IF(OR(LEFT(K3714,4)="LVAX",LEFT(K3714,6)="MV15AX",LEFT(K3714,4)="CTAX",LEFT(K3714,2)="W|"),2*N3714*O3714,0)</f>
        <v/>
      </c>
      <c r="Z3714" s="12" t="inlineStr">
        <is>
          <t>fixture-to-fixture run included</t>
        </is>
      </c>
      <c r="AA3714" s="12">
        <f>N3714*O3714</f>
        <v/>
      </c>
    </row>
    <row r="3715">
      <c r="A3715" s="12" t="inlineStr">
        <is>
          <t>G-P-0182</t>
        </is>
      </c>
      <c r="B3715" s="12" t="inlineStr">
        <is>
          <t>G</t>
        </is>
      </c>
      <c r="C3715" s="12" t="inlineStr">
        <is>
          <t>Carbon capture</t>
        </is>
      </c>
      <c r="D3715" s="12" t="inlineStr">
        <is>
          <t>Motor 1 of 2, 200 kW</t>
        </is>
      </c>
      <c r="E3715" s="12" t="inlineStr"/>
      <c r="F3715" s="12" t="inlineStr">
        <is>
          <t>CCS MV switchgear building (VFDs)</t>
        </is>
      </c>
      <c r="G3715" s="12" t="inlineStr"/>
      <c r="H3715" s="12" t="inlineStr">
        <is>
          <t>DCC-C pumps + water filter</t>
        </is>
      </c>
      <c r="I3715" s="12" t="inlineStr">
        <is>
          <t>LV 600 V</t>
        </is>
      </c>
      <c r="J3715" s="12" t="inlineStr">
        <is>
          <t>Type TC-ER 600 V 3/C Cu XHHW-2 + ground, PVC jacket</t>
        </is>
      </c>
      <c r="K3715" s="12" t="inlineStr">
        <is>
          <t>LV|3/C+G|500</t>
        </is>
      </c>
      <c r="L3715" s="12" t="inlineStr">
        <is>
          <t>3/C+G</t>
        </is>
      </c>
      <c r="M3715" s="12" t="inlineStr">
        <is>
          <t>500 kcmil</t>
        </is>
      </c>
      <c r="N3715" s="12" t="n">
        <v>1</v>
      </c>
      <c r="O3715" s="12" t="n">
        <v>1</v>
      </c>
      <c r="P3715" s="12" t="n">
        <v>480</v>
      </c>
      <c r="Q3715" s="12" t="n">
        <v>200</v>
      </c>
      <c r="R3715" s="12" t="n">
        <v>283</v>
      </c>
      <c r="S3715" s="12" t="inlineStr">
        <is>
          <t>Tray</t>
        </is>
      </c>
      <c r="T3715" s="16" t="n">
        <v>195</v>
      </c>
      <c r="U3715" s="16" t="n">
        <v>164</v>
      </c>
      <c r="V3715" s="16">
        <f>ROUNDUP((T3715+U3715+2*'Read Me'!$B$13)*(1+'Read Me'!$B$12),-1)</f>
        <v/>
      </c>
      <c r="W3715" s="16">
        <f>V3715*N3715*O3715</f>
        <v/>
      </c>
      <c r="X3715" s="12">
        <f>IF(LEFT(I3715,2)="MV",2*N3715*IF(L3715="1/C",O3715,1),0)</f>
        <v/>
      </c>
      <c r="Y3715" s="12">
        <f>IF(OR(LEFT(K3715,4)="LVAX",LEFT(K3715,6)="MV15AX",LEFT(K3715,4)="CTAX",LEFT(K3715,2)="W|"),2*N3715*O3715,0)</f>
        <v/>
      </c>
      <c r="Z3715" s="12" t="inlineStr">
        <is>
          <t>VD 1.0 %</t>
        </is>
      </c>
      <c r="AA3715" s="12">
        <f>N3715*O3715</f>
        <v/>
      </c>
    </row>
    <row r="3716">
      <c r="A3716" s="12" t="inlineStr">
        <is>
          <t>G-P-0183</t>
        </is>
      </c>
      <c r="B3716" s="12" t="inlineStr">
        <is>
          <t>G</t>
        </is>
      </c>
      <c r="C3716" s="12" t="inlineStr">
        <is>
          <t>Carbon capture</t>
        </is>
      </c>
      <c r="D3716" s="12" t="inlineStr">
        <is>
          <t>Motor 2 of 2, 200 kW</t>
        </is>
      </c>
      <c r="E3716" s="12" t="inlineStr"/>
      <c r="F3716" s="12" t="inlineStr">
        <is>
          <t>CCS MV switchgear building (VFDs)</t>
        </is>
      </c>
      <c r="G3716" s="12" t="inlineStr"/>
      <c r="H3716" s="12" t="inlineStr">
        <is>
          <t>DCC-C pumps + water filter</t>
        </is>
      </c>
      <c r="I3716" s="12" t="inlineStr">
        <is>
          <t>LV 600 V</t>
        </is>
      </c>
      <c r="J3716" s="12" t="inlineStr">
        <is>
          <t>Type TC-ER 600 V 3/C Cu XHHW-2 + ground, PVC jacket</t>
        </is>
      </c>
      <c r="K3716" s="12" t="inlineStr">
        <is>
          <t>LV|3/C+G|500</t>
        </is>
      </c>
      <c r="L3716" s="12" t="inlineStr">
        <is>
          <t>3/C+G</t>
        </is>
      </c>
      <c r="M3716" s="12" t="inlineStr">
        <is>
          <t>500 kcmil</t>
        </is>
      </c>
      <c r="N3716" s="12" t="n">
        <v>1</v>
      </c>
      <c r="O3716" s="12" t="n">
        <v>1</v>
      </c>
      <c r="P3716" s="12" t="n">
        <v>480</v>
      </c>
      <c r="Q3716" s="12" t="n">
        <v>200</v>
      </c>
      <c r="R3716" s="12" t="n">
        <v>283</v>
      </c>
      <c r="S3716" s="12" t="inlineStr">
        <is>
          <t>Tray</t>
        </is>
      </c>
      <c r="T3716" s="16" t="n">
        <v>195</v>
      </c>
      <c r="U3716" s="16" t="n">
        <v>164</v>
      </c>
      <c r="V3716" s="16">
        <f>ROUNDUP((T3716+U3716+2*'Read Me'!$B$13)*(1+'Read Me'!$B$12),-1)</f>
        <v/>
      </c>
      <c r="W3716" s="16">
        <f>V3716*N3716*O3716</f>
        <v/>
      </c>
      <c r="X3716" s="12">
        <f>IF(LEFT(I3716,2)="MV",2*N3716*IF(L3716="1/C",O3716,1),0)</f>
        <v/>
      </c>
      <c r="Y3716" s="12">
        <f>IF(OR(LEFT(K3716,4)="LVAX",LEFT(K3716,6)="MV15AX",LEFT(K3716,4)="CTAX",LEFT(K3716,2)="W|"),2*N3716*O3716,0)</f>
        <v/>
      </c>
      <c r="Z3716" s="12" t="inlineStr">
        <is>
          <t>VD 1.0 %</t>
        </is>
      </c>
      <c r="AA3716" s="12">
        <f>N3716*O3716</f>
        <v/>
      </c>
    </row>
    <row r="3717">
      <c r="A3717" s="12" t="inlineStr">
        <is>
          <t>G-P-0184</t>
        </is>
      </c>
      <c r="B3717" s="12" t="inlineStr">
        <is>
          <t>G</t>
        </is>
      </c>
      <c r="C3717" s="12" t="inlineStr">
        <is>
          <t>Carbon capture</t>
        </is>
      </c>
      <c r="D3717" s="12" t="inlineStr">
        <is>
          <t>LV power feeder</t>
        </is>
      </c>
      <c r="E3717" s="12" t="inlineStr"/>
      <c r="F3717" s="12" t="inlineStr">
        <is>
          <t>CCS MV switchgear building (VFDs)</t>
        </is>
      </c>
      <c r="G3717" s="12" t="inlineStr">
        <is>
          <t>DCC-C</t>
        </is>
      </c>
      <c r="H3717" s="12" t="inlineStr">
        <is>
          <t>DCC-C: direct-contact cooler (quench)</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15</v>
      </c>
      <c r="R3717" s="12" t="n">
        <v>21.2</v>
      </c>
      <c r="S3717" s="12" t="inlineStr">
        <is>
          <t>Duct bank</t>
        </is>
      </c>
      <c r="T3717" s="16" t="n">
        <v>140</v>
      </c>
      <c r="U3717" s="16" t="n">
        <v>60</v>
      </c>
      <c r="V3717" s="16">
        <f>ROUNDUP((T3717+U3717+2*'Read Me'!$B$13)*(1+'Read Me'!$B$12),-1)</f>
        <v/>
      </c>
      <c r="W3717" s="16">
        <f>V3717*N3717*O3717</f>
        <v/>
      </c>
      <c r="X3717" s="12">
        <f>IF(LEFT(I3717,2)="MV",2*N3717*IF(L3717="1/C",O3717,1),0)</f>
        <v/>
      </c>
      <c r="Y3717" s="12">
        <f>IF(OR(LEFT(K3717,4)="LVAX",LEFT(K3717,6)="MV15AX",LEFT(K3717,4)="CTAX",LEFT(K3717,2)="W|"),2*N3717*O3717,0)</f>
        <v/>
      </c>
      <c r="Z3717" s="12" t="inlineStr">
        <is>
          <t>VD 2.0 %</t>
        </is>
      </c>
      <c r="AA3717" s="12">
        <f>N3717*O3717</f>
        <v/>
      </c>
    </row>
    <row r="3718">
      <c r="A3718" s="12" t="inlineStr">
        <is>
          <t>G-P-0185</t>
        </is>
      </c>
      <c r="B3718" s="12" t="inlineStr">
        <is>
          <t>G</t>
        </is>
      </c>
      <c r="C3718" s="12" t="inlineStr">
        <is>
          <t>Carbon capture</t>
        </is>
      </c>
      <c r="D3718" s="12" t="inlineStr">
        <is>
          <t>Area / platform lighting circuit 1 (8 fixtures)</t>
        </is>
      </c>
      <c r="E3718" s="12" t="inlineStr"/>
      <c r="F3718" s="12" t="inlineStr">
        <is>
          <t>CCS MV switchgear building (VFDs)</t>
        </is>
      </c>
      <c r="G3718" s="12" t="inlineStr">
        <is>
          <t>DCC-C</t>
        </is>
      </c>
      <c r="H3718" s="12" t="inlineStr">
        <is>
          <t>DCC-C: direct-contact cooler (quench)</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3</v>
      </c>
      <c r="R3718" s="12" t="n">
        <v>5</v>
      </c>
      <c r="S3718" s="12" t="inlineStr">
        <is>
          <t>Duct bank</t>
        </is>
      </c>
      <c r="T3718" s="16" t="n">
        <v>440</v>
      </c>
      <c r="U3718" s="16" t="n">
        <v>60</v>
      </c>
      <c r="V3718" s="16">
        <f>ROUNDUP((T3718+U3718+2*'Read Me'!$B$13)*(1+'Read Me'!$B$12),-1)</f>
        <v/>
      </c>
      <c r="W3718" s="16">
        <f>V3718*N3718*O3718</f>
        <v/>
      </c>
      <c r="X3718" s="12">
        <f>IF(LEFT(I3718,2)="MV",2*N3718*IF(L3718="1/C",O3718,1),0)</f>
        <v/>
      </c>
      <c r="Y3718" s="12">
        <f>IF(OR(LEFT(K3718,4)="LVAX",LEFT(K3718,6)="MV15AX",LEFT(K3718,4)="CTAX",LEFT(K3718,2)="W|"),2*N3718*O3718,0)</f>
        <v/>
      </c>
      <c r="Z3718" s="12" t="inlineStr">
        <is>
          <t>fixture-to-fixture run included</t>
        </is>
      </c>
      <c r="AA3718" s="12">
        <f>N3718*O3718</f>
        <v/>
      </c>
    </row>
    <row r="3719">
      <c r="A3719" s="12" t="inlineStr">
        <is>
          <t>G-P-0186</t>
        </is>
      </c>
      <c r="B3719" s="12" t="inlineStr">
        <is>
          <t>G</t>
        </is>
      </c>
      <c r="C3719" s="12" t="inlineStr">
        <is>
          <t>Carbon capture</t>
        </is>
      </c>
      <c r="D3719" s="12" t="inlineStr">
        <is>
          <t>Motor 1 of 2, 15 kW</t>
        </is>
      </c>
      <c r="E3719" s="12" t="inlineStr"/>
      <c r="F3719" s="12" t="inlineStr">
        <is>
          <t>CCS MV switchgear building (VFDs)</t>
        </is>
      </c>
      <c r="G3719" s="12" t="inlineStr">
        <is>
          <t>DMP-A</t>
        </is>
      </c>
      <c r="H3719" s="12" t="inlineStr">
        <is>
          <t>DMP-A: diverter / bypass damper</t>
        </is>
      </c>
      <c r="I3719" s="12" t="inlineStr">
        <is>
          <t>LV 600 V</t>
        </is>
      </c>
      <c r="J3719" s="12" t="inlineStr">
        <is>
          <t>Type TC-ER 600 V 3/C Cu XHHW-2 + ground, PVC jacket</t>
        </is>
      </c>
      <c r="K3719" s="12" t="inlineStr">
        <is>
          <t>LV|3/C+G|2</t>
        </is>
      </c>
      <c r="L3719" s="12" t="inlineStr">
        <is>
          <t>3/C+G</t>
        </is>
      </c>
      <c r="M3719" s="12" t="inlineStr">
        <is>
          <t>2</t>
        </is>
      </c>
      <c r="N3719" s="12" t="n">
        <v>1</v>
      </c>
      <c r="O3719" s="12" t="n">
        <v>1</v>
      </c>
      <c r="P3719" s="12" t="n">
        <v>480</v>
      </c>
      <c r="Q3719" s="12" t="n">
        <v>15</v>
      </c>
      <c r="R3719" s="12" t="n">
        <v>21.2</v>
      </c>
      <c r="S3719" s="12" t="inlineStr">
        <is>
          <t>Duct bank</t>
        </is>
      </c>
      <c r="T3719" s="16" t="n">
        <v>1436</v>
      </c>
      <c r="U3719" s="16" t="n">
        <v>124</v>
      </c>
      <c r="V3719" s="16">
        <f>ROUNDUP((T3719+U3719+2*'Read Me'!$B$13)*(1+'Read Me'!$B$12),-1)</f>
        <v/>
      </c>
      <c r="W3719" s="16">
        <f>V3719*N3719*O3719</f>
        <v/>
      </c>
      <c r="X3719" s="12">
        <f>IF(LEFT(I3719,2)="MV",2*N3719*IF(L3719="1/C",O3719,1),0)</f>
        <v/>
      </c>
      <c r="Y3719" s="12">
        <f>IF(OR(LEFT(K3719,4)="LVAX",LEFT(K3719,6)="MV15AX",LEFT(K3719,4)="CTAX",LEFT(K3719,2)="W|"),2*N3719*O3719,0)</f>
        <v/>
      </c>
      <c r="Z3719" s="12" t="inlineStr">
        <is>
          <t>VD 2.5 %</t>
        </is>
      </c>
      <c r="AA3719" s="12">
        <f>N3719*O3719</f>
        <v/>
      </c>
    </row>
    <row r="3720">
      <c r="A3720" s="12" t="inlineStr">
        <is>
          <t>G-P-0187</t>
        </is>
      </c>
      <c r="B3720" s="12" t="inlineStr">
        <is>
          <t>G</t>
        </is>
      </c>
      <c r="C3720" s="12" t="inlineStr">
        <is>
          <t>Carbon capture</t>
        </is>
      </c>
      <c r="D3720" s="12" t="inlineStr">
        <is>
          <t>Motor 2 of 2, 15 kW</t>
        </is>
      </c>
      <c r="E3720" s="12" t="inlineStr"/>
      <c r="F3720" s="12" t="inlineStr">
        <is>
          <t>CCS MV switchgear building (VFDs)</t>
        </is>
      </c>
      <c r="G3720" s="12" t="inlineStr">
        <is>
          <t>DMP-A</t>
        </is>
      </c>
      <c r="H3720" s="12" t="inlineStr">
        <is>
          <t>DMP-A: diverter / bypass damper</t>
        </is>
      </c>
      <c r="I3720" s="12" t="inlineStr">
        <is>
          <t>LV 600 V</t>
        </is>
      </c>
      <c r="J3720" s="12" t="inlineStr">
        <is>
          <t>Type TC-ER 600 V 3/C Cu XHHW-2 + ground, PVC jacket</t>
        </is>
      </c>
      <c r="K3720" s="12" t="inlineStr">
        <is>
          <t>LV|3/C+G|2</t>
        </is>
      </c>
      <c r="L3720" s="12" t="inlineStr">
        <is>
          <t>3/C+G</t>
        </is>
      </c>
      <c r="M3720" s="12" t="inlineStr">
        <is>
          <t>2</t>
        </is>
      </c>
      <c r="N3720" s="12" t="n">
        <v>1</v>
      </c>
      <c r="O3720" s="12" t="n">
        <v>1</v>
      </c>
      <c r="P3720" s="12" t="n">
        <v>480</v>
      </c>
      <c r="Q3720" s="12" t="n">
        <v>15</v>
      </c>
      <c r="R3720" s="12" t="n">
        <v>21.2</v>
      </c>
      <c r="S3720" s="12" t="inlineStr">
        <is>
          <t>Duct bank</t>
        </is>
      </c>
      <c r="T3720" s="16" t="n">
        <v>1436</v>
      </c>
      <c r="U3720" s="16" t="n">
        <v>124</v>
      </c>
      <c r="V3720" s="16">
        <f>ROUNDUP((T3720+U3720+2*'Read Me'!$B$13)*(1+'Read Me'!$B$12),-1)</f>
        <v/>
      </c>
      <c r="W3720" s="16">
        <f>V3720*N3720*O3720</f>
        <v/>
      </c>
      <c r="X3720" s="12">
        <f>IF(LEFT(I3720,2)="MV",2*N3720*IF(L3720="1/C",O3720,1),0)</f>
        <v/>
      </c>
      <c r="Y3720" s="12">
        <f>IF(OR(LEFT(K3720,4)="LVAX",LEFT(K3720,6)="MV15AX",LEFT(K3720,4)="CTAX",LEFT(K3720,2)="W|"),2*N3720*O3720,0)</f>
        <v/>
      </c>
      <c r="Z3720" s="12" t="inlineStr">
        <is>
          <t>VD 2.5 %</t>
        </is>
      </c>
      <c r="AA3720" s="12">
        <f>N3720*O3720</f>
        <v/>
      </c>
    </row>
    <row r="3721">
      <c r="A3721" s="12" t="inlineStr">
        <is>
          <t>G-P-0188</t>
        </is>
      </c>
      <c r="B3721" s="12" t="inlineStr">
        <is>
          <t>G</t>
        </is>
      </c>
      <c r="C3721" s="12" t="inlineStr">
        <is>
          <t>Carbon capture</t>
        </is>
      </c>
      <c r="D3721" s="12" t="inlineStr">
        <is>
          <t>Motor 1 of 2, 15 kW</t>
        </is>
      </c>
      <c r="E3721" s="12" t="inlineStr"/>
      <c r="F3721" s="12" t="inlineStr">
        <is>
          <t>CCS MV switchgear building (VFDs)</t>
        </is>
      </c>
      <c r="G3721" s="12" t="inlineStr">
        <is>
          <t>DMP-B</t>
        </is>
      </c>
      <c r="H3721" s="12" t="inlineStr">
        <is>
          <t>DMP-B: diverter / bypass damper</t>
        </is>
      </c>
      <c r="I3721" s="12" t="inlineStr">
        <is>
          <t>LV 600 V</t>
        </is>
      </c>
      <c r="J3721" s="12" t="inlineStr">
        <is>
          <t>Type TC-ER 600 V 3/C Cu XHHW-2 + ground, PVC jacket</t>
        </is>
      </c>
      <c r="K3721" s="12" t="inlineStr">
        <is>
          <t>LV|3/C+G|2</t>
        </is>
      </c>
      <c r="L3721" s="12" t="inlineStr">
        <is>
          <t>3/C+G</t>
        </is>
      </c>
      <c r="M3721" s="12" t="inlineStr">
        <is>
          <t>2</t>
        </is>
      </c>
      <c r="N3721" s="12" t="n">
        <v>1</v>
      </c>
      <c r="O3721" s="12" t="n">
        <v>1</v>
      </c>
      <c r="P3721" s="12" t="n">
        <v>480</v>
      </c>
      <c r="Q3721" s="12" t="n">
        <v>15</v>
      </c>
      <c r="R3721" s="12" t="n">
        <v>21.2</v>
      </c>
      <c r="S3721" s="12" t="inlineStr">
        <is>
          <t>Duct bank</t>
        </is>
      </c>
      <c r="T3721" s="16" t="n">
        <v>1280</v>
      </c>
      <c r="U3721" s="16" t="n">
        <v>120</v>
      </c>
      <c r="V3721" s="16">
        <f>ROUNDUP((T3721+U3721+2*'Read Me'!$B$13)*(1+'Read Me'!$B$12),-1)</f>
        <v/>
      </c>
      <c r="W3721" s="16">
        <f>V3721*N3721*O3721</f>
        <v/>
      </c>
      <c r="X3721" s="12">
        <f>IF(LEFT(I3721,2)="MV",2*N3721*IF(L3721="1/C",O3721,1),0)</f>
        <v/>
      </c>
      <c r="Y3721" s="12">
        <f>IF(OR(LEFT(K3721,4)="LVAX",LEFT(K3721,6)="MV15AX",LEFT(K3721,4)="CTAX",LEFT(K3721,2)="W|"),2*N3721*O3721,0)</f>
        <v/>
      </c>
      <c r="Z3721" s="12" t="inlineStr">
        <is>
          <t>VD 2.3 %</t>
        </is>
      </c>
      <c r="AA3721" s="12">
        <f>N3721*O3721</f>
        <v/>
      </c>
    </row>
    <row r="3722">
      <c r="A3722" s="12" t="inlineStr">
        <is>
          <t>G-P-0189</t>
        </is>
      </c>
      <c r="B3722" s="12" t="inlineStr">
        <is>
          <t>G</t>
        </is>
      </c>
      <c r="C3722" s="12" t="inlineStr">
        <is>
          <t>Carbon capture</t>
        </is>
      </c>
      <c r="D3722" s="12" t="inlineStr">
        <is>
          <t>Motor 2 of 2, 15 kW</t>
        </is>
      </c>
      <c r="E3722" s="12" t="inlineStr"/>
      <c r="F3722" s="12" t="inlineStr">
        <is>
          <t>CCS MV switchgear building (VFDs)</t>
        </is>
      </c>
      <c r="G3722" s="12" t="inlineStr">
        <is>
          <t>DMP-B</t>
        </is>
      </c>
      <c r="H3722" s="12" t="inlineStr">
        <is>
          <t>DMP-B: diverter / bypass damper</t>
        </is>
      </c>
      <c r="I3722" s="12" t="inlineStr">
        <is>
          <t>LV 600 V</t>
        </is>
      </c>
      <c r="J3722" s="12" t="inlineStr">
        <is>
          <t>Type TC-ER 600 V 3/C Cu XHHW-2 + ground, PVC jacket</t>
        </is>
      </c>
      <c r="K3722" s="12" t="inlineStr">
        <is>
          <t>LV|3/C+G|2</t>
        </is>
      </c>
      <c r="L3722" s="12" t="inlineStr">
        <is>
          <t>3/C+G</t>
        </is>
      </c>
      <c r="M3722" s="12" t="inlineStr">
        <is>
          <t>2</t>
        </is>
      </c>
      <c r="N3722" s="12" t="n">
        <v>1</v>
      </c>
      <c r="O3722" s="12" t="n">
        <v>1</v>
      </c>
      <c r="P3722" s="12" t="n">
        <v>480</v>
      </c>
      <c r="Q3722" s="12" t="n">
        <v>15</v>
      </c>
      <c r="R3722" s="12" t="n">
        <v>21.2</v>
      </c>
      <c r="S3722" s="12" t="inlineStr">
        <is>
          <t>Duct bank</t>
        </is>
      </c>
      <c r="T3722" s="16" t="n">
        <v>1280</v>
      </c>
      <c r="U3722" s="16" t="n">
        <v>120</v>
      </c>
      <c r="V3722" s="16">
        <f>ROUNDUP((T3722+U3722+2*'Read Me'!$B$13)*(1+'Read Me'!$B$12),-1)</f>
        <v/>
      </c>
      <c r="W3722" s="16">
        <f>V3722*N3722*O3722</f>
        <v/>
      </c>
      <c r="X3722" s="12">
        <f>IF(LEFT(I3722,2)="MV",2*N3722*IF(L3722="1/C",O3722,1),0)</f>
        <v/>
      </c>
      <c r="Y3722" s="12">
        <f>IF(OR(LEFT(K3722,4)="LVAX",LEFT(K3722,6)="MV15AX",LEFT(K3722,4)="CTAX",LEFT(K3722,2)="W|"),2*N3722*O3722,0)</f>
        <v/>
      </c>
      <c r="Z3722" s="12" t="inlineStr">
        <is>
          <t>VD 2.3 %</t>
        </is>
      </c>
      <c r="AA3722" s="12">
        <f>N3722*O3722</f>
        <v/>
      </c>
    </row>
    <row r="3723">
      <c r="A3723" s="12" t="inlineStr">
        <is>
          <t>G-P-0190</t>
        </is>
      </c>
      <c r="B3723" s="12" t="inlineStr">
        <is>
          <t>G</t>
        </is>
      </c>
      <c r="C3723" s="12" t="inlineStr">
        <is>
          <t>Carbon capture</t>
        </is>
      </c>
      <c r="D3723" s="12" t="inlineStr">
        <is>
          <t>Motor 1 of 2, 15 kW</t>
        </is>
      </c>
      <c r="E3723" s="12" t="inlineStr"/>
      <c r="F3723" s="12" t="inlineStr">
        <is>
          <t>CCS MV switchgear building (VFDs)</t>
        </is>
      </c>
      <c r="G3723" s="12" t="inlineStr">
        <is>
          <t>DMP-C</t>
        </is>
      </c>
      <c r="H3723" s="12" t="inlineStr">
        <is>
          <t>DMP-C: diverter / bypass damper</t>
        </is>
      </c>
      <c r="I3723" s="12" t="inlineStr">
        <is>
          <t>LV 600 V</t>
        </is>
      </c>
      <c r="J3723" s="12" t="inlineStr">
        <is>
          <t>Type TC-ER 600 V 3/C Cu XHHW-2 + ground, PVC jacket</t>
        </is>
      </c>
      <c r="K3723" s="12" t="inlineStr">
        <is>
          <t>LV|3/C+G|2</t>
        </is>
      </c>
      <c r="L3723" s="12" t="inlineStr">
        <is>
          <t>3/C+G</t>
        </is>
      </c>
      <c r="M3723" s="12" t="inlineStr">
        <is>
          <t>2</t>
        </is>
      </c>
      <c r="N3723" s="12" t="n">
        <v>1</v>
      </c>
      <c r="O3723" s="12" t="n">
        <v>1</v>
      </c>
      <c r="P3723" s="12" t="n">
        <v>480</v>
      </c>
      <c r="Q3723" s="12" t="n">
        <v>15</v>
      </c>
      <c r="R3723" s="12" t="n">
        <v>21.2</v>
      </c>
      <c r="S3723" s="12" t="inlineStr">
        <is>
          <t>Duct bank</t>
        </is>
      </c>
      <c r="T3723" s="16" t="n">
        <v>1116</v>
      </c>
      <c r="U3723" s="16" t="n">
        <v>124</v>
      </c>
      <c r="V3723" s="16">
        <f>ROUNDUP((T3723+U3723+2*'Read Me'!$B$13)*(1+'Read Me'!$B$12),-1)</f>
        <v/>
      </c>
      <c r="W3723" s="16">
        <f>V3723*N3723*O3723</f>
        <v/>
      </c>
      <c r="X3723" s="12">
        <f>IF(LEFT(I3723,2)="MV",2*N3723*IF(L3723="1/C",O3723,1),0)</f>
        <v/>
      </c>
      <c r="Y3723" s="12">
        <f>IF(OR(LEFT(K3723,4)="LVAX",LEFT(K3723,6)="MV15AX",LEFT(K3723,4)="CTAX",LEFT(K3723,2)="W|"),2*N3723*O3723,0)</f>
        <v/>
      </c>
      <c r="Z3723" s="12" t="inlineStr">
        <is>
          <t>VD 2.0 %</t>
        </is>
      </c>
      <c r="AA3723" s="12">
        <f>N3723*O3723</f>
        <v/>
      </c>
    </row>
    <row r="3724">
      <c r="A3724" s="12" t="inlineStr">
        <is>
          <t>G-P-0191</t>
        </is>
      </c>
      <c r="B3724" s="12" t="inlineStr">
        <is>
          <t>G</t>
        </is>
      </c>
      <c r="C3724" s="12" t="inlineStr">
        <is>
          <t>Carbon capture</t>
        </is>
      </c>
      <c r="D3724" s="12" t="inlineStr">
        <is>
          <t>Motor 2 of 2, 15 kW</t>
        </is>
      </c>
      <c r="E3724" s="12" t="inlineStr"/>
      <c r="F3724" s="12" t="inlineStr">
        <is>
          <t>CCS MV switchgear building (VFDs)</t>
        </is>
      </c>
      <c r="G3724" s="12" t="inlineStr">
        <is>
          <t>DMP-C</t>
        </is>
      </c>
      <c r="H3724" s="12" t="inlineStr">
        <is>
          <t>DMP-C: diverter / bypass damper</t>
        </is>
      </c>
      <c r="I3724" s="12" t="inlineStr">
        <is>
          <t>LV 600 V</t>
        </is>
      </c>
      <c r="J3724" s="12" t="inlineStr">
        <is>
          <t>Type TC-ER 600 V 3/C Cu XHHW-2 + ground, PVC jacket</t>
        </is>
      </c>
      <c r="K3724" s="12" t="inlineStr">
        <is>
          <t>LV|3/C+G|2</t>
        </is>
      </c>
      <c r="L3724" s="12" t="inlineStr">
        <is>
          <t>3/C+G</t>
        </is>
      </c>
      <c r="M3724" s="12" t="inlineStr">
        <is>
          <t>2</t>
        </is>
      </c>
      <c r="N3724" s="12" t="n">
        <v>1</v>
      </c>
      <c r="O3724" s="12" t="n">
        <v>1</v>
      </c>
      <c r="P3724" s="12" t="n">
        <v>480</v>
      </c>
      <c r="Q3724" s="12" t="n">
        <v>15</v>
      </c>
      <c r="R3724" s="12" t="n">
        <v>21.2</v>
      </c>
      <c r="S3724" s="12" t="inlineStr">
        <is>
          <t>Duct bank</t>
        </is>
      </c>
      <c r="T3724" s="16" t="n">
        <v>1116</v>
      </c>
      <c r="U3724" s="16" t="n">
        <v>124</v>
      </c>
      <c r="V3724" s="16">
        <f>ROUNDUP((T3724+U3724+2*'Read Me'!$B$13)*(1+'Read Me'!$B$12),-1)</f>
        <v/>
      </c>
      <c r="W3724" s="16">
        <f>V3724*N3724*O3724</f>
        <v/>
      </c>
      <c r="X3724" s="12">
        <f>IF(LEFT(I3724,2)="MV",2*N3724*IF(L3724="1/C",O3724,1),0)</f>
        <v/>
      </c>
      <c r="Y3724" s="12">
        <f>IF(OR(LEFT(K3724,4)="LVAX",LEFT(K3724,6)="MV15AX",LEFT(K3724,4)="CTAX",LEFT(K3724,2)="W|"),2*N3724*O3724,0)</f>
        <v/>
      </c>
      <c r="Z3724" s="12" t="inlineStr">
        <is>
          <t>VD 2.0 %</t>
        </is>
      </c>
      <c r="AA3724" s="12">
        <f>N3724*O3724</f>
        <v/>
      </c>
    </row>
    <row r="3725">
      <c r="A3725" s="12" t="inlineStr">
        <is>
          <t>G-P-0192</t>
        </is>
      </c>
      <c r="B3725" s="12" t="inlineStr">
        <is>
          <t>G</t>
        </is>
      </c>
      <c r="C3725" s="12" t="inlineStr">
        <is>
          <t>Carbon capture</t>
        </is>
      </c>
      <c r="D3725" s="12" t="inlineStr">
        <is>
          <t>MOV 1: power</t>
        </is>
      </c>
      <c r="E3725" s="12" t="inlineStr"/>
      <c r="F3725" s="12" t="inlineStr">
        <is>
          <t>CCS MV switchgear building (VFDs)</t>
        </is>
      </c>
      <c r="G3725" s="12" t="inlineStr"/>
      <c r="H3725" s="12" t="inlineStr">
        <is>
          <t>RB-A: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50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is>
          <t>VD 0.1 %</t>
        </is>
      </c>
      <c r="AA3725" s="12">
        <f>N3725*O3725</f>
        <v/>
      </c>
    </row>
    <row r="3726">
      <c r="A3726" s="12" t="inlineStr">
        <is>
          <t>G-P-0193</t>
        </is>
      </c>
      <c r="B3726" s="12" t="inlineStr">
        <is>
          <t>G</t>
        </is>
      </c>
      <c r="C3726" s="12" t="inlineStr">
        <is>
          <t>Carbon capture</t>
        </is>
      </c>
      <c r="D3726" s="12" t="inlineStr">
        <is>
          <t>MOV 2: power</t>
        </is>
      </c>
      <c r="E3726" s="12" t="inlineStr"/>
      <c r="F3726" s="12" t="inlineStr">
        <is>
          <t>CCS MV switchgear building (VFDs)</t>
        </is>
      </c>
      <c r="G3726" s="12" t="inlineStr"/>
      <c r="H3726" s="12" t="inlineStr">
        <is>
          <t>RB-A: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2.5</v>
      </c>
      <c r="R3726" s="12" t="n">
        <v>3.5</v>
      </c>
      <c r="S3726" s="12" t="inlineStr">
        <is>
          <t>Duct bank</t>
        </is>
      </c>
      <c r="T3726" s="16" t="n">
        <v>50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is>
          <t>VD 0.1 %</t>
        </is>
      </c>
      <c r="AA3726" s="12">
        <f>N3726*O3726</f>
        <v/>
      </c>
    </row>
    <row r="3727">
      <c r="A3727" s="12" t="inlineStr">
        <is>
          <t>G-P-0194</t>
        </is>
      </c>
      <c r="B3727" s="12" t="inlineStr">
        <is>
          <t>G</t>
        </is>
      </c>
      <c r="C3727" s="12" t="inlineStr">
        <is>
          <t>Carbon capture</t>
        </is>
      </c>
      <c r="D3727" s="12" t="inlineStr">
        <is>
          <t>MOV 3: power</t>
        </is>
      </c>
      <c r="E3727" s="12" t="inlineStr"/>
      <c r="F3727" s="12" t="inlineStr">
        <is>
          <t>CCS MV switchgear building (VFDs)</t>
        </is>
      </c>
      <c r="G3727" s="12" t="inlineStr"/>
      <c r="H3727" s="12" t="inlineStr">
        <is>
          <t>RB-A: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50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is>
          <t>VD 0.1 %</t>
        </is>
      </c>
      <c r="AA3727" s="12">
        <f>N3727*O3727</f>
        <v/>
      </c>
    </row>
    <row r="3728">
      <c r="A3728" s="12" t="inlineStr">
        <is>
          <t>G-P-0195</t>
        </is>
      </c>
      <c r="B3728" s="12" t="inlineStr">
        <is>
          <t>G</t>
        </is>
      </c>
      <c r="C3728" s="12" t="inlineStr">
        <is>
          <t>Carbon capture</t>
        </is>
      </c>
      <c r="D3728" s="12" t="inlineStr">
        <is>
          <t>MOV 4: power</t>
        </is>
      </c>
      <c r="E3728" s="12" t="inlineStr"/>
      <c r="F3728" s="12" t="inlineStr">
        <is>
          <t>CCS MV switchgear building (VFDs)</t>
        </is>
      </c>
      <c r="G3728" s="12" t="inlineStr"/>
      <c r="H3728" s="12" t="inlineStr">
        <is>
          <t>RB-A: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50</v>
      </c>
      <c r="U3728" s="16" t="n">
        <v>37</v>
      </c>
      <c r="V3728" s="16">
        <f>ROUNDUP((T3728+U3728+2*'Read Me'!$B$13)*(1+'Read Me'!$B$12),-1)</f>
        <v/>
      </c>
      <c r="W3728" s="16">
        <f>V3728*N3728*O3728</f>
        <v/>
      </c>
      <c r="X3728" s="12">
        <f>IF(LEFT(I3728,2)="MV",2*N3728*IF(L3728="1/C",O3728,1),0)</f>
        <v/>
      </c>
      <c r="Y3728" s="12">
        <f>IF(OR(LEFT(K3728,4)="LVAX",LEFT(K3728,6)="MV15AX",LEFT(K3728,4)="CTAX",LEFT(K3728,2)="W|"),2*N3728*O3728,0)</f>
        <v/>
      </c>
      <c r="Z3728" s="12" t="inlineStr">
        <is>
          <t>VD 0.1 %</t>
        </is>
      </c>
      <c r="AA3728" s="12">
        <f>N3728*O3728</f>
        <v/>
      </c>
    </row>
    <row r="3729">
      <c r="A3729" s="12" t="inlineStr">
        <is>
          <t>G-P-0196</t>
        </is>
      </c>
      <c r="B3729" s="12" t="inlineStr">
        <is>
          <t>G</t>
        </is>
      </c>
      <c r="C3729" s="12" t="inlineStr">
        <is>
          <t>Carbon capture</t>
        </is>
      </c>
      <c r="D3729" s="12" t="inlineStr">
        <is>
          <t>LV power feeder</t>
        </is>
      </c>
      <c r="E3729" s="12" t="inlineStr"/>
      <c r="F3729" s="12" t="inlineStr">
        <is>
          <t>CCS MV switchgear building (VFDs)</t>
        </is>
      </c>
      <c r="G3729" s="12" t="inlineStr"/>
      <c r="H3729" s="12" t="inlineStr">
        <is>
          <t>RB-A: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10</v>
      </c>
      <c r="R3729" s="12" t="n">
        <v>14.2</v>
      </c>
      <c r="S3729" s="12" t="inlineStr">
        <is>
          <t>Duct bank</t>
        </is>
      </c>
      <c r="T3729" s="16" t="n">
        <v>50</v>
      </c>
      <c r="U3729" s="16" t="n">
        <v>37</v>
      </c>
      <c r="V3729" s="16">
        <f>ROUNDUP((T3729+U3729+2*'Read Me'!$B$13)*(1+'Read Me'!$B$12),-1)</f>
        <v/>
      </c>
      <c r="W3729" s="16">
        <f>V3729*N3729*O3729</f>
        <v/>
      </c>
      <c r="X3729" s="12">
        <f>IF(LEFT(I3729,2)="MV",2*N3729*IF(L3729="1/C",O3729,1),0)</f>
        <v/>
      </c>
      <c r="Y3729" s="12">
        <f>IF(OR(LEFT(K3729,4)="LVAX",LEFT(K3729,6)="MV15AX",LEFT(K3729,4)="CTAX",LEFT(K3729,2)="W|"),2*N3729*O3729,0)</f>
        <v/>
      </c>
      <c r="Z3729" s="12" t="inlineStr">
        <is>
          <t>VD 0.6 %</t>
        </is>
      </c>
      <c r="AA3729" s="12">
        <f>N3729*O3729</f>
        <v/>
      </c>
    </row>
    <row r="3730">
      <c r="A3730" s="12" t="inlineStr">
        <is>
          <t>G-P-0197</t>
        </is>
      </c>
      <c r="B3730" s="12" t="inlineStr">
        <is>
          <t>G</t>
        </is>
      </c>
      <c r="C3730" s="12" t="inlineStr">
        <is>
          <t>Carbon capture</t>
        </is>
      </c>
      <c r="D3730" s="12" t="inlineStr">
        <is>
          <t>MOV 1: power</t>
        </is>
      </c>
      <c r="E3730" s="12" t="inlineStr"/>
      <c r="F3730" s="12" t="inlineStr">
        <is>
          <t>CCS MV switchgear building (VFDs)</t>
        </is>
      </c>
      <c r="G3730" s="12" t="inlineStr"/>
      <c r="H3730" s="12" t="inlineStr">
        <is>
          <t>RB-B: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83</v>
      </c>
      <c r="U3730" s="16" t="n">
        <v>42</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G-P-0198</t>
        </is>
      </c>
      <c r="B3731" s="12" t="inlineStr">
        <is>
          <t>G</t>
        </is>
      </c>
      <c r="C3731" s="12" t="inlineStr">
        <is>
          <t>Carbon capture</t>
        </is>
      </c>
      <c r="D3731" s="12" t="inlineStr">
        <is>
          <t>MOV 2: power</t>
        </is>
      </c>
      <c r="E3731" s="12" t="inlineStr"/>
      <c r="F3731" s="12" t="inlineStr">
        <is>
          <t>CCS MV switchgear building (VFDs)</t>
        </is>
      </c>
      <c r="G3731" s="12" t="inlineStr"/>
      <c r="H3731" s="12" t="inlineStr">
        <is>
          <t>RB-B: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2.5</v>
      </c>
      <c r="R3731" s="12" t="n">
        <v>3.5</v>
      </c>
      <c r="S3731" s="12" t="inlineStr">
        <is>
          <t>Duct bank</t>
        </is>
      </c>
      <c r="T3731" s="16" t="n">
        <v>83</v>
      </c>
      <c r="U3731" s="16" t="n">
        <v>42</v>
      </c>
      <c r="V3731" s="16">
        <f>ROUNDUP((T3731+U3731+2*'Read Me'!$B$13)*(1+'Read Me'!$B$12),-1)</f>
        <v/>
      </c>
      <c r="W3731" s="16">
        <f>V3731*N3731*O3731</f>
        <v/>
      </c>
      <c r="X3731" s="12">
        <f>IF(LEFT(I3731,2)="MV",2*N3731*IF(L3731="1/C",O3731,1),0)</f>
        <v/>
      </c>
      <c r="Y3731" s="12">
        <f>IF(OR(LEFT(K3731,4)="LVAX",LEFT(K3731,6)="MV15AX",LEFT(K3731,4)="CTAX",LEFT(K3731,2)="W|"),2*N3731*O3731,0)</f>
        <v/>
      </c>
      <c r="Z3731" s="12" t="inlineStr">
        <is>
          <t>VD 0.2 %</t>
        </is>
      </c>
      <c r="AA3731" s="12">
        <f>N3731*O3731</f>
        <v/>
      </c>
    </row>
    <row r="3732">
      <c r="A3732" s="12" t="inlineStr">
        <is>
          <t>G-P-0199</t>
        </is>
      </c>
      <c r="B3732" s="12" t="inlineStr">
        <is>
          <t>G</t>
        </is>
      </c>
      <c r="C3732" s="12" t="inlineStr">
        <is>
          <t>Carbon capture</t>
        </is>
      </c>
      <c r="D3732" s="12" t="inlineStr">
        <is>
          <t>MOV 3: power</t>
        </is>
      </c>
      <c r="E3732" s="12" t="inlineStr"/>
      <c r="F3732" s="12" t="inlineStr">
        <is>
          <t>CCS MV switchgear building (VFDs)</t>
        </is>
      </c>
      <c r="G3732" s="12" t="inlineStr"/>
      <c r="H3732" s="12" t="inlineStr">
        <is>
          <t>RB-B: reboiler (LP steam from ST extraction)</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2.5</v>
      </c>
      <c r="R3732" s="12" t="n">
        <v>3.5</v>
      </c>
      <c r="S3732" s="12" t="inlineStr">
        <is>
          <t>Duct bank</t>
        </is>
      </c>
      <c r="T3732" s="16" t="n">
        <v>83</v>
      </c>
      <c r="U3732" s="16" t="n">
        <v>42</v>
      </c>
      <c r="V3732" s="16">
        <f>ROUNDUP((T3732+U3732+2*'Read Me'!$B$13)*(1+'Read Me'!$B$12),-1)</f>
        <v/>
      </c>
      <c r="W3732" s="16">
        <f>V3732*N3732*O3732</f>
        <v/>
      </c>
      <c r="X3732" s="12">
        <f>IF(LEFT(I3732,2)="MV",2*N3732*IF(L3732="1/C",O3732,1),0)</f>
        <v/>
      </c>
      <c r="Y3732" s="12">
        <f>IF(OR(LEFT(K3732,4)="LVAX",LEFT(K3732,6)="MV15AX",LEFT(K3732,4)="CTAX",LEFT(K3732,2)="W|"),2*N3732*O3732,0)</f>
        <v/>
      </c>
      <c r="Z3732" s="12" t="inlineStr">
        <is>
          <t>VD 0.2 %</t>
        </is>
      </c>
      <c r="AA3732" s="12">
        <f>N3732*O3732</f>
        <v/>
      </c>
    </row>
    <row r="3733">
      <c r="A3733" s="12" t="inlineStr">
        <is>
          <t>G-P-0200</t>
        </is>
      </c>
      <c r="B3733" s="12" t="inlineStr">
        <is>
          <t>G</t>
        </is>
      </c>
      <c r="C3733" s="12" t="inlineStr">
        <is>
          <t>Carbon capture</t>
        </is>
      </c>
      <c r="D3733" s="12" t="inlineStr">
        <is>
          <t>MOV 4: power</t>
        </is>
      </c>
      <c r="E3733" s="12" t="inlineStr"/>
      <c r="F3733" s="12" t="inlineStr">
        <is>
          <t>CCS MV switchgear building (VFDs)</t>
        </is>
      </c>
      <c r="G3733" s="12" t="inlineStr"/>
      <c r="H3733" s="12" t="inlineStr">
        <is>
          <t>RB-B: reboiler (LP steam from ST extraction)</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2.5</v>
      </c>
      <c r="R3733" s="12" t="n">
        <v>3.5</v>
      </c>
      <c r="S3733" s="12" t="inlineStr">
        <is>
          <t>Duct bank</t>
        </is>
      </c>
      <c r="T3733" s="16" t="n">
        <v>83</v>
      </c>
      <c r="U3733" s="16" t="n">
        <v>42</v>
      </c>
      <c r="V3733" s="16">
        <f>ROUNDUP((T3733+U3733+2*'Read Me'!$B$13)*(1+'Read Me'!$B$12),-1)</f>
        <v/>
      </c>
      <c r="W3733" s="16">
        <f>V3733*N3733*O3733</f>
        <v/>
      </c>
      <c r="X3733" s="12">
        <f>IF(LEFT(I3733,2)="MV",2*N3733*IF(L3733="1/C",O3733,1),0)</f>
        <v/>
      </c>
      <c r="Y3733" s="12">
        <f>IF(OR(LEFT(K3733,4)="LVAX",LEFT(K3733,6)="MV15AX",LEFT(K3733,4)="CTAX",LEFT(K3733,2)="W|"),2*N3733*O3733,0)</f>
        <v/>
      </c>
      <c r="Z3733" s="12" t="inlineStr">
        <is>
          <t>VD 0.2 %</t>
        </is>
      </c>
      <c r="AA3733" s="12">
        <f>N3733*O3733</f>
        <v/>
      </c>
    </row>
    <row r="3734">
      <c r="A3734" s="12" t="inlineStr">
        <is>
          <t>G-P-0201</t>
        </is>
      </c>
      <c r="B3734" s="12" t="inlineStr">
        <is>
          <t>G</t>
        </is>
      </c>
      <c r="C3734" s="12" t="inlineStr">
        <is>
          <t>Carbon capture</t>
        </is>
      </c>
      <c r="D3734" s="12" t="inlineStr">
        <is>
          <t>LV power feeder</t>
        </is>
      </c>
      <c r="E3734" s="12" t="inlineStr"/>
      <c r="F3734" s="12" t="inlineStr">
        <is>
          <t>CCS MV switchgear building (VFDs)</t>
        </is>
      </c>
      <c r="G3734" s="12" t="inlineStr"/>
      <c r="H3734" s="12" t="inlineStr">
        <is>
          <t>RB-B: reboiler (LP steam from ST extraction)</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10</v>
      </c>
      <c r="R3734" s="12" t="n">
        <v>14.2</v>
      </c>
      <c r="S3734" s="12" t="inlineStr">
        <is>
          <t>Duct bank</t>
        </is>
      </c>
      <c r="T3734" s="16" t="n">
        <v>83</v>
      </c>
      <c r="U3734" s="16" t="n">
        <v>42</v>
      </c>
      <c r="V3734" s="16">
        <f>ROUNDUP((T3734+U3734+2*'Read Me'!$B$13)*(1+'Read Me'!$B$12),-1)</f>
        <v/>
      </c>
      <c r="W3734" s="16">
        <f>V3734*N3734*O3734</f>
        <v/>
      </c>
      <c r="X3734" s="12">
        <f>IF(LEFT(I3734,2)="MV",2*N3734*IF(L3734="1/C",O3734,1),0)</f>
        <v/>
      </c>
      <c r="Y3734" s="12">
        <f>IF(OR(LEFT(K3734,4)="LVAX",LEFT(K3734,6)="MV15AX",LEFT(K3734,4)="CTAX",LEFT(K3734,2)="W|"),2*N3734*O3734,0)</f>
        <v/>
      </c>
      <c r="Z3734" s="12" t="inlineStr">
        <is>
          <t>VD 0.8 %</t>
        </is>
      </c>
      <c r="AA3734" s="12">
        <f>N3734*O3734</f>
        <v/>
      </c>
    </row>
    <row r="3735">
      <c r="A3735" s="12" t="inlineStr">
        <is>
          <t>G-P-0202</t>
        </is>
      </c>
      <c r="B3735" s="12" t="inlineStr">
        <is>
          <t>G</t>
        </is>
      </c>
      <c r="C3735" s="12" t="inlineStr">
        <is>
          <t>Carbon capture</t>
        </is>
      </c>
      <c r="D3735" s="12" t="inlineStr">
        <is>
          <t>MOV 1: power</t>
        </is>
      </c>
      <c r="E3735" s="12" t="inlineStr"/>
      <c r="F3735" s="12" t="inlineStr">
        <is>
          <t>CCS MV switchgear building (VFDs)</t>
        </is>
      </c>
      <c r="G3735" s="12" t="inlineStr"/>
      <c r="H3735" s="12" t="inlineStr">
        <is>
          <t>RB-C: reboiler (LP steam from ST extraction)</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45</v>
      </c>
      <c r="U3735" s="16" t="n">
        <v>47</v>
      </c>
      <c r="V3735" s="16">
        <f>ROUNDUP((T3735+U3735+2*'Read Me'!$B$13)*(1+'Read Me'!$B$12),-1)</f>
        <v/>
      </c>
      <c r="W3735" s="16">
        <f>V3735*N3735*O3735</f>
        <v/>
      </c>
      <c r="X3735" s="12">
        <f>IF(LEFT(I3735,2)="MV",2*N3735*IF(L3735="1/C",O3735,1),0)</f>
        <v/>
      </c>
      <c r="Y3735" s="12">
        <f>IF(OR(LEFT(K3735,4)="LVAX",LEFT(K3735,6)="MV15AX",LEFT(K3735,4)="CTAX",LEFT(K3735,2)="W|"),2*N3735*O3735,0)</f>
        <v/>
      </c>
      <c r="Z3735" s="12" t="inlineStr">
        <is>
          <t>VD 0.2 %</t>
        </is>
      </c>
      <c r="AA3735" s="12">
        <f>N3735*O3735</f>
        <v/>
      </c>
    </row>
    <row r="3736">
      <c r="A3736" s="12" t="inlineStr">
        <is>
          <t>G-P-0203</t>
        </is>
      </c>
      <c r="B3736" s="12" t="inlineStr">
        <is>
          <t>G</t>
        </is>
      </c>
      <c r="C3736" s="12" t="inlineStr">
        <is>
          <t>Carbon capture</t>
        </is>
      </c>
      <c r="D3736" s="12" t="inlineStr">
        <is>
          <t>MOV 2: power</t>
        </is>
      </c>
      <c r="E3736" s="12" t="inlineStr"/>
      <c r="F3736" s="12" t="inlineStr">
        <is>
          <t>CCS MV switchgear building (VFDs)</t>
        </is>
      </c>
      <c r="G3736" s="12" t="inlineStr"/>
      <c r="H3736" s="12" t="inlineStr">
        <is>
          <t>RB-C: reboiler (LP steam from ST extraction)</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45</v>
      </c>
      <c r="U3736" s="16" t="n">
        <v>47</v>
      </c>
      <c r="V3736" s="16">
        <f>ROUNDUP((T3736+U3736+2*'Read Me'!$B$13)*(1+'Read Me'!$B$12),-1)</f>
        <v/>
      </c>
      <c r="W3736" s="16">
        <f>V3736*N3736*O3736</f>
        <v/>
      </c>
      <c r="X3736" s="12">
        <f>IF(LEFT(I3736,2)="MV",2*N3736*IF(L3736="1/C",O3736,1),0)</f>
        <v/>
      </c>
      <c r="Y3736" s="12">
        <f>IF(OR(LEFT(K3736,4)="LVAX",LEFT(K3736,6)="MV15AX",LEFT(K3736,4)="CTAX",LEFT(K3736,2)="W|"),2*N3736*O3736,0)</f>
        <v/>
      </c>
      <c r="Z3736" s="12" t="inlineStr">
        <is>
          <t>VD 0.2 %</t>
        </is>
      </c>
      <c r="AA3736" s="12">
        <f>N3736*O3736</f>
        <v/>
      </c>
    </row>
    <row r="3737">
      <c r="A3737" s="12" t="inlineStr">
        <is>
          <t>G-P-0204</t>
        </is>
      </c>
      <c r="B3737" s="12" t="inlineStr">
        <is>
          <t>G</t>
        </is>
      </c>
      <c r="C3737" s="12" t="inlineStr">
        <is>
          <t>Carbon capture</t>
        </is>
      </c>
      <c r="D3737" s="12" t="inlineStr">
        <is>
          <t>MOV 3: power</t>
        </is>
      </c>
      <c r="E3737" s="12" t="inlineStr"/>
      <c r="F3737" s="12" t="inlineStr">
        <is>
          <t>CCS MV switchgear building (VFDs)</t>
        </is>
      </c>
      <c r="G3737" s="12" t="inlineStr"/>
      <c r="H3737" s="12" t="inlineStr">
        <is>
          <t>RB-C: reboiler (LP steam from ST extraction)</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45</v>
      </c>
      <c r="U3737" s="16" t="n">
        <v>47</v>
      </c>
      <c r="V3737" s="16">
        <f>ROUNDUP((T3737+U3737+2*'Read Me'!$B$13)*(1+'Read Me'!$B$12),-1)</f>
        <v/>
      </c>
      <c r="W3737" s="16">
        <f>V3737*N3737*O3737</f>
        <v/>
      </c>
      <c r="X3737" s="12">
        <f>IF(LEFT(I3737,2)="MV",2*N3737*IF(L3737="1/C",O3737,1),0)</f>
        <v/>
      </c>
      <c r="Y3737" s="12">
        <f>IF(OR(LEFT(K3737,4)="LVAX",LEFT(K3737,6)="MV15AX",LEFT(K3737,4)="CTAX",LEFT(K3737,2)="W|"),2*N3737*O3737,0)</f>
        <v/>
      </c>
      <c r="Z3737" s="12" t="inlineStr">
        <is>
          <t>VD 0.2 %</t>
        </is>
      </c>
      <c r="AA3737" s="12">
        <f>N3737*O3737</f>
        <v/>
      </c>
    </row>
    <row r="3738">
      <c r="A3738" s="12" t="inlineStr">
        <is>
          <t>G-P-0205</t>
        </is>
      </c>
      <c r="B3738" s="12" t="inlineStr">
        <is>
          <t>G</t>
        </is>
      </c>
      <c r="C3738" s="12" t="inlineStr">
        <is>
          <t>Carbon capture</t>
        </is>
      </c>
      <c r="D3738" s="12" t="inlineStr">
        <is>
          <t>MOV 4: power</t>
        </is>
      </c>
      <c r="E3738" s="12" t="inlineStr"/>
      <c r="F3738" s="12" t="inlineStr">
        <is>
          <t>CCS MV switchgear building (VFDs)</t>
        </is>
      </c>
      <c r="G3738" s="12" t="inlineStr"/>
      <c r="H3738" s="12" t="inlineStr">
        <is>
          <t>RB-C: reboiler (LP steam from ST extraction)</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45</v>
      </c>
      <c r="U3738" s="16" t="n">
        <v>47</v>
      </c>
      <c r="V3738" s="16">
        <f>ROUNDUP((T3738+U3738+2*'Read Me'!$B$13)*(1+'Read Me'!$B$12),-1)</f>
        <v/>
      </c>
      <c r="W3738" s="16">
        <f>V3738*N3738*O3738</f>
        <v/>
      </c>
      <c r="X3738" s="12">
        <f>IF(LEFT(I3738,2)="MV",2*N3738*IF(L3738="1/C",O3738,1),0)</f>
        <v/>
      </c>
      <c r="Y3738" s="12">
        <f>IF(OR(LEFT(K3738,4)="LVAX",LEFT(K3738,6)="MV15AX",LEFT(K3738,4)="CTAX",LEFT(K3738,2)="W|"),2*N3738*O3738,0)</f>
        <v/>
      </c>
      <c r="Z3738" s="12" t="inlineStr">
        <is>
          <t>VD 0.2 %</t>
        </is>
      </c>
      <c r="AA3738" s="12">
        <f>N3738*O3738</f>
        <v/>
      </c>
    </row>
    <row r="3739">
      <c r="A3739" s="12" t="inlineStr">
        <is>
          <t>G-P-0206</t>
        </is>
      </c>
      <c r="B3739" s="12" t="inlineStr">
        <is>
          <t>G</t>
        </is>
      </c>
      <c r="C3739" s="12" t="inlineStr">
        <is>
          <t>Carbon capture</t>
        </is>
      </c>
      <c r="D3739" s="12" t="inlineStr">
        <is>
          <t>LV power feeder</t>
        </is>
      </c>
      <c r="E3739" s="12" t="inlineStr"/>
      <c r="F3739" s="12" t="inlineStr">
        <is>
          <t>CCS MV switchgear building (VFDs)</t>
        </is>
      </c>
      <c r="G3739" s="12" t="inlineStr"/>
      <c r="H3739" s="12" t="inlineStr">
        <is>
          <t>RB-C: reboiler (LP steam from ST extraction)</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10</v>
      </c>
      <c r="R3739" s="12" t="n">
        <v>14.2</v>
      </c>
      <c r="S3739" s="12" t="inlineStr">
        <is>
          <t>Duct bank</t>
        </is>
      </c>
      <c r="T3739" s="16" t="n">
        <v>45</v>
      </c>
      <c r="U3739" s="16" t="n">
        <v>47</v>
      </c>
      <c r="V3739" s="16">
        <f>ROUNDUP((T3739+U3739+2*'Read Me'!$B$13)*(1+'Read Me'!$B$12),-1)</f>
        <v/>
      </c>
      <c r="W3739" s="16">
        <f>V3739*N3739*O3739</f>
        <v/>
      </c>
      <c r="X3739" s="12">
        <f>IF(LEFT(I3739,2)="MV",2*N3739*IF(L3739="1/C",O3739,1),0)</f>
        <v/>
      </c>
      <c r="Y3739" s="12">
        <f>IF(OR(LEFT(K3739,4)="LVAX",LEFT(K3739,6)="MV15AX",LEFT(K3739,4)="CTAX",LEFT(K3739,2)="W|"),2*N3739*O3739,0)</f>
        <v/>
      </c>
      <c r="Z3739" s="12" t="inlineStr">
        <is>
          <t>VD 0.6 %</t>
        </is>
      </c>
      <c r="AA3739" s="12">
        <f>N3739*O3739</f>
        <v/>
      </c>
    </row>
    <row r="3740">
      <c r="A3740" s="12" t="inlineStr">
        <is>
          <t>G-P-0207</t>
        </is>
      </c>
      <c r="B3740" s="12" t="inlineStr">
        <is>
          <t>G</t>
        </is>
      </c>
      <c r="C3740" s="12" t="inlineStr">
        <is>
          <t>Carbon capture</t>
        </is>
      </c>
      <c r="D3740" s="12" t="inlineStr">
        <is>
          <t>Motor 1 of 2, 15 kW</t>
        </is>
      </c>
      <c r="E3740" s="12" t="inlineStr"/>
      <c r="F3740" s="12" t="inlineStr">
        <is>
          <t>CCS MV switchgear building (VFDs)</t>
        </is>
      </c>
      <c r="G3740" s="12" t="inlineStr"/>
      <c r="H3740" s="12" t="inlineStr">
        <is>
          <t>Reclaimer (thermal, intermittent)</t>
        </is>
      </c>
      <c r="I3740" s="12" t="inlineStr">
        <is>
          <t>LV 600 V</t>
        </is>
      </c>
      <c r="J3740" s="12" t="inlineStr">
        <is>
          <t>Type TC-ER 600 V 3/C Cu XHHW-2 + ground, PVC jacket</t>
        </is>
      </c>
      <c r="K3740" s="12" t="inlineStr">
        <is>
          <t>LV|3/C+G|10</t>
        </is>
      </c>
      <c r="L3740" s="12" t="inlineStr">
        <is>
          <t>3/C+G</t>
        </is>
      </c>
      <c r="M3740" s="12" t="inlineStr">
        <is>
          <t>10</t>
        </is>
      </c>
      <c r="N3740" s="12" t="n">
        <v>1</v>
      </c>
      <c r="O3740" s="12" t="n">
        <v>1</v>
      </c>
      <c r="P3740" s="12" t="n">
        <v>480</v>
      </c>
      <c r="Q3740" s="12" t="n">
        <v>15</v>
      </c>
      <c r="R3740" s="12" t="n">
        <v>21.2</v>
      </c>
      <c r="S3740" s="12" t="inlineStr">
        <is>
          <t>Duct bank</t>
        </is>
      </c>
      <c r="T3740" s="16" t="n">
        <v>45</v>
      </c>
      <c r="U3740" s="16" t="n">
        <v>57</v>
      </c>
      <c r="V3740" s="16">
        <f>ROUNDUP((T3740+U3740+2*'Read Me'!$B$13)*(1+'Read Me'!$B$12),-1)</f>
        <v/>
      </c>
      <c r="W3740" s="16">
        <f>V3740*N3740*O3740</f>
        <v/>
      </c>
      <c r="X3740" s="12">
        <f>IF(LEFT(I3740,2)="MV",2*N3740*IF(L3740="1/C",O3740,1),0)</f>
        <v/>
      </c>
      <c r="Y3740" s="12">
        <f>IF(OR(LEFT(K3740,4)="LVAX",LEFT(K3740,6)="MV15AX",LEFT(K3740,4)="CTAX",LEFT(K3740,2)="W|"),2*N3740*O3740,0)</f>
        <v/>
      </c>
      <c r="Z3740" s="12" t="inlineStr">
        <is>
          <t>VD 1.0 %</t>
        </is>
      </c>
      <c r="AA3740" s="12">
        <f>N3740*O3740</f>
        <v/>
      </c>
    </row>
    <row r="3741">
      <c r="A3741" s="12" t="inlineStr">
        <is>
          <t>G-P-0208</t>
        </is>
      </c>
      <c r="B3741" s="12" t="inlineStr">
        <is>
          <t>G</t>
        </is>
      </c>
      <c r="C3741" s="12" t="inlineStr">
        <is>
          <t>Carbon capture</t>
        </is>
      </c>
      <c r="D3741" s="12" t="inlineStr">
        <is>
          <t>Motor 2 of 2, 15 kW</t>
        </is>
      </c>
      <c r="E3741" s="12" t="inlineStr"/>
      <c r="F3741" s="12" t="inlineStr">
        <is>
          <t>CCS MV switchgear building (VFDs)</t>
        </is>
      </c>
      <c r="G3741" s="12" t="inlineStr"/>
      <c r="H3741" s="12" t="inlineStr">
        <is>
          <t>Reclaimer (thermal, intermittent)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15</v>
      </c>
      <c r="R3741" s="12" t="n">
        <v>21.2</v>
      </c>
      <c r="S3741" s="12" t="inlineStr">
        <is>
          <t>Duct bank</t>
        </is>
      </c>
      <c r="T3741" s="16" t="n">
        <v>45</v>
      </c>
      <c r="U3741" s="16" t="n">
        <v>57</v>
      </c>
      <c r="V3741" s="16">
        <f>ROUNDUP((T3741+U3741+2*'Read Me'!$B$13)*(1+'Read Me'!$B$12),-1)</f>
        <v/>
      </c>
      <c r="W3741" s="16">
        <f>V3741*N3741*O3741</f>
        <v/>
      </c>
      <c r="X3741" s="12">
        <f>IF(LEFT(I3741,2)="MV",2*N3741*IF(L3741="1/C",O3741,1),0)</f>
        <v/>
      </c>
      <c r="Y3741" s="12">
        <f>IF(OR(LEFT(K3741,4)="LVAX",LEFT(K3741,6)="MV15AX",LEFT(K3741,4)="CTAX",LEFT(K3741,2)="W|"),2*N3741*O3741,0)</f>
        <v/>
      </c>
      <c r="Z3741" s="12" t="inlineStr">
        <is>
          <t>VD 1.0 %</t>
        </is>
      </c>
      <c r="AA3741" s="12">
        <f>N3741*O3741</f>
        <v/>
      </c>
    </row>
    <row r="3742">
      <c r="A3742" s="12" t="inlineStr">
        <is>
          <t>G-P-0209</t>
        </is>
      </c>
      <c r="B3742" s="12" t="inlineStr">
        <is>
          <t>G</t>
        </is>
      </c>
      <c r="C3742" s="12" t="inlineStr">
        <is>
          <t>Carbon capture</t>
        </is>
      </c>
      <c r="D3742" s="12" t="inlineStr">
        <is>
          <t>MOV 1: power</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2.5</v>
      </c>
      <c r="R3742" s="12" t="n">
        <v>3.5</v>
      </c>
      <c r="S3742" s="12" t="inlineStr">
        <is>
          <t>Duct bank</t>
        </is>
      </c>
      <c r="T3742" s="16" t="n">
        <v>146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VD 0.3 %</t>
        </is>
      </c>
      <c r="AA3742" s="12">
        <f>N3742*O3742</f>
        <v/>
      </c>
    </row>
    <row r="3743">
      <c r="A3743" s="12" t="inlineStr">
        <is>
          <t>G-P-0210</t>
        </is>
      </c>
      <c r="B3743" s="12" t="inlineStr">
        <is>
          <t>G</t>
        </is>
      </c>
      <c r="C3743" s="12" t="inlineStr">
        <is>
          <t>Carbon capture</t>
        </is>
      </c>
      <c r="D3743" s="12" t="inlineStr">
        <is>
          <t>MOV 2: power</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LV|3/C+G|10</t>
        </is>
      </c>
      <c r="L3743" s="12" t="inlineStr">
        <is>
          <t>3/C+G</t>
        </is>
      </c>
      <c r="M3743" s="12" t="inlineStr">
        <is>
          <t>10</t>
        </is>
      </c>
      <c r="N3743" s="12" t="n">
        <v>1</v>
      </c>
      <c r="O3743" s="12" t="n">
        <v>1</v>
      </c>
      <c r="P3743" s="12" t="n">
        <v>480</v>
      </c>
      <c r="Q3743" s="12" t="n">
        <v>2.5</v>
      </c>
      <c r="R3743" s="12" t="n">
        <v>3.5</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0.3 %</t>
        </is>
      </c>
      <c r="AA3743" s="12">
        <f>N3743*O3743</f>
        <v/>
      </c>
    </row>
    <row r="3744">
      <c r="A3744" s="12" t="inlineStr">
        <is>
          <t>G-P-0211</t>
        </is>
      </c>
      <c r="B3744" s="12" t="inlineStr">
        <is>
          <t>G</t>
        </is>
      </c>
      <c r="C3744" s="12" t="inlineStr">
        <is>
          <t>Carbon capture</t>
        </is>
      </c>
      <c r="D3744" s="12" t="inlineStr">
        <is>
          <t>MOV 3: power</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LV|3/C+G|10</t>
        </is>
      </c>
      <c r="L3744" s="12" t="inlineStr">
        <is>
          <t>3/C+G</t>
        </is>
      </c>
      <c r="M3744" s="12" t="inlineStr">
        <is>
          <t>10</t>
        </is>
      </c>
      <c r="N3744" s="12" t="n">
        <v>1</v>
      </c>
      <c r="O3744" s="12" t="n">
        <v>1</v>
      </c>
      <c r="P3744" s="12" t="n">
        <v>480</v>
      </c>
      <c r="Q3744" s="12" t="n">
        <v>2.5</v>
      </c>
      <c r="R3744" s="12" t="n">
        <v>3.5</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0.3 %</t>
        </is>
      </c>
      <c r="AA3744" s="12">
        <f>N3744*O3744</f>
        <v/>
      </c>
    </row>
    <row r="3745">
      <c r="A3745" s="12" t="inlineStr">
        <is>
          <t>G-P-0212</t>
        </is>
      </c>
      <c r="B3745" s="12" t="inlineStr">
        <is>
          <t>G</t>
        </is>
      </c>
      <c r="C3745" s="12" t="inlineStr">
        <is>
          <t>Carbon capture</t>
        </is>
      </c>
      <c r="D3745" s="12" t="inlineStr">
        <is>
          <t>MOV 4: power</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0.3 %</t>
        </is>
      </c>
      <c r="AA3745" s="12">
        <f>N3745*O3745</f>
        <v/>
      </c>
    </row>
    <row r="3746">
      <c r="A3746" s="12" t="inlineStr">
        <is>
          <t>G-P-0213</t>
        </is>
      </c>
      <c r="B3746" s="12" t="inlineStr">
        <is>
          <t>G</t>
        </is>
      </c>
      <c r="C3746" s="12" t="inlineStr">
        <is>
          <t>Carbon capture</t>
        </is>
      </c>
      <c r="D3746" s="12" t="inlineStr">
        <is>
          <t>MOV 5: power</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0.3 %</t>
        </is>
      </c>
      <c r="AA3746" s="12">
        <f>N3746*O3746</f>
        <v/>
      </c>
    </row>
    <row r="3747">
      <c r="A3747" s="12" t="inlineStr">
        <is>
          <t>G-P-0214</t>
        </is>
      </c>
      <c r="B3747" s="12" t="inlineStr">
        <is>
          <t>G</t>
        </is>
      </c>
      <c r="C3747" s="12" t="inlineStr">
        <is>
          <t>Carbon capture</t>
        </is>
      </c>
      <c r="D3747" s="12" t="inlineStr">
        <is>
          <t>MOV 6: power</t>
        </is>
      </c>
      <c r="E3747" s="12" t="inlineStr"/>
      <c r="F3747" s="12" t="inlineStr">
        <is>
          <t>CCS MV switchgear building (VFDs)</t>
        </is>
      </c>
      <c r="G3747" s="12" t="inlineStr">
        <is>
          <t>STR-A</t>
        </is>
      </c>
      <c r="H3747" s="12" t="inlineStr">
        <is>
          <t>STR-A: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G-P-0215</t>
        </is>
      </c>
      <c r="B3748" s="12" t="inlineStr">
        <is>
          <t>G</t>
        </is>
      </c>
      <c r="C3748" s="12" t="inlineStr">
        <is>
          <t>Carbon capture</t>
        </is>
      </c>
      <c r="D3748" s="12" t="inlineStr">
        <is>
          <t>LV power feeder</t>
        </is>
      </c>
      <c r="E3748" s="12" t="inlineStr"/>
      <c r="F3748" s="12" t="inlineStr">
        <is>
          <t>CCS MV switchgear building (VFDs)</t>
        </is>
      </c>
      <c r="G3748" s="12" t="inlineStr">
        <is>
          <t>STR-A</t>
        </is>
      </c>
      <c r="H3748" s="12" t="inlineStr">
        <is>
          <t>STR-A: stripper / regenerator (45 ft dia x 207 ft)</t>
        </is>
      </c>
      <c r="I3748" s="12" t="inlineStr">
        <is>
          <t>LV 600 V</t>
        </is>
      </c>
      <c r="J3748" s="12" t="inlineStr">
        <is>
          <t>Type TC-ER 600 V 3/C Cu XHHW-2 + ground, PVC jacket</t>
        </is>
      </c>
      <c r="K3748" s="12" t="inlineStr">
        <is>
          <t>LV|3/C+G|6</t>
        </is>
      </c>
      <c r="L3748" s="12" t="inlineStr">
        <is>
          <t>3/C+G</t>
        </is>
      </c>
      <c r="M3748" s="12" t="inlineStr">
        <is>
          <t>6</t>
        </is>
      </c>
      <c r="N3748" s="12" t="n">
        <v>1</v>
      </c>
      <c r="O3748" s="12" t="n">
        <v>1</v>
      </c>
      <c r="P3748" s="12" t="n">
        <v>480</v>
      </c>
      <c r="Q3748" s="12" t="n">
        <v>30</v>
      </c>
      <c r="R3748" s="12" t="n">
        <v>42.5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1.5 %</t>
        </is>
      </c>
      <c r="AA3748" s="12">
        <f>N3748*O3748</f>
        <v/>
      </c>
    </row>
    <row r="3749">
      <c r="A3749" s="12" t="inlineStr">
        <is>
          <t>G-P-0216</t>
        </is>
      </c>
      <c r="B3749" s="12" t="inlineStr">
        <is>
          <t>G</t>
        </is>
      </c>
      <c r="C3749" s="12" t="inlineStr">
        <is>
          <t>Carbon capture</t>
        </is>
      </c>
      <c r="D3749" s="12" t="inlineStr">
        <is>
          <t>Area / platform lighting circuit 1 (12 fixtures)</t>
        </is>
      </c>
      <c r="E3749" s="12" t="inlineStr"/>
      <c r="F3749" s="12" t="inlineStr">
        <is>
          <t>CCS MV switchgear building (VFDs)</t>
        </is>
      </c>
      <c r="G3749" s="12" t="inlineStr">
        <is>
          <t>STR-A</t>
        </is>
      </c>
      <c r="H3749" s="12" t="inlineStr">
        <is>
          <t>STR-A: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3</v>
      </c>
      <c r="R3749" s="12" t="n">
        <v>5</v>
      </c>
      <c r="S3749" s="12" t="inlineStr">
        <is>
          <t>Duct bank</t>
        </is>
      </c>
      <c r="T3749" s="16" t="n">
        <v>446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fixture-to-fixture run included</t>
        </is>
      </c>
      <c r="AA3749" s="12">
        <f>N3749*O3749</f>
        <v/>
      </c>
    </row>
    <row r="3750">
      <c r="A3750" s="12" t="inlineStr">
        <is>
          <t>G-P-0217</t>
        </is>
      </c>
      <c r="B3750" s="12" t="inlineStr">
        <is>
          <t>G</t>
        </is>
      </c>
      <c r="C3750" s="12" t="inlineStr">
        <is>
          <t>Carbon capture</t>
        </is>
      </c>
      <c r="D3750" s="12" t="inlineStr">
        <is>
          <t>Area / platform lighting circuit 2 (8 fixtures)</t>
        </is>
      </c>
      <c r="E3750" s="12" t="inlineStr"/>
      <c r="F3750" s="12" t="inlineStr">
        <is>
          <t>CCS MV switchgear building (VFDs)</t>
        </is>
      </c>
      <c r="G3750" s="12" t="inlineStr">
        <is>
          <t>STR-A</t>
        </is>
      </c>
      <c r="H3750" s="12" t="inlineStr">
        <is>
          <t>STR-A: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3</v>
      </c>
      <c r="R3750" s="12" t="n">
        <v>5</v>
      </c>
      <c r="S3750" s="12" t="inlineStr">
        <is>
          <t>Duct bank</t>
        </is>
      </c>
      <c r="T3750" s="16" t="n">
        <v>446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fixture-to-fixture run included</t>
        </is>
      </c>
      <c r="AA3750" s="12">
        <f>N3750*O3750</f>
        <v/>
      </c>
    </row>
    <row r="3751">
      <c r="A3751" s="12" t="inlineStr">
        <is>
          <t>G-P-0218</t>
        </is>
      </c>
      <c r="B3751" s="12" t="inlineStr">
        <is>
          <t>G</t>
        </is>
      </c>
      <c r="C3751" s="12" t="inlineStr">
        <is>
          <t>Carbon capture</t>
        </is>
      </c>
      <c r="D3751" s="12" t="inlineStr">
        <is>
          <t>480 V welding receptacle 1</t>
        </is>
      </c>
      <c r="E3751" s="12" t="inlineStr"/>
      <c r="F3751" s="12" t="inlineStr">
        <is>
          <t>CCS MV switchgear building (VFDs)</t>
        </is>
      </c>
      <c r="G3751" s="12" t="inlineStr">
        <is>
          <t>STR-A</t>
        </is>
      </c>
      <c r="H3751" s="12" t="inlineStr">
        <is>
          <t>STR-A: stripper / regenerator (45 ft dia x 207 ft)</t>
        </is>
      </c>
      <c r="I3751" s="12" t="inlineStr">
        <is>
          <t>LV 600 V</t>
        </is>
      </c>
      <c r="J3751" s="12" t="inlineStr">
        <is>
          <t>Type TC-ER 600 V 3/C Cu XHHW-2 + ground, PVC jacket</t>
        </is>
      </c>
      <c r="K3751" s="12" t="inlineStr">
        <is>
          <t>LV|3/C+G|2</t>
        </is>
      </c>
      <c r="L3751" s="12" t="inlineStr">
        <is>
          <t>3/C+G</t>
        </is>
      </c>
      <c r="M3751" s="12" t="inlineStr">
        <is>
          <t>2</t>
        </is>
      </c>
      <c r="N3751" s="12" t="n">
        <v>1</v>
      </c>
      <c r="O3751" s="12" t="n">
        <v>1</v>
      </c>
      <c r="P3751" s="12" t="n">
        <v>480</v>
      </c>
      <c r="Q3751" s="12" t="n">
        <v>60</v>
      </c>
      <c r="R3751" s="12" t="n">
        <v>76</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1.1 %</t>
        </is>
      </c>
      <c r="AA3751" s="12">
        <f>N3751*O3751</f>
        <v/>
      </c>
    </row>
    <row r="3752">
      <c r="A3752" s="12" t="inlineStr">
        <is>
          <t>G-P-0219</t>
        </is>
      </c>
      <c r="B3752" s="12" t="inlineStr">
        <is>
          <t>G</t>
        </is>
      </c>
      <c r="C3752" s="12" t="inlineStr">
        <is>
          <t>Carbon capture</t>
        </is>
      </c>
      <c r="D3752" s="12" t="inlineStr">
        <is>
          <t>480 V welding receptacle 2</t>
        </is>
      </c>
      <c r="E3752" s="12" t="inlineStr"/>
      <c r="F3752" s="12" t="inlineStr">
        <is>
          <t>CCS MV switchgear building (VFDs)</t>
        </is>
      </c>
      <c r="G3752" s="12" t="inlineStr">
        <is>
          <t>STR-A</t>
        </is>
      </c>
      <c r="H3752" s="12" t="inlineStr">
        <is>
          <t>STR-A: stripper / regenerator (45 ft dia x 207 ft)</t>
        </is>
      </c>
      <c r="I3752" s="12" t="inlineStr">
        <is>
          <t>LV 600 V</t>
        </is>
      </c>
      <c r="J3752" s="12" t="inlineStr">
        <is>
          <t>Type TC-ER 600 V 3/C Cu XHHW-2 + ground, PVC jacket</t>
        </is>
      </c>
      <c r="K3752" s="12" t="inlineStr">
        <is>
          <t>LV|3/C+G|2</t>
        </is>
      </c>
      <c r="L3752" s="12" t="inlineStr">
        <is>
          <t>3/C+G</t>
        </is>
      </c>
      <c r="M3752" s="12" t="inlineStr">
        <is>
          <t>2</t>
        </is>
      </c>
      <c r="N3752" s="12" t="n">
        <v>1</v>
      </c>
      <c r="O3752" s="12" t="n">
        <v>1</v>
      </c>
      <c r="P3752" s="12" t="n">
        <v>480</v>
      </c>
      <c r="Q3752" s="12" t="n">
        <v>60</v>
      </c>
      <c r="R3752" s="12" t="n">
        <v>76</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1.1 %</t>
        </is>
      </c>
      <c r="AA3752" s="12">
        <f>N3752*O3752</f>
        <v/>
      </c>
    </row>
    <row r="3753">
      <c r="A3753" s="12" t="inlineStr">
        <is>
          <t>G-P-0220</t>
        </is>
      </c>
      <c r="B3753" s="12" t="inlineStr">
        <is>
          <t>G</t>
        </is>
      </c>
      <c r="C3753" s="12" t="inlineStr">
        <is>
          <t>Carbon capture</t>
        </is>
      </c>
      <c r="D3753" s="12" t="inlineStr">
        <is>
          <t>480 V welding receptacle 3</t>
        </is>
      </c>
      <c r="E3753" s="12" t="inlineStr"/>
      <c r="F3753" s="12" t="inlineStr">
        <is>
          <t>CCS MV switchgear building (VFDs)</t>
        </is>
      </c>
      <c r="G3753" s="12" t="inlineStr">
        <is>
          <t>STR-A</t>
        </is>
      </c>
      <c r="H3753" s="12" t="inlineStr">
        <is>
          <t>STR-A: stripper / regenerator (45 ft dia x 207 ft)</t>
        </is>
      </c>
      <c r="I3753" s="12" t="inlineStr">
        <is>
          <t>LV 600 V</t>
        </is>
      </c>
      <c r="J3753" s="12" t="inlineStr">
        <is>
          <t>Type TC-ER 600 V 3/C Cu XHHW-2 + ground, PVC jacket</t>
        </is>
      </c>
      <c r="K3753" s="12" t="inlineStr">
        <is>
          <t>LV|3/C+G|2</t>
        </is>
      </c>
      <c r="L3753" s="12" t="inlineStr">
        <is>
          <t>3/C+G</t>
        </is>
      </c>
      <c r="M3753" s="12" t="inlineStr">
        <is>
          <t>2</t>
        </is>
      </c>
      <c r="N3753" s="12" t="n">
        <v>1</v>
      </c>
      <c r="O3753" s="12" t="n">
        <v>1</v>
      </c>
      <c r="P3753" s="12" t="n">
        <v>480</v>
      </c>
      <c r="Q3753" s="12" t="n">
        <v>60</v>
      </c>
      <c r="R3753" s="12" t="n">
        <v>76</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1.1 %</t>
        </is>
      </c>
      <c r="AA3753" s="12">
        <f>N3753*O3753</f>
        <v/>
      </c>
    </row>
    <row r="3754">
      <c r="A3754" s="12" t="inlineStr">
        <is>
          <t>G-P-0221</t>
        </is>
      </c>
      <c r="B3754" s="12" t="inlineStr">
        <is>
          <t>G</t>
        </is>
      </c>
      <c r="C3754" s="12" t="inlineStr">
        <is>
          <t>Carbon capture</t>
        </is>
      </c>
      <c r="D3754" s="12" t="inlineStr">
        <is>
          <t>480 V welding receptacle 4</t>
        </is>
      </c>
      <c r="E3754" s="12" t="inlineStr"/>
      <c r="F3754" s="12" t="inlineStr">
        <is>
          <t>CCS MV switchgear building (VFDs)</t>
        </is>
      </c>
      <c r="G3754" s="12" t="inlineStr">
        <is>
          <t>STR-A</t>
        </is>
      </c>
      <c r="H3754" s="12" t="inlineStr">
        <is>
          <t>STR-A: stripper / regenerator (45 ft dia x 207 ft)</t>
        </is>
      </c>
      <c r="I3754" s="12" t="inlineStr">
        <is>
          <t>LV 600 V</t>
        </is>
      </c>
      <c r="J3754" s="12" t="inlineStr">
        <is>
          <t>Type TC-ER 600 V 3/C Cu XHHW-2 + ground, PVC jacket</t>
        </is>
      </c>
      <c r="K3754" s="12" t="inlineStr">
        <is>
          <t>LV|3/C+G|2</t>
        </is>
      </c>
      <c r="L3754" s="12" t="inlineStr">
        <is>
          <t>3/C+G</t>
        </is>
      </c>
      <c r="M3754" s="12" t="inlineStr">
        <is>
          <t>2</t>
        </is>
      </c>
      <c r="N3754" s="12" t="n">
        <v>1</v>
      </c>
      <c r="O3754" s="12" t="n">
        <v>1</v>
      </c>
      <c r="P3754" s="12" t="n">
        <v>480</v>
      </c>
      <c r="Q3754" s="12" t="n">
        <v>60</v>
      </c>
      <c r="R3754" s="12" t="n">
        <v>76</v>
      </c>
      <c r="S3754" s="12" t="inlineStr">
        <is>
          <t>Duct bank</t>
        </is>
      </c>
      <c r="T3754" s="16" t="n">
        <v>146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VD 1.1 %</t>
        </is>
      </c>
      <c r="AA3754" s="12">
        <f>N3754*O3754</f>
        <v/>
      </c>
    </row>
    <row r="3755">
      <c r="A3755" s="12" t="inlineStr">
        <is>
          <t>G-P-0222</t>
        </is>
      </c>
      <c r="B3755" s="12" t="inlineStr">
        <is>
          <t>G</t>
        </is>
      </c>
      <c r="C3755" s="12" t="inlineStr">
        <is>
          <t>Carbon capture</t>
        </is>
      </c>
      <c r="D3755" s="12" t="inlineStr">
        <is>
          <t>MOV 1: power</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6" t="n">
        <v>146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VD 0.3 %</t>
        </is>
      </c>
      <c r="AA3755" s="12">
        <f>N3755*O3755</f>
        <v/>
      </c>
    </row>
    <row r="3756">
      <c r="A3756" s="12" t="inlineStr">
        <is>
          <t>G-P-0223</t>
        </is>
      </c>
      <c r="B3756" s="12" t="inlineStr">
        <is>
          <t>G</t>
        </is>
      </c>
      <c r="C3756" s="12" t="inlineStr">
        <is>
          <t>Carbon capture</t>
        </is>
      </c>
      <c r="D3756" s="12" t="inlineStr">
        <is>
          <t>MOV 2: power</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0.3 %</t>
        </is>
      </c>
      <c r="AA3756" s="12">
        <f>N3756*O3756</f>
        <v/>
      </c>
    </row>
    <row r="3757">
      <c r="A3757" s="12" t="inlineStr">
        <is>
          <t>G-P-0224</t>
        </is>
      </c>
      <c r="B3757" s="12" t="inlineStr">
        <is>
          <t>G</t>
        </is>
      </c>
      <c r="C3757" s="12" t="inlineStr">
        <is>
          <t>Carbon capture</t>
        </is>
      </c>
      <c r="D3757" s="12" t="inlineStr">
        <is>
          <t>MOV 3: power</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0.3 %</t>
        </is>
      </c>
      <c r="AA3757" s="12">
        <f>N3757*O3757</f>
        <v/>
      </c>
    </row>
    <row r="3758">
      <c r="A3758" s="12" t="inlineStr">
        <is>
          <t>G-P-0225</t>
        </is>
      </c>
      <c r="B3758" s="12" t="inlineStr">
        <is>
          <t>G</t>
        </is>
      </c>
      <c r="C3758" s="12" t="inlineStr">
        <is>
          <t>Carbon capture</t>
        </is>
      </c>
      <c r="D3758" s="12" t="inlineStr">
        <is>
          <t>MOV 4: power</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0.3 %</t>
        </is>
      </c>
      <c r="AA3758" s="12">
        <f>N3758*O3758</f>
        <v/>
      </c>
    </row>
    <row r="3759">
      <c r="A3759" s="12" t="inlineStr">
        <is>
          <t>G-P-0226</t>
        </is>
      </c>
      <c r="B3759" s="12" t="inlineStr">
        <is>
          <t>G</t>
        </is>
      </c>
      <c r="C3759" s="12" t="inlineStr">
        <is>
          <t>Carbon capture</t>
        </is>
      </c>
      <c r="D3759" s="12" t="inlineStr">
        <is>
          <t>MOV 5: power</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2.5</v>
      </c>
      <c r="R3759" s="12" t="n">
        <v>3.5</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0.3 %</t>
        </is>
      </c>
      <c r="AA3759" s="12">
        <f>N3759*O3759</f>
        <v/>
      </c>
    </row>
    <row r="3760">
      <c r="A3760" s="12" t="inlineStr">
        <is>
          <t>G-P-0227</t>
        </is>
      </c>
      <c r="B3760" s="12" t="inlineStr">
        <is>
          <t>G</t>
        </is>
      </c>
      <c r="C3760" s="12" t="inlineStr">
        <is>
          <t>Carbon capture</t>
        </is>
      </c>
      <c r="D3760" s="12" t="inlineStr">
        <is>
          <t>MOV 6: power</t>
        </is>
      </c>
      <c r="E3760" s="12" t="inlineStr"/>
      <c r="F3760" s="12" t="inlineStr">
        <is>
          <t>CCS MV switchgear building (VFDs)</t>
        </is>
      </c>
      <c r="G3760" s="12" t="inlineStr">
        <is>
          <t>STR-B</t>
        </is>
      </c>
      <c r="H3760" s="12" t="inlineStr">
        <is>
          <t>STR-B: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146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0.3 %</t>
        </is>
      </c>
      <c r="AA3760" s="12">
        <f>N3760*O3760</f>
        <v/>
      </c>
    </row>
    <row r="3761">
      <c r="A3761" s="12" t="inlineStr">
        <is>
          <t>G-P-0228</t>
        </is>
      </c>
      <c r="B3761" s="12" t="inlineStr">
        <is>
          <t>G</t>
        </is>
      </c>
      <c r="C3761" s="12" t="inlineStr">
        <is>
          <t>Carbon capture</t>
        </is>
      </c>
      <c r="D3761" s="12" t="inlineStr">
        <is>
          <t>LV power feeder</t>
        </is>
      </c>
      <c r="E3761" s="12" t="inlineStr"/>
      <c r="F3761" s="12" t="inlineStr">
        <is>
          <t>CCS MV switchgear building (VFDs)</t>
        </is>
      </c>
      <c r="G3761" s="12" t="inlineStr">
        <is>
          <t>STR-B</t>
        </is>
      </c>
      <c r="H3761" s="12" t="inlineStr">
        <is>
          <t>STR-B: stripper / regenerator (45 ft dia x 207 ft)</t>
        </is>
      </c>
      <c r="I3761" s="12" t="inlineStr">
        <is>
          <t>LV 600 V</t>
        </is>
      </c>
      <c r="J3761" s="12" t="inlineStr">
        <is>
          <t>Type TC-ER 600 V 3/C Cu XHHW-2 + ground, PVC jacket</t>
        </is>
      </c>
      <c r="K3761" s="12" t="inlineStr">
        <is>
          <t>LV|3/C+G|6</t>
        </is>
      </c>
      <c r="L3761" s="12" t="inlineStr">
        <is>
          <t>3/C+G</t>
        </is>
      </c>
      <c r="M3761" s="12" t="inlineStr">
        <is>
          <t>6</t>
        </is>
      </c>
      <c r="N3761" s="12" t="n">
        <v>1</v>
      </c>
      <c r="O3761" s="12" t="n">
        <v>1</v>
      </c>
      <c r="P3761" s="12" t="n">
        <v>480</v>
      </c>
      <c r="Q3761" s="12" t="n">
        <v>30</v>
      </c>
      <c r="R3761" s="12" t="n">
        <v>42.5</v>
      </c>
      <c r="S3761" s="12" t="inlineStr">
        <is>
          <t>Duct bank</t>
        </is>
      </c>
      <c r="T3761" s="16" t="n">
        <v>146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1.5 %</t>
        </is>
      </c>
      <c r="AA3761" s="12">
        <f>N3761*O3761</f>
        <v/>
      </c>
    </row>
    <row r="3762">
      <c r="A3762" s="12" t="inlineStr">
        <is>
          <t>G-P-0229</t>
        </is>
      </c>
      <c r="B3762" s="12" t="inlineStr">
        <is>
          <t>G</t>
        </is>
      </c>
      <c r="C3762" s="12" t="inlineStr">
        <is>
          <t>Carbon capture</t>
        </is>
      </c>
      <c r="D3762" s="12" t="inlineStr">
        <is>
          <t>Area / platform lighting circuit 1 (12 fixtures)</t>
        </is>
      </c>
      <c r="E3762" s="12" t="inlineStr"/>
      <c r="F3762" s="12" t="inlineStr">
        <is>
          <t>CCS MV switchgear building (VFDs)</t>
        </is>
      </c>
      <c r="G3762" s="12" t="inlineStr">
        <is>
          <t>STR-B</t>
        </is>
      </c>
      <c r="H3762" s="12" t="inlineStr">
        <is>
          <t>STR-B: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3</v>
      </c>
      <c r="R3762" s="12" t="n">
        <v>5</v>
      </c>
      <c r="S3762" s="12" t="inlineStr">
        <is>
          <t>Duct bank</t>
        </is>
      </c>
      <c r="T3762" s="16" t="n">
        <v>446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fixture-to-fixture run included</t>
        </is>
      </c>
      <c r="AA3762" s="12">
        <f>N3762*O3762</f>
        <v/>
      </c>
    </row>
    <row r="3763">
      <c r="A3763" s="12" t="inlineStr">
        <is>
          <t>G-P-0230</t>
        </is>
      </c>
      <c r="B3763" s="12" t="inlineStr">
        <is>
          <t>G</t>
        </is>
      </c>
      <c r="C3763" s="12" t="inlineStr">
        <is>
          <t>Carbon capture</t>
        </is>
      </c>
      <c r="D3763" s="12" t="inlineStr">
        <is>
          <t>Area / platform lighting circuit 2 (8 fixtures)</t>
        </is>
      </c>
      <c r="E3763" s="12" t="inlineStr"/>
      <c r="F3763" s="12" t="inlineStr">
        <is>
          <t>CCS MV switchgear building (VFDs)</t>
        </is>
      </c>
      <c r="G3763" s="12" t="inlineStr">
        <is>
          <t>STR-B</t>
        </is>
      </c>
      <c r="H3763" s="12" t="inlineStr">
        <is>
          <t>STR-B: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3</v>
      </c>
      <c r="R3763" s="12" t="n">
        <v>5</v>
      </c>
      <c r="S3763" s="12" t="inlineStr">
        <is>
          <t>Duct bank</t>
        </is>
      </c>
      <c r="T3763" s="16" t="n">
        <v>446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fixture-to-fixture run included</t>
        </is>
      </c>
      <c r="AA3763" s="12">
        <f>N3763*O3763</f>
        <v/>
      </c>
    </row>
    <row r="3764">
      <c r="A3764" s="12" t="inlineStr">
        <is>
          <t>G-P-0231</t>
        </is>
      </c>
      <c r="B3764" s="12" t="inlineStr">
        <is>
          <t>G</t>
        </is>
      </c>
      <c r="C3764" s="12" t="inlineStr">
        <is>
          <t>Carbon capture</t>
        </is>
      </c>
      <c r="D3764" s="12" t="inlineStr">
        <is>
          <t>480 V welding receptacle 1</t>
        </is>
      </c>
      <c r="E3764" s="12" t="inlineStr"/>
      <c r="F3764" s="12" t="inlineStr">
        <is>
          <t>CCS MV switchgear building (VFDs)</t>
        </is>
      </c>
      <c r="G3764" s="12" t="inlineStr">
        <is>
          <t>STR-B</t>
        </is>
      </c>
      <c r="H3764" s="12" t="inlineStr">
        <is>
          <t>STR-B: stripper / regenerator (45 ft dia x 207 ft)</t>
        </is>
      </c>
      <c r="I3764" s="12" t="inlineStr">
        <is>
          <t>LV 600 V</t>
        </is>
      </c>
      <c r="J3764" s="12" t="inlineStr">
        <is>
          <t>Type TC-ER 600 V 3/C Cu XHHW-2 + ground, PVC jacket</t>
        </is>
      </c>
      <c r="K3764" s="12" t="inlineStr">
        <is>
          <t>LV|3/C+G|2</t>
        </is>
      </c>
      <c r="L3764" s="12" t="inlineStr">
        <is>
          <t>3/C+G</t>
        </is>
      </c>
      <c r="M3764" s="12" t="inlineStr">
        <is>
          <t>2</t>
        </is>
      </c>
      <c r="N3764" s="12" t="n">
        <v>1</v>
      </c>
      <c r="O3764" s="12" t="n">
        <v>1</v>
      </c>
      <c r="P3764" s="12" t="n">
        <v>480</v>
      </c>
      <c r="Q3764" s="12" t="n">
        <v>60</v>
      </c>
      <c r="R3764" s="12" t="n">
        <v>76</v>
      </c>
      <c r="S3764" s="12" t="inlineStr">
        <is>
          <t>Duct bank</t>
        </is>
      </c>
      <c r="T3764" s="16" t="n">
        <v>146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1.1 %</t>
        </is>
      </c>
      <c r="AA3764" s="12">
        <f>N3764*O3764</f>
        <v/>
      </c>
    </row>
    <row r="3765">
      <c r="A3765" s="12" t="inlineStr">
        <is>
          <t>G-P-0232</t>
        </is>
      </c>
      <c r="B3765" s="12" t="inlineStr">
        <is>
          <t>G</t>
        </is>
      </c>
      <c r="C3765" s="12" t="inlineStr">
        <is>
          <t>Carbon capture</t>
        </is>
      </c>
      <c r="D3765" s="12" t="inlineStr">
        <is>
          <t>480 V welding receptacle 2</t>
        </is>
      </c>
      <c r="E3765" s="12" t="inlineStr"/>
      <c r="F3765" s="12" t="inlineStr">
        <is>
          <t>CCS MV switchgear building (VFDs)</t>
        </is>
      </c>
      <c r="G3765" s="12" t="inlineStr">
        <is>
          <t>STR-B</t>
        </is>
      </c>
      <c r="H3765" s="12" t="inlineStr">
        <is>
          <t>STR-B: stripper / regenerator (45 ft dia x 207 ft)</t>
        </is>
      </c>
      <c r="I3765" s="12" t="inlineStr">
        <is>
          <t>LV 600 V</t>
        </is>
      </c>
      <c r="J3765" s="12" t="inlineStr">
        <is>
          <t>Type TC-ER 600 V 3/C Cu XHHW-2 + ground, PVC jacket</t>
        </is>
      </c>
      <c r="K3765" s="12" t="inlineStr">
        <is>
          <t>LV|3/C+G|2</t>
        </is>
      </c>
      <c r="L3765" s="12" t="inlineStr">
        <is>
          <t>3/C+G</t>
        </is>
      </c>
      <c r="M3765" s="12" t="inlineStr">
        <is>
          <t>2</t>
        </is>
      </c>
      <c r="N3765" s="12" t="n">
        <v>1</v>
      </c>
      <c r="O3765" s="12" t="n">
        <v>1</v>
      </c>
      <c r="P3765" s="12" t="n">
        <v>480</v>
      </c>
      <c r="Q3765" s="12" t="n">
        <v>60</v>
      </c>
      <c r="R3765" s="12" t="n">
        <v>76</v>
      </c>
      <c r="S3765" s="12" t="inlineStr">
        <is>
          <t>Duct bank</t>
        </is>
      </c>
      <c r="T3765" s="16" t="n">
        <v>146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1.1 %</t>
        </is>
      </c>
      <c r="AA3765" s="12">
        <f>N3765*O3765</f>
        <v/>
      </c>
    </row>
    <row r="3766">
      <c r="A3766" s="12" t="inlineStr">
        <is>
          <t>G-P-0233</t>
        </is>
      </c>
      <c r="B3766" s="12" t="inlineStr">
        <is>
          <t>G</t>
        </is>
      </c>
      <c r="C3766" s="12" t="inlineStr">
        <is>
          <t>Carbon capture</t>
        </is>
      </c>
      <c r="D3766" s="12" t="inlineStr">
        <is>
          <t>480 V welding receptacle 3</t>
        </is>
      </c>
      <c r="E3766" s="12" t="inlineStr"/>
      <c r="F3766" s="12" t="inlineStr">
        <is>
          <t>CCS MV switchgear building (VFDs)</t>
        </is>
      </c>
      <c r="G3766" s="12" t="inlineStr">
        <is>
          <t>STR-B</t>
        </is>
      </c>
      <c r="H3766" s="12" t="inlineStr">
        <is>
          <t>STR-B: stripper / regenerator (45 ft dia x 207 ft)</t>
        </is>
      </c>
      <c r="I3766" s="12" t="inlineStr">
        <is>
          <t>LV 600 V</t>
        </is>
      </c>
      <c r="J3766" s="12" t="inlineStr">
        <is>
          <t>Type TC-ER 600 V 3/C Cu XHHW-2 + ground, PVC jacket</t>
        </is>
      </c>
      <c r="K3766" s="12" t="inlineStr">
        <is>
          <t>LV|3/C+G|2</t>
        </is>
      </c>
      <c r="L3766" s="12" t="inlineStr">
        <is>
          <t>3/C+G</t>
        </is>
      </c>
      <c r="M3766" s="12" t="inlineStr">
        <is>
          <t>2</t>
        </is>
      </c>
      <c r="N3766" s="12" t="n">
        <v>1</v>
      </c>
      <c r="O3766" s="12" t="n">
        <v>1</v>
      </c>
      <c r="P3766" s="12" t="n">
        <v>480</v>
      </c>
      <c r="Q3766" s="12" t="n">
        <v>60</v>
      </c>
      <c r="R3766" s="12" t="n">
        <v>76</v>
      </c>
      <c r="S3766" s="12" t="inlineStr">
        <is>
          <t>Duct bank</t>
        </is>
      </c>
      <c r="T3766" s="16" t="n">
        <v>146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1.1 %</t>
        </is>
      </c>
      <c r="AA3766" s="12">
        <f>N3766*O3766</f>
        <v/>
      </c>
    </row>
    <row r="3767">
      <c r="A3767" s="12" t="inlineStr">
        <is>
          <t>G-P-0234</t>
        </is>
      </c>
      <c r="B3767" s="12" t="inlineStr">
        <is>
          <t>G</t>
        </is>
      </c>
      <c r="C3767" s="12" t="inlineStr">
        <is>
          <t>Carbon capture</t>
        </is>
      </c>
      <c r="D3767" s="12" t="inlineStr">
        <is>
          <t>480 V welding receptacle 4</t>
        </is>
      </c>
      <c r="E3767" s="12" t="inlineStr"/>
      <c r="F3767" s="12" t="inlineStr">
        <is>
          <t>CCS MV switchgear building (VFDs)</t>
        </is>
      </c>
      <c r="G3767" s="12" t="inlineStr">
        <is>
          <t>STR-B</t>
        </is>
      </c>
      <c r="H3767" s="12" t="inlineStr">
        <is>
          <t>STR-B: stripper / regenerator (45 ft dia x 207 ft)</t>
        </is>
      </c>
      <c r="I3767" s="12" t="inlineStr">
        <is>
          <t>LV 600 V</t>
        </is>
      </c>
      <c r="J3767" s="12" t="inlineStr">
        <is>
          <t>Type TC-ER 600 V 3/C Cu XHHW-2 + ground, PVC jacket</t>
        </is>
      </c>
      <c r="K3767" s="12" t="inlineStr">
        <is>
          <t>LV|3/C+G|2</t>
        </is>
      </c>
      <c r="L3767" s="12" t="inlineStr">
        <is>
          <t>3/C+G</t>
        </is>
      </c>
      <c r="M3767" s="12" t="inlineStr">
        <is>
          <t>2</t>
        </is>
      </c>
      <c r="N3767" s="12" t="n">
        <v>1</v>
      </c>
      <c r="O3767" s="12" t="n">
        <v>1</v>
      </c>
      <c r="P3767" s="12" t="n">
        <v>480</v>
      </c>
      <c r="Q3767" s="12" t="n">
        <v>60</v>
      </c>
      <c r="R3767" s="12" t="n">
        <v>76</v>
      </c>
      <c r="S3767" s="12" t="inlineStr">
        <is>
          <t>Duct bank</t>
        </is>
      </c>
      <c r="T3767" s="16" t="n">
        <v>146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VD 1.1 %</t>
        </is>
      </c>
      <c r="AA3767" s="12">
        <f>N3767*O3767</f>
        <v/>
      </c>
    </row>
    <row r="3768">
      <c r="A3768" s="12" t="inlineStr">
        <is>
          <t>G-P-0235</t>
        </is>
      </c>
      <c r="B3768" s="12" t="inlineStr">
        <is>
          <t>G</t>
        </is>
      </c>
      <c r="C3768" s="12" t="inlineStr">
        <is>
          <t>Carbon capture</t>
        </is>
      </c>
      <c r="D3768" s="12" t="inlineStr">
        <is>
          <t>MOV 1: power</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2.5</v>
      </c>
      <c r="R3768" s="12" t="n">
        <v>3.5</v>
      </c>
      <c r="S3768" s="12" t="inlineStr">
        <is>
          <t>Duct bank</t>
        </is>
      </c>
      <c r="T3768" s="16" t="n">
        <v>196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VD 0.4 %</t>
        </is>
      </c>
      <c r="AA3768" s="12">
        <f>N3768*O3768</f>
        <v/>
      </c>
    </row>
    <row r="3769">
      <c r="A3769" s="12" t="inlineStr">
        <is>
          <t>G-P-0236</t>
        </is>
      </c>
      <c r="B3769" s="12" t="inlineStr">
        <is>
          <t>G</t>
        </is>
      </c>
      <c r="C3769" s="12" t="inlineStr">
        <is>
          <t>Carbon capture</t>
        </is>
      </c>
      <c r="D3769" s="12" t="inlineStr">
        <is>
          <t>MOV 2: power</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2.5</v>
      </c>
      <c r="R3769" s="12" t="n">
        <v>3.5</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0.4 %</t>
        </is>
      </c>
      <c r="AA3769" s="12">
        <f>N3769*O3769</f>
        <v/>
      </c>
    </row>
    <row r="3770">
      <c r="A3770" s="12" t="inlineStr">
        <is>
          <t>G-P-0237</t>
        </is>
      </c>
      <c r="B3770" s="12" t="inlineStr">
        <is>
          <t>G</t>
        </is>
      </c>
      <c r="C3770" s="12" t="inlineStr">
        <is>
          <t>Carbon capture</t>
        </is>
      </c>
      <c r="D3770" s="12" t="inlineStr">
        <is>
          <t>MOV 3: power</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2.5</v>
      </c>
      <c r="R3770" s="12" t="n">
        <v>3.5</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0.4 %</t>
        </is>
      </c>
      <c r="AA3770" s="12">
        <f>N3770*O3770</f>
        <v/>
      </c>
    </row>
    <row r="3771">
      <c r="A3771" s="12" t="inlineStr">
        <is>
          <t>G-P-0238</t>
        </is>
      </c>
      <c r="B3771" s="12" t="inlineStr">
        <is>
          <t>G</t>
        </is>
      </c>
      <c r="C3771" s="12" t="inlineStr">
        <is>
          <t>Carbon capture</t>
        </is>
      </c>
      <c r="D3771" s="12" t="inlineStr">
        <is>
          <t>MOV 4: power</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LV|3/C+G|10</t>
        </is>
      </c>
      <c r="L3771" s="12" t="inlineStr">
        <is>
          <t>3/C+G</t>
        </is>
      </c>
      <c r="M3771" s="12" t="inlineStr">
        <is>
          <t>10</t>
        </is>
      </c>
      <c r="N3771" s="12" t="n">
        <v>1</v>
      </c>
      <c r="O3771" s="12" t="n">
        <v>1</v>
      </c>
      <c r="P3771" s="12" t="n">
        <v>480</v>
      </c>
      <c r="Q3771" s="12" t="n">
        <v>2.5</v>
      </c>
      <c r="R3771" s="12" t="n">
        <v>3.5</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0.4 %</t>
        </is>
      </c>
      <c r="AA3771" s="12">
        <f>N3771*O3771</f>
        <v/>
      </c>
    </row>
    <row r="3772">
      <c r="A3772" s="12" t="inlineStr">
        <is>
          <t>G-P-0239</t>
        </is>
      </c>
      <c r="B3772" s="12" t="inlineStr">
        <is>
          <t>G</t>
        </is>
      </c>
      <c r="C3772" s="12" t="inlineStr">
        <is>
          <t>Carbon capture</t>
        </is>
      </c>
      <c r="D3772" s="12" t="inlineStr">
        <is>
          <t>MOV 5: power</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LV|3/C+G|10</t>
        </is>
      </c>
      <c r="L3772" s="12" t="inlineStr">
        <is>
          <t>3/C+G</t>
        </is>
      </c>
      <c r="M3772" s="12" t="inlineStr">
        <is>
          <t>10</t>
        </is>
      </c>
      <c r="N3772" s="12" t="n">
        <v>1</v>
      </c>
      <c r="O3772" s="12" t="n">
        <v>1</v>
      </c>
      <c r="P3772" s="12" t="n">
        <v>480</v>
      </c>
      <c r="Q3772" s="12" t="n">
        <v>2.5</v>
      </c>
      <c r="R3772" s="12" t="n">
        <v>3.5</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0.4 %</t>
        </is>
      </c>
      <c r="AA3772" s="12">
        <f>N3772*O3772</f>
        <v/>
      </c>
    </row>
    <row r="3773">
      <c r="A3773" s="12" t="inlineStr">
        <is>
          <t>G-P-0240</t>
        </is>
      </c>
      <c r="B3773" s="12" t="inlineStr">
        <is>
          <t>G</t>
        </is>
      </c>
      <c r="C3773" s="12" t="inlineStr">
        <is>
          <t>Carbon capture</t>
        </is>
      </c>
      <c r="D3773" s="12" t="inlineStr">
        <is>
          <t>MOV 6: power</t>
        </is>
      </c>
      <c r="E3773" s="12" t="inlineStr"/>
      <c r="F3773" s="12" t="inlineStr">
        <is>
          <t>CCS MV switchgear building (VFDs)</t>
        </is>
      </c>
      <c r="G3773" s="12" t="inlineStr">
        <is>
          <t>STR-C</t>
        </is>
      </c>
      <c r="H3773" s="12" t="inlineStr">
        <is>
          <t>STR-C: stripper / regenerator (45 ft dia x 207 ft)</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2.5</v>
      </c>
      <c r="R3773" s="12" t="n">
        <v>3.5</v>
      </c>
      <c r="S3773" s="12" t="inlineStr">
        <is>
          <t>Duct bank</t>
        </is>
      </c>
      <c r="T3773" s="16" t="n">
        <v>196</v>
      </c>
      <c r="U3773" s="16" t="n">
        <v>36</v>
      </c>
      <c r="V3773" s="16">
        <f>ROUNDUP((T3773+U3773+2*'Read Me'!$B$13)*(1+'Read Me'!$B$12),-1)</f>
        <v/>
      </c>
      <c r="W3773" s="16">
        <f>V3773*N3773*O3773</f>
        <v/>
      </c>
      <c r="X3773" s="12">
        <f>IF(LEFT(I3773,2)="MV",2*N3773*IF(L3773="1/C",O3773,1),0)</f>
        <v/>
      </c>
      <c r="Y3773" s="12">
        <f>IF(OR(LEFT(K3773,4)="LVAX",LEFT(K3773,6)="MV15AX",LEFT(K3773,4)="CTAX",LEFT(K3773,2)="W|"),2*N3773*O3773,0)</f>
        <v/>
      </c>
      <c r="Z3773" s="12" t="inlineStr">
        <is>
          <t>VD 0.4 %</t>
        </is>
      </c>
      <c r="AA3773" s="12">
        <f>N3773*O3773</f>
        <v/>
      </c>
    </row>
    <row r="3774">
      <c r="A3774" s="12" t="inlineStr">
        <is>
          <t>G-P-0241</t>
        </is>
      </c>
      <c r="B3774" s="12" t="inlineStr">
        <is>
          <t>G</t>
        </is>
      </c>
      <c r="C3774" s="12" t="inlineStr">
        <is>
          <t>Carbon capture</t>
        </is>
      </c>
      <c r="D3774" s="12" t="inlineStr">
        <is>
          <t>LV power feeder</t>
        </is>
      </c>
      <c r="E3774" s="12" t="inlineStr"/>
      <c r="F3774" s="12" t="inlineStr">
        <is>
          <t>CCS MV switchgear building (VFDs)</t>
        </is>
      </c>
      <c r="G3774" s="12" t="inlineStr">
        <is>
          <t>STR-C</t>
        </is>
      </c>
      <c r="H3774" s="12" t="inlineStr">
        <is>
          <t>STR-C: stripper / regenerator (45 ft dia x 207 ft)</t>
        </is>
      </c>
      <c r="I3774" s="12" t="inlineStr">
        <is>
          <t>LV 600 V</t>
        </is>
      </c>
      <c r="J3774" s="12" t="inlineStr">
        <is>
          <t>Type TC-ER 600 V 3/C Cu XHHW-2 + ground, PVC jacket</t>
        </is>
      </c>
      <c r="K3774" s="12" t="inlineStr">
        <is>
          <t>LV|3/C+G|6</t>
        </is>
      </c>
      <c r="L3774" s="12" t="inlineStr">
        <is>
          <t>3/C+G</t>
        </is>
      </c>
      <c r="M3774" s="12" t="inlineStr">
        <is>
          <t>6</t>
        </is>
      </c>
      <c r="N3774" s="12" t="n">
        <v>1</v>
      </c>
      <c r="O3774" s="12" t="n">
        <v>1</v>
      </c>
      <c r="P3774" s="12" t="n">
        <v>480</v>
      </c>
      <c r="Q3774" s="12" t="n">
        <v>30</v>
      </c>
      <c r="R3774" s="12" t="n">
        <v>42.5</v>
      </c>
      <c r="S3774" s="12" t="inlineStr">
        <is>
          <t>Duct bank</t>
        </is>
      </c>
      <c r="T3774" s="16" t="n">
        <v>196</v>
      </c>
      <c r="U3774" s="16" t="n">
        <v>36</v>
      </c>
      <c r="V3774" s="16">
        <f>ROUNDUP((T3774+U3774+2*'Read Me'!$B$13)*(1+'Read Me'!$B$12),-1)</f>
        <v/>
      </c>
      <c r="W3774" s="16">
        <f>V3774*N3774*O3774</f>
        <v/>
      </c>
      <c r="X3774" s="12">
        <f>IF(LEFT(I3774,2)="MV",2*N3774*IF(L3774="1/C",O3774,1),0)</f>
        <v/>
      </c>
      <c r="Y3774" s="12">
        <f>IF(OR(LEFT(K3774,4)="LVAX",LEFT(K3774,6)="MV15AX",LEFT(K3774,4)="CTAX",LEFT(K3774,2)="W|"),2*N3774*O3774,0)</f>
        <v/>
      </c>
      <c r="Z3774" s="12" t="inlineStr">
        <is>
          <t>VD 1.9 %</t>
        </is>
      </c>
      <c r="AA3774" s="12">
        <f>N3774*O3774</f>
        <v/>
      </c>
    </row>
    <row r="3775">
      <c r="A3775" s="12" t="inlineStr">
        <is>
          <t>G-P-0242</t>
        </is>
      </c>
      <c r="B3775" s="12" t="inlineStr">
        <is>
          <t>G</t>
        </is>
      </c>
      <c r="C3775" s="12" t="inlineStr">
        <is>
          <t>Carbon capture</t>
        </is>
      </c>
      <c r="D3775" s="12" t="inlineStr">
        <is>
          <t>Area / platform lighting circuit 1 (12 fixtures)</t>
        </is>
      </c>
      <c r="E3775" s="12" t="inlineStr"/>
      <c r="F3775" s="12" t="inlineStr">
        <is>
          <t>CCS MV switchgear building (VFDs)</t>
        </is>
      </c>
      <c r="G3775" s="12" t="inlineStr">
        <is>
          <t>STR-C</t>
        </is>
      </c>
      <c r="H3775" s="12" t="inlineStr">
        <is>
          <t>STR-C: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3</v>
      </c>
      <c r="R3775" s="12" t="n">
        <v>5</v>
      </c>
      <c r="S3775" s="12" t="inlineStr">
        <is>
          <t>Duct bank</t>
        </is>
      </c>
      <c r="T3775" s="16" t="n">
        <v>496</v>
      </c>
      <c r="U3775" s="16" t="n">
        <v>36</v>
      </c>
      <c r="V3775" s="16">
        <f>ROUNDUP((T3775+U3775+2*'Read Me'!$B$13)*(1+'Read Me'!$B$12),-1)</f>
        <v/>
      </c>
      <c r="W3775" s="16">
        <f>V3775*N3775*O3775</f>
        <v/>
      </c>
      <c r="X3775" s="12">
        <f>IF(LEFT(I3775,2)="MV",2*N3775*IF(L3775="1/C",O3775,1),0)</f>
        <v/>
      </c>
      <c r="Y3775" s="12">
        <f>IF(OR(LEFT(K3775,4)="LVAX",LEFT(K3775,6)="MV15AX",LEFT(K3775,4)="CTAX",LEFT(K3775,2)="W|"),2*N3775*O3775,0)</f>
        <v/>
      </c>
      <c r="Z3775" s="12" t="inlineStr">
        <is>
          <t>fixture-to-fixture run included</t>
        </is>
      </c>
      <c r="AA3775" s="12">
        <f>N3775*O3775</f>
        <v/>
      </c>
    </row>
    <row r="3776">
      <c r="A3776" s="12" t="inlineStr">
        <is>
          <t>G-P-0243</t>
        </is>
      </c>
      <c r="B3776" s="12" t="inlineStr">
        <is>
          <t>G</t>
        </is>
      </c>
      <c r="C3776" s="12" t="inlineStr">
        <is>
          <t>Carbon capture</t>
        </is>
      </c>
      <c r="D3776" s="12" t="inlineStr">
        <is>
          <t>Area / platform lighting circuit 2 (8 fixtures)</t>
        </is>
      </c>
      <c r="E3776" s="12" t="inlineStr"/>
      <c r="F3776" s="12" t="inlineStr">
        <is>
          <t>CCS MV switchgear building (VFDs)</t>
        </is>
      </c>
      <c r="G3776" s="12" t="inlineStr">
        <is>
          <t>STR-C</t>
        </is>
      </c>
      <c r="H3776" s="12" t="inlineStr">
        <is>
          <t>STR-C: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3</v>
      </c>
      <c r="R3776" s="12" t="n">
        <v>5</v>
      </c>
      <c r="S3776" s="12" t="inlineStr">
        <is>
          <t>Duct bank</t>
        </is>
      </c>
      <c r="T3776" s="16" t="n">
        <v>496</v>
      </c>
      <c r="U3776" s="16" t="n">
        <v>36</v>
      </c>
      <c r="V3776" s="16">
        <f>ROUNDUP((T3776+U3776+2*'Read Me'!$B$13)*(1+'Read Me'!$B$12),-1)</f>
        <v/>
      </c>
      <c r="W3776" s="16">
        <f>V3776*N3776*O3776</f>
        <v/>
      </c>
      <c r="X3776" s="12">
        <f>IF(LEFT(I3776,2)="MV",2*N3776*IF(L3776="1/C",O3776,1),0)</f>
        <v/>
      </c>
      <c r="Y3776" s="12">
        <f>IF(OR(LEFT(K3776,4)="LVAX",LEFT(K3776,6)="MV15AX",LEFT(K3776,4)="CTAX",LEFT(K3776,2)="W|"),2*N3776*O3776,0)</f>
        <v/>
      </c>
      <c r="Z3776" s="12" t="inlineStr">
        <is>
          <t>fixture-to-fixture run included</t>
        </is>
      </c>
      <c r="AA3776" s="12">
        <f>N3776*O3776</f>
        <v/>
      </c>
    </row>
    <row r="3777">
      <c r="A3777" s="12" t="inlineStr">
        <is>
          <t>G-P-0244</t>
        </is>
      </c>
      <c r="B3777" s="12" t="inlineStr">
        <is>
          <t>G</t>
        </is>
      </c>
      <c r="C3777" s="12" t="inlineStr">
        <is>
          <t>Carbon capture</t>
        </is>
      </c>
      <c r="D3777" s="12" t="inlineStr">
        <is>
          <t>480 V welding receptacle 1</t>
        </is>
      </c>
      <c r="E3777" s="12" t="inlineStr"/>
      <c r="F3777" s="12" t="inlineStr">
        <is>
          <t>CCS MV switchgear building (VFDs)</t>
        </is>
      </c>
      <c r="G3777" s="12" t="inlineStr">
        <is>
          <t>STR-C</t>
        </is>
      </c>
      <c r="H3777" s="12" t="inlineStr">
        <is>
          <t>STR-C: stripper / regenerator (45 ft dia x 207 ft)</t>
        </is>
      </c>
      <c r="I3777" s="12" t="inlineStr">
        <is>
          <t>LV 600 V</t>
        </is>
      </c>
      <c r="J3777" s="12" t="inlineStr">
        <is>
          <t>Type TC-ER 600 V 3/C Cu XHHW-2 + ground, PVC jacket</t>
        </is>
      </c>
      <c r="K3777" s="12" t="inlineStr">
        <is>
          <t>LV|3/C+G|2</t>
        </is>
      </c>
      <c r="L3777" s="12" t="inlineStr">
        <is>
          <t>3/C+G</t>
        </is>
      </c>
      <c r="M3777" s="12" t="inlineStr">
        <is>
          <t>2</t>
        </is>
      </c>
      <c r="N3777" s="12" t="n">
        <v>1</v>
      </c>
      <c r="O3777" s="12" t="n">
        <v>1</v>
      </c>
      <c r="P3777" s="12" t="n">
        <v>480</v>
      </c>
      <c r="Q3777" s="12" t="n">
        <v>60</v>
      </c>
      <c r="R3777" s="12" t="n">
        <v>76</v>
      </c>
      <c r="S3777" s="12" t="inlineStr">
        <is>
          <t>Duct bank</t>
        </is>
      </c>
      <c r="T3777" s="16" t="n">
        <v>196</v>
      </c>
      <c r="U3777" s="16" t="n">
        <v>36</v>
      </c>
      <c r="V3777" s="16">
        <f>ROUNDUP((T3777+U3777+2*'Read Me'!$B$13)*(1+'Read Me'!$B$12),-1)</f>
        <v/>
      </c>
      <c r="W3777" s="16">
        <f>V3777*N3777*O3777</f>
        <v/>
      </c>
      <c r="X3777" s="12">
        <f>IF(LEFT(I3777,2)="MV",2*N3777*IF(L3777="1/C",O3777,1),0)</f>
        <v/>
      </c>
      <c r="Y3777" s="12">
        <f>IF(OR(LEFT(K3777,4)="LVAX",LEFT(K3777,6)="MV15AX",LEFT(K3777,4)="CTAX",LEFT(K3777,2)="W|"),2*N3777*O3777,0)</f>
        <v/>
      </c>
      <c r="Z3777" s="12" t="inlineStr">
        <is>
          <t>VD 1.4 %</t>
        </is>
      </c>
      <c r="AA3777" s="12">
        <f>N3777*O3777</f>
        <v/>
      </c>
    </row>
    <row r="3778">
      <c r="A3778" s="12" t="inlineStr">
        <is>
          <t>G-P-0245</t>
        </is>
      </c>
      <c r="B3778" s="12" t="inlineStr">
        <is>
          <t>G</t>
        </is>
      </c>
      <c r="C3778" s="12" t="inlineStr">
        <is>
          <t>Carbon capture</t>
        </is>
      </c>
      <c r="D3778" s="12" t="inlineStr">
        <is>
          <t>480 V welding receptacle 2</t>
        </is>
      </c>
      <c r="E3778" s="12" t="inlineStr"/>
      <c r="F3778" s="12" t="inlineStr">
        <is>
          <t>CCS MV switchgear building (VFDs)</t>
        </is>
      </c>
      <c r="G3778" s="12" t="inlineStr">
        <is>
          <t>STR-C</t>
        </is>
      </c>
      <c r="H3778" s="12" t="inlineStr">
        <is>
          <t>STR-C: stripper / regenerator (45 ft dia x 207 ft)</t>
        </is>
      </c>
      <c r="I3778" s="12" t="inlineStr">
        <is>
          <t>LV 600 V</t>
        </is>
      </c>
      <c r="J3778" s="12" t="inlineStr">
        <is>
          <t>Type TC-ER 600 V 3/C Cu XHHW-2 + ground, PVC jacket</t>
        </is>
      </c>
      <c r="K3778" s="12" t="inlineStr">
        <is>
          <t>LV|3/C+G|2</t>
        </is>
      </c>
      <c r="L3778" s="12" t="inlineStr">
        <is>
          <t>3/C+G</t>
        </is>
      </c>
      <c r="M3778" s="12" t="inlineStr">
        <is>
          <t>2</t>
        </is>
      </c>
      <c r="N3778" s="12" t="n">
        <v>1</v>
      </c>
      <c r="O3778" s="12" t="n">
        <v>1</v>
      </c>
      <c r="P3778" s="12" t="n">
        <v>480</v>
      </c>
      <c r="Q3778" s="12" t="n">
        <v>60</v>
      </c>
      <c r="R3778" s="12" t="n">
        <v>76</v>
      </c>
      <c r="S3778" s="12" t="inlineStr">
        <is>
          <t>Duct bank</t>
        </is>
      </c>
      <c r="T3778" s="16" t="n">
        <v>196</v>
      </c>
      <c r="U3778" s="16" t="n">
        <v>36</v>
      </c>
      <c r="V3778" s="16">
        <f>ROUNDUP((T3778+U3778+2*'Read Me'!$B$13)*(1+'Read Me'!$B$12),-1)</f>
        <v/>
      </c>
      <c r="W3778" s="16">
        <f>V3778*N3778*O3778</f>
        <v/>
      </c>
      <c r="X3778" s="12">
        <f>IF(LEFT(I3778,2)="MV",2*N3778*IF(L3778="1/C",O3778,1),0)</f>
        <v/>
      </c>
      <c r="Y3778" s="12">
        <f>IF(OR(LEFT(K3778,4)="LVAX",LEFT(K3778,6)="MV15AX",LEFT(K3778,4)="CTAX",LEFT(K3778,2)="W|"),2*N3778*O3778,0)</f>
        <v/>
      </c>
      <c r="Z3778" s="12" t="inlineStr">
        <is>
          <t>VD 1.4 %</t>
        </is>
      </c>
      <c r="AA3778" s="12">
        <f>N3778*O3778</f>
        <v/>
      </c>
    </row>
    <row r="3779">
      <c r="A3779" s="12" t="inlineStr">
        <is>
          <t>G-P-0246</t>
        </is>
      </c>
      <c r="B3779" s="12" t="inlineStr">
        <is>
          <t>G</t>
        </is>
      </c>
      <c r="C3779" s="12" t="inlineStr">
        <is>
          <t>Carbon capture</t>
        </is>
      </c>
      <c r="D3779" s="12" t="inlineStr">
        <is>
          <t>480 V welding receptacle 3</t>
        </is>
      </c>
      <c r="E3779" s="12" t="inlineStr"/>
      <c r="F3779" s="12" t="inlineStr">
        <is>
          <t>CCS MV switchgear building (VFDs)</t>
        </is>
      </c>
      <c r="G3779" s="12" t="inlineStr">
        <is>
          <t>STR-C</t>
        </is>
      </c>
      <c r="H3779" s="12" t="inlineStr">
        <is>
          <t>STR-C: stripper / regenerator (45 ft dia x 207 ft)</t>
        </is>
      </c>
      <c r="I3779" s="12" t="inlineStr">
        <is>
          <t>LV 600 V</t>
        </is>
      </c>
      <c r="J3779" s="12" t="inlineStr">
        <is>
          <t>Type TC-ER 600 V 3/C Cu XHHW-2 + ground, PVC jacket</t>
        </is>
      </c>
      <c r="K3779" s="12" t="inlineStr">
        <is>
          <t>LV|3/C+G|2</t>
        </is>
      </c>
      <c r="L3779" s="12" t="inlineStr">
        <is>
          <t>3/C+G</t>
        </is>
      </c>
      <c r="M3779" s="12" t="inlineStr">
        <is>
          <t>2</t>
        </is>
      </c>
      <c r="N3779" s="12" t="n">
        <v>1</v>
      </c>
      <c r="O3779" s="12" t="n">
        <v>1</v>
      </c>
      <c r="P3779" s="12" t="n">
        <v>480</v>
      </c>
      <c r="Q3779" s="12" t="n">
        <v>60</v>
      </c>
      <c r="R3779" s="12" t="n">
        <v>76</v>
      </c>
      <c r="S3779" s="12" t="inlineStr">
        <is>
          <t>Duct bank</t>
        </is>
      </c>
      <c r="T3779" s="16" t="n">
        <v>196</v>
      </c>
      <c r="U3779" s="16" t="n">
        <v>36</v>
      </c>
      <c r="V3779" s="16">
        <f>ROUNDUP((T3779+U3779+2*'Read Me'!$B$13)*(1+'Read Me'!$B$12),-1)</f>
        <v/>
      </c>
      <c r="W3779" s="16">
        <f>V3779*N3779*O3779</f>
        <v/>
      </c>
      <c r="X3779" s="12">
        <f>IF(LEFT(I3779,2)="MV",2*N3779*IF(L3779="1/C",O3779,1),0)</f>
        <v/>
      </c>
      <c r="Y3779" s="12">
        <f>IF(OR(LEFT(K3779,4)="LVAX",LEFT(K3779,6)="MV15AX",LEFT(K3779,4)="CTAX",LEFT(K3779,2)="W|"),2*N3779*O3779,0)</f>
        <v/>
      </c>
      <c r="Z3779" s="12" t="inlineStr">
        <is>
          <t>VD 1.4 %</t>
        </is>
      </c>
      <c r="AA3779" s="12">
        <f>N3779*O3779</f>
        <v/>
      </c>
    </row>
    <row r="3780">
      <c r="A3780" s="12" t="inlineStr">
        <is>
          <t>G-P-0247</t>
        </is>
      </c>
      <c r="B3780" s="12" t="inlineStr">
        <is>
          <t>G</t>
        </is>
      </c>
      <c r="C3780" s="12" t="inlineStr">
        <is>
          <t>Carbon capture</t>
        </is>
      </c>
      <c r="D3780" s="12" t="inlineStr">
        <is>
          <t>480 V welding receptacle 4</t>
        </is>
      </c>
      <c r="E3780" s="12" t="inlineStr"/>
      <c r="F3780" s="12" t="inlineStr">
        <is>
          <t>CCS MV switchgear building (VFDs)</t>
        </is>
      </c>
      <c r="G3780" s="12" t="inlineStr">
        <is>
          <t>STR-C</t>
        </is>
      </c>
      <c r="H3780" s="12" t="inlineStr">
        <is>
          <t>STR-C: stripper / regenerator (45 ft dia x 207 ft)</t>
        </is>
      </c>
      <c r="I3780" s="12" t="inlineStr">
        <is>
          <t>LV 600 V</t>
        </is>
      </c>
      <c r="J3780" s="12" t="inlineStr">
        <is>
          <t>Type TC-ER 600 V 3/C Cu XHHW-2 + ground, PVC jacket</t>
        </is>
      </c>
      <c r="K3780" s="12" t="inlineStr">
        <is>
          <t>LV|3/C+G|2</t>
        </is>
      </c>
      <c r="L3780" s="12" t="inlineStr">
        <is>
          <t>3/C+G</t>
        </is>
      </c>
      <c r="M3780" s="12" t="inlineStr">
        <is>
          <t>2</t>
        </is>
      </c>
      <c r="N3780" s="12" t="n">
        <v>1</v>
      </c>
      <c r="O3780" s="12" t="n">
        <v>1</v>
      </c>
      <c r="P3780" s="12" t="n">
        <v>480</v>
      </c>
      <c r="Q3780" s="12" t="n">
        <v>60</v>
      </c>
      <c r="R3780" s="12" t="n">
        <v>76</v>
      </c>
      <c r="S3780" s="12" t="inlineStr">
        <is>
          <t>Duct bank</t>
        </is>
      </c>
      <c r="T3780" s="16" t="n">
        <v>196</v>
      </c>
      <c r="U3780" s="16" t="n">
        <v>36</v>
      </c>
      <c r="V3780" s="16">
        <f>ROUNDUP((T3780+U3780+2*'Read Me'!$B$13)*(1+'Read Me'!$B$12),-1)</f>
        <v/>
      </c>
      <c r="W3780" s="16">
        <f>V3780*N3780*O3780</f>
        <v/>
      </c>
      <c r="X3780" s="12">
        <f>IF(LEFT(I3780,2)="MV",2*N3780*IF(L3780="1/C",O3780,1),0)</f>
        <v/>
      </c>
      <c r="Y3780" s="12">
        <f>IF(OR(LEFT(K3780,4)="LVAX",LEFT(K3780,6)="MV15AX",LEFT(K3780,4)="CTAX",LEFT(K3780,2)="W|"),2*N3780*O3780,0)</f>
        <v/>
      </c>
      <c r="Z3780" s="12" t="inlineStr">
        <is>
          <t>VD 1.4 %</t>
        </is>
      </c>
      <c r="AA3780" s="12">
        <f>N3780*O3780</f>
        <v/>
      </c>
    </row>
    <row r="3781">
      <c r="A3781" s="12" t="inlineStr">
        <is>
          <t>G-P-0248</t>
        </is>
      </c>
      <c r="B3781" s="12" t="inlineStr">
        <is>
          <t>G</t>
        </is>
      </c>
      <c r="C3781" s="12" t="inlineStr">
        <is>
          <t>Carbon capture</t>
        </is>
      </c>
      <c r="D3781" s="12" t="inlineStr">
        <is>
          <t>Motor 1 of 4, 15 kW</t>
        </is>
      </c>
      <c r="E3781" s="12" t="inlineStr"/>
      <c r="F3781" s="12" t="inlineStr">
        <is>
          <t>CCS MV switchgear building (VFDs)</t>
        </is>
      </c>
      <c r="G3781" s="12" t="inlineStr"/>
      <c r="H3781" s="12" t="inlineStr">
        <is>
          <t>Solvent + NaOH storage</t>
        </is>
      </c>
      <c r="I3781" s="12" t="inlineStr">
        <is>
          <t>LV 600 V</t>
        </is>
      </c>
      <c r="J3781" s="12" t="inlineStr">
        <is>
          <t>Type TC-ER 600 V 3/C Cu XHHW-2 + ground, PVC jacket</t>
        </is>
      </c>
      <c r="K3781" s="12" t="inlineStr">
        <is>
          <t>LV|3/C+G|10</t>
        </is>
      </c>
      <c r="L3781" s="12" t="inlineStr">
        <is>
          <t>3/C+G</t>
        </is>
      </c>
      <c r="M3781" s="12" t="inlineStr">
        <is>
          <t>10</t>
        </is>
      </c>
      <c r="N3781" s="12" t="n">
        <v>1</v>
      </c>
      <c r="O3781" s="12" t="n">
        <v>1</v>
      </c>
      <c r="P3781" s="12" t="n">
        <v>480</v>
      </c>
      <c r="Q3781" s="12" t="n">
        <v>15</v>
      </c>
      <c r="R3781" s="12" t="n">
        <v>21.2</v>
      </c>
      <c r="S3781" s="12" t="inlineStr">
        <is>
          <t>Duct bank</t>
        </is>
      </c>
      <c r="T3781" s="16" t="n">
        <v>250</v>
      </c>
      <c r="U3781" s="16" t="n">
        <v>37</v>
      </c>
      <c r="V3781" s="16">
        <f>ROUNDUP((T3781+U3781+2*'Read Me'!$B$13)*(1+'Read Me'!$B$12),-1)</f>
        <v/>
      </c>
      <c r="W3781" s="16">
        <f>V3781*N3781*O3781</f>
        <v/>
      </c>
      <c r="X3781" s="12">
        <f>IF(LEFT(I3781,2)="MV",2*N3781*IF(L3781="1/C",O3781,1),0)</f>
        <v/>
      </c>
      <c r="Y3781" s="12">
        <f>IF(OR(LEFT(K3781,4)="LVAX",LEFT(K3781,6)="MV15AX",LEFT(K3781,4)="CTAX",LEFT(K3781,2)="W|"),2*N3781*O3781,0)</f>
        <v/>
      </c>
      <c r="Z3781" s="12" t="inlineStr">
        <is>
          <t>VD 2.9 %</t>
        </is>
      </c>
      <c r="AA3781" s="12">
        <f>N3781*O3781</f>
        <v/>
      </c>
    </row>
    <row r="3782">
      <c r="A3782" s="12" t="inlineStr">
        <is>
          <t>G-P-0249</t>
        </is>
      </c>
      <c r="B3782" s="12" t="inlineStr">
        <is>
          <t>G</t>
        </is>
      </c>
      <c r="C3782" s="12" t="inlineStr">
        <is>
          <t>Carbon capture</t>
        </is>
      </c>
      <c r="D3782" s="12" t="inlineStr">
        <is>
          <t>Motor 2 of 4, 15 kW</t>
        </is>
      </c>
      <c r="E3782" s="12" t="inlineStr"/>
      <c r="F3782" s="12" t="inlineStr">
        <is>
          <t>CCS MV switchgear building (VFDs)</t>
        </is>
      </c>
      <c r="G3782" s="12" t="inlineStr"/>
      <c r="H3782" s="12" t="inlineStr">
        <is>
          <t>Solvent + NaOH storage</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15</v>
      </c>
      <c r="R3782" s="12" t="n">
        <v>21.2</v>
      </c>
      <c r="S3782" s="12" t="inlineStr">
        <is>
          <t>Duct bank</t>
        </is>
      </c>
      <c r="T3782" s="16" t="n">
        <v>250</v>
      </c>
      <c r="U3782" s="16" t="n">
        <v>37</v>
      </c>
      <c r="V3782" s="16">
        <f>ROUNDUP((T3782+U3782+2*'Read Me'!$B$13)*(1+'Read Me'!$B$12),-1)</f>
        <v/>
      </c>
      <c r="W3782" s="16">
        <f>V3782*N3782*O3782</f>
        <v/>
      </c>
      <c r="X3782" s="12">
        <f>IF(LEFT(I3782,2)="MV",2*N3782*IF(L3782="1/C",O3782,1),0)</f>
        <v/>
      </c>
      <c r="Y3782" s="12">
        <f>IF(OR(LEFT(K3782,4)="LVAX",LEFT(K3782,6)="MV15AX",LEFT(K3782,4)="CTAX",LEFT(K3782,2)="W|"),2*N3782*O3782,0)</f>
        <v/>
      </c>
      <c r="Z3782" s="12" t="inlineStr">
        <is>
          <t>VD 2.9 %</t>
        </is>
      </c>
      <c r="AA3782" s="12">
        <f>N3782*O3782</f>
        <v/>
      </c>
    </row>
    <row r="3783">
      <c r="A3783" s="12" t="inlineStr">
        <is>
          <t>G-P-0250</t>
        </is>
      </c>
      <c r="B3783" s="12" t="inlineStr">
        <is>
          <t>G</t>
        </is>
      </c>
      <c r="C3783" s="12" t="inlineStr">
        <is>
          <t>Carbon capture</t>
        </is>
      </c>
      <c r="D3783" s="12" t="inlineStr">
        <is>
          <t>Motor 3 of 4, 15 kW</t>
        </is>
      </c>
      <c r="E3783" s="12" t="inlineStr"/>
      <c r="F3783" s="12" t="inlineStr">
        <is>
          <t>CCS MV switchgear building (VFDs)</t>
        </is>
      </c>
      <c r="G3783" s="12" t="inlineStr"/>
      <c r="H3783" s="12" t="inlineStr">
        <is>
          <t>Solvent + NaOH storage</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15</v>
      </c>
      <c r="R3783" s="12" t="n">
        <v>21.2</v>
      </c>
      <c r="S3783" s="12" t="inlineStr">
        <is>
          <t>Duct bank</t>
        </is>
      </c>
      <c r="T3783" s="16" t="n">
        <v>250</v>
      </c>
      <c r="U3783" s="16" t="n">
        <v>37</v>
      </c>
      <c r="V3783" s="16">
        <f>ROUNDUP((T3783+U3783+2*'Read Me'!$B$13)*(1+'Read Me'!$B$12),-1)</f>
        <v/>
      </c>
      <c r="W3783" s="16">
        <f>V3783*N3783*O3783</f>
        <v/>
      </c>
      <c r="X3783" s="12">
        <f>IF(LEFT(I3783,2)="MV",2*N3783*IF(L3783="1/C",O3783,1),0)</f>
        <v/>
      </c>
      <c r="Y3783" s="12">
        <f>IF(OR(LEFT(K3783,4)="LVAX",LEFT(K3783,6)="MV15AX",LEFT(K3783,4)="CTAX",LEFT(K3783,2)="W|"),2*N3783*O3783,0)</f>
        <v/>
      </c>
      <c r="Z3783" s="12" t="inlineStr">
        <is>
          <t>VD 2.9 %</t>
        </is>
      </c>
      <c r="AA3783" s="12">
        <f>N3783*O3783</f>
        <v/>
      </c>
    </row>
    <row r="3784">
      <c r="A3784" s="12" t="inlineStr">
        <is>
          <t>G-P-0251</t>
        </is>
      </c>
      <c r="B3784" s="12" t="inlineStr">
        <is>
          <t>G</t>
        </is>
      </c>
      <c r="C3784" s="12" t="inlineStr">
        <is>
          <t>Carbon capture</t>
        </is>
      </c>
      <c r="D3784" s="12" t="inlineStr">
        <is>
          <t>Motor 4 of 4, 15 kW</t>
        </is>
      </c>
      <c r="E3784" s="12" t="inlineStr"/>
      <c r="F3784" s="12" t="inlineStr">
        <is>
          <t>CCS MV switchgear building (VFDs)</t>
        </is>
      </c>
      <c r="G3784" s="12" t="inlineStr"/>
      <c r="H3784" s="12" t="inlineStr">
        <is>
          <t>Solvent + NaOH storage</t>
        </is>
      </c>
      <c r="I3784" s="12" t="inlineStr">
        <is>
          <t>LV 600 V</t>
        </is>
      </c>
      <c r="J3784" s="12" t="inlineStr">
        <is>
          <t>Type TC-ER 600 V 3/C Cu XHHW-2 + ground, PVC jacket</t>
        </is>
      </c>
      <c r="K3784" s="12" t="inlineStr">
        <is>
          <t>LV|3/C+G|10</t>
        </is>
      </c>
      <c r="L3784" s="12" t="inlineStr">
        <is>
          <t>3/C+G</t>
        </is>
      </c>
      <c r="M3784" s="12" t="inlineStr">
        <is>
          <t>10</t>
        </is>
      </c>
      <c r="N3784" s="12" t="n">
        <v>1</v>
      </c>
      <c r="O3784" s="12" t="n">
        <v>1</v>
      </c>
      <c r="P3784" s="12" t="n">
        <v>480</v>
      </c>
      <c r="Q3784" s="12" t="n">
        <v>15</v>
      </c>
      <c r="R3784" s="12" t="n">
        <v>21.2</v>
      </c>
      <c r="S3784" s="12" t="inlineStr">
        <is>
          <t>Duct bank</t>
        </is>
      </c>
      <c r="T3784" s="16" t="n">
        <v>250</v>
      </c>
      <c r="U3784" s="16" t="n">
        <v>37</v>
      </c>
      <c r="V3784" s="16">
        <f>ROUNDUP((T3784+U3784+2*'Read Me'!$B$13)*(1+'Read Me'!$B$12),-1)</f>
        <v/>
      </c>
      <c r="W3784" s="16">
        <f>V3784*N3784*O3784</f>
        <v/>
      </c>
      <c r="X3784" s="12">
        <f>IF(LEFT(I3784,2)="MV",2*N3784*IF(L3784="1/C",O3784,1),0)</f>
        <v/>
      </c>
      <c r="Y3784" s="12">
        <f>IF(OR(LEFT(K3784,4)="LVAX",LEFT(K3784,6)="MV15AX",LEFT(K3784,4)="CTAX",LEFT(K3784,2)="W|"),2*N3784*O3784,0)</f>
        <v/>
      </c>
      <c r="Z3784" s="12" t="inlineStr">
        <is>
          <t>VD 2.9 %</t>
        </is>
      </c>
      <c r="AA3784" s="12">
        <f>N3784*O3784</f>
        <v/>
      </c>
    </row>
    <row r="3785">
      <c r="A3785" s="12" t="inlineStr">
        <is>
          <t>G-P-0252</t>
        </is>
      </c>
      <c r="B3785" s="12" t="inlineStr">
        <is>
          <t>G</t>
        </is>
      </c>
      <c r="C3785" s="12" t="inlineStr">
        <is>
          <t>Carbon capture</t>
        </is>
      </c>
      <c r="D3785" s="12" t="inlineStr">
        <is>
          <t>Motor 1 of 2, 110 kW</t>
        </is>
      </c>
      <c r="E3785" s="12" t="inlineStr"/>
      <c r="F3785" s="12" t="inlineStr">
        <is>
          <t>CCS MV switchgear building (VFDs)</t>
        </is>
      </c>
      <c r="G3785" s="12" t="inlineStr"/>
      <c r="H3785" s="12" t="inlineStr">
        <is>
          <t>Water-wash pumps A</t>
        </is>
      </c>
      <c r="I3785" s="12" t="inlineStr">
        <is>
          <t>LV 600 V</t>
        </is>
      </c>
      <c r="J3785" s="12" t="inlineStr">
        <is>
          <t>Type TC-ER 600 V 3/C Cu XHHW-2 + ground, PVC jacket</t>
        </is>
      </c>
      <c r="K3785" s="12" t="inlineStr">
        <is>
          <t>LV|3/C+G|3/0</t>
        </is>
      </c>
      <c r="L3785" s="12" t="inlineStr">
        <is>
          <t>3/C+G</t>
        </is>
      </c>
      <c r="M3785" s="12" t="inlineStr">
        <is>
          <t>3/0</t>
        </is>
      </c>
      <c r="N3785" s="12" t="n">
        <v>1</v>
      </c>
      <c r="O3785" s="12" t="n">
        <v>1</v>
      </c>
      <c r="P3785" s="12" t="n">
        <v>480</v>
      </c>
      <c r="Q3785" s="12" t="n">
        <v>110</v>
      </c>
      <c r="R3785" s="12" t="n">
        <v>155.7</v>
      </c>
      <c r="S3785" s="12" t="inlineStr">
        <is>
          <t>Tray</t>
        </is>
      </c>
      <c r="T3785" s="16" t="n">
        <v>465</v>
      </c>
      <c r="U3785" s="16" t="n">
        <v>96</v>
      </c>
      <c r="V3785" s="16">
        <f>ROUNDUP((T3785+U3785+2*'Read Me'!$B$13)*(1+'Read Me'!$B$12),-1)</f>
        <v/>
      </c>
      <c r="W3785" s="16">
        <f>V3785*N3785*O3785</f>
        <v/>
      </c>
      <c r="X3785" s="12">
        <f>IF(LEFT(I3785,2)="MV",2*N3785*IF(L3785="1/C",O3785,1),0)</f>
        <v/>
      </c>
      <c r="Y3785" s="12">
        <f>IF(OR(LEFT(K3785,4)="LVAX",LEFT(K3785,6)="MV15AX",LEFT(K3785,4)="CTAX",LEFT(K3785,2)="W|"),2*N3785*O3785,0)</f>
        <v/>
      </c>
      <c r="Z3785" s="12" t="inlineStr">
        <is>
          <t>VD 2.7 %</t>
        </is>
      </c>
      <c r="AA3785" s="12">
        <f>N3785*O3785</f>
        <v/>
      </c>
    </row>
    <row r="3786">
      <c r="A3786" s="12" t="inlineStr">
        <is>
          <t>G-P-0253</t>
        </is>
      </c>
      <c r="B3786" s="12" t="inlineStr">
        <is>
          <t>G</t>
        </is>
      </c>
      <c r="C3786" s="12" t="inlineStr">
        <is>
          <t>Carbon capture</t>
        </is>
      </c>
      <c r="D3786" s="12" t="inlineStr">
        <is>
          <t>Motor 2 of 2, 110 kW</t>
        </is>
      </c>
      <c r="E3786" s="12" t="inlineStr"/>
      <c r="F3786" s="12" t="inlineStr">
        <is>
          <t>CCS MV switchgear building (VFDs)</t>
        </is>
      </c>
      <c r="G3786" s="12" t="inlineStr"/>
      <c r="H3786" s="12" t="inlineStr">
        <is>
          <t>Water-wash pumps A</t>
        </is>
      </c>
      <c r="I3786" s="12" t="inlineStr">
        <is>
          <t>LV 600 V</t>
        </is>
      </c>
      <c r="J3786" s="12" t="inlineStr">
        <is>
          <t>Type TC-ER 600 V 3/C Cu XHHW-2 + ground, PVC jacket</t>
        </is>
      </c>
      <c r="K3786" s="12" t="inlineStr">
        <is>
          <t>LV|3/C+G|3/0</t>
        </is>
      </c>
      <c r="L3786" s="12" t="inlineStr">
        <is>
          <t>3/C+G</t>
        </is>
      </c>
      <c r="M3786" s="12" t="inlineStr">
        <is>
          <t>3/0</t>
        </is>
      </c>
      <c r="N3786" s="12" t="n">
        <v>1</v>
      </c>
      <c r="O3786" s="12" t="n">
        <v>1</v>
      </c>
      <c r="P3786" s="12" t="n">
        <v>480</v>
      </c>
      <c r="Q3786" s="12" t="n">
        <v>110</v>
      </c>
      <c r="R3786" s="12" t="n">
        <v>155.7</v>
      </c>
      <c r="S3786" s="12" t="inlineStr">
        <is>
          <t>Tray</t>
        </is>
      </c>
      <c r="T3786" s="16" t="n">
        <v>465</v>
      </c>
      <c r="U3786" s="16" t="n">
        <v>96</v>
      </c>
      <c r="V3786" s="16">
        <f>ROUNDUP((T3786+U3786+2*'Read Me'!$B$13)*(1+'Read Me'!$B$12),-1)</f>
        <v/>
      </c>
      <c r="W3786" s="16">
        <f>V3786*N3786*O3786</f>
        <v/>
      </c>
      <c r="X3786" s="12">
        <f>IF(LEFT(I3786,2)="MV",2*N3786*IF(L3786="1/C",O3786,1),0)</f>
        <v/>
      </c>
      <c r="Y3786" s="12">
        <f>IF(OR(LEFT(K3786,4)="LVAX",LEFT(K3786,6)="MV15AX",LEFT(K3786,4)="CTAX",LEFT(K3786,2)="W|"),2*N3786*O3786,0)</f>
        <v/>
      </c>
      <c r="Z3786" s="12" t="inlineStr">
        <is>
          <t>VD 2.7 %</t>
        </is>
      </c>
      <c r="AA3786" s="12">
        <f>N3786*O3786</f>
        <v/>
      </c>
    </row>
    <row r="3787">
      <c r="A3787" s="12" t="inlineStr">
        <is>
          <t>G-P-0254</t>
        </is>
      </c>
      <c r="B3787" s="12" t="inlineStr">
        <is>
          <t>G</t>
        </is>
      </c>
      <c r="C3787" s="12" t="inlineStr">
        <is>
          <t>Carbon capture</t>
        </is>
      </c>
      <c r="D3787" s="12" t="inlineStr">
        <is>
          <t>Motor 1 of 2, 110 kW</t>
        </is>
      </c>
      <c r="E3787" s="12" t="inlineStr"/>
      <c r="F3787" s="12" t="inlineStr">
        <is>
          <t>CCS MV switchgear building (VFDs)</t>
        </is>
      </c>
      <c r="G3787" s="12" t="inlineStr"/>
      <c r="H3787" s="12" t="inlineStr">
        <is>
          <t>Water-wash pumps B</t>
        </is>
      </c>
      <c r="I3787" s="12" t="inlineStr">
        <is>
          <t>LV 600 V</t>
        </is>
      </c>
      <c r="J3787" s="12" t="inlineStr">
        <is>
          <t>Type TC-ER 600 V 3/C Cu XHHW-2 + ground, PVC jacket</t>
        </is>
      </c>
      <c r="K3787" s="12" t="inlineStr">
        <is>
          <t>LV|3/C+G|3/0</t>
        </is>
      </c>
      <c r="L3787" s="12" t="inlineStr">
        <is>
          <t>3/C+G</t>
        </is>
      </c>
      <c r="M3787" s="12" t="inlineStr">
        <is>
          <t>3/0</t>
        </is>
      </c>
      <c r="N3787" s="12" t="n">
        <v>1</v>
      </c>
      <c r="O3787" s="12" t="n">
        <v>1</v>
      </c>
      <c r="P3787" s="12" t="n">
        <v>480</v>
      </c>
      <c r="Q3787" s="12" t="n">
        <v>110</v>
      </c>
      <c r="R3787" s="12" t="n">
        <v>155.7</v>
      </c>
      <c r="S3787" s="12" t="inlineStr">
        <is>
          <t>Tray</t>
        </is>
      </c>
      <c r="T3787" s="16" t="n">
        <v>305</v>
      </c>
      <c r="U3787" s="16" t="n">
        <v>96</v>
      </c>
      <c r="V3787" s="16">
        <f>ROUNDUP((T3787+U3787+2*'Read Me'!$B$13)*(1+'Read Me'!$B$12),-1)</f>
        <v/>
      </c>
      <c r="W3787" s="16">
        <f>V3787*N3787*O3787</f>
        <v/>
      </c>
      <c r="X3787" s="12">
        <f>IF(LEFT(I3787,2)="MV",2*N3787*IF(L3787="1/C",O3787,1),0)</f>
        <v/>
      </c>
      <c r="Y3787" s="12">
        <f>IF(OR(LEFT(K3787,4)="LVAX",LEFT(K3787,6)="MV15AX",LEFT(K3787,4)="CTAX",LEFT(K3787,2)="W|"),2*N3787*O3787,0)</f>
        <v/>
      </c>
      <c r="Z3787" s="12" t="inlineStr">
        <is>
          <t>VD 1.9 %</t>
        </is>
      </c>
      <c r="AA3787" s="12">
        <f>N3787*O3787</f>
        <v/>
      </c>
    </row>
    <row r="3788">
      <c r="A3788" s="12" t="inlineStr">
        <is>
          <t>G-P-0255</t>
        </is>
      </c>
      <c r="B3788" s="12" t="inlineStr">
        <is>
          <t>G</t>
        </is>
      </c>
      <c r="C3788" s="12" t="inlineStr">
        <is>
          <t>Carbon capture</t>
        </is>
      </c>
      <c r="D3788" s="12" t="inlineStr">
        <is>
          <t>Motor 2 of 2, 110 kW</t>
        </is>
      </c>
      <c r="E3788" s="12" t="inlineStr"/>
      <c r="F3788" s="12" t="inlineStr">
        <is>
          <t>CCS MV switchgear building (VFDs)</t>
        </is>
      </c>
      <c r="G3788" s="12" t="inlineStr"/>
      <c r="H3788" s="12" t="inlineStr">
        <is>
          <t>Water-wash pumps B</t>
        </is>
      </c>
      <c r="I3788" s="12" t="inlineStr">
        <is>
          <t>LV 600 V</t>
        </is>
      </c>
      <c r="J3788" s="12" t="inlineStr">
        <is>
          <t>Type TC-ER 600 V 3/C Cu XHHW-2 + ground, PVC jacket</t>
        </is>
      </c>
      <c r="K3788" s="12" t="inlineStr">
        <is>
          <t>LV|3/C+G|3/0</t>
        </is>
      </c>
      <c r="L3788" s="12" t="inlineStr">
        <is>
          <t>3/C+G</t>
        </is>
      </c>
      <c r="M3788" s="12" t="inlineStr">
        <is>
          <t>3/0</t>
        </is>
      </c>
      <c r="N3788" s="12" t="n">
        <v>1</v>
      </c>
      <c r="O3788" s="12" t="n">
        <v>1</v>
      </c>
      <c r="P3788" s="12" t="n">
        <v>480</v>
      </c>
      <c r="Q3788" s="12" t="n">
        <v>110</v>
      </c>
      <c r="R3788" s="12" t="n">
        <v>155.7</v>
      </c>
      <c r="S3788" s="12" t="inlineStr">
        <is>
          <t>Tray</t>
        </is>
      </c>
      <c r="T3788" s="16" t="n">
        <v>305</v>
      </c>
      <c r="U3788" s="16" t="n">
        <v>96</v>
      </c>
      <c r="V3788" s="16">
        <f>ROUNDUP((T3788+U3788+2*'Read Me'!$B$13)*(1+'Read Me'!$B$12),-1)</f>
        <v/>
      </c>
      <c r="W3788" s="16">
        <f>V3788*N3788*O3788</f>
        <v/>
      </c>
      <c r="X3788" s="12">
        <f>IF(LEFT(I3788,2)="MV",2*N3788*IF(L3788="1/C",O3788,1),0)</f>
        <v/>
      </c>
      <c r="Y3788" s="12">
        <f>IF(OR(LEFT(K3788,4)="LVAX",LEFT(K3788,6)="MV15AX",LEFT(K3788,4)="CTAX",LEFT(K3788,2)="W|"),2*N3788*O3788,0)</f>
        <v/>
      </c>
      <c r="Z3788" s="12" t="inlineStr">
        <is>
          <t>VD 1.9 %</t>
        </is>
      </c>
      <c r="AA3788" s="12">
        <f>N3788*O3788</f>
        <v/>
      </c>
    </row>
    <row r="3789">
      <c r="A3789" s="12" t="inlineStr">
        <is>
          <t>G-P-0256</t>
        </is>
      </c>
      <c r="B3789" s="12" t="inlineStr">
        <is>
          <t>G</t>
        </is>
      </c>
      <c r="C3789" s="12" t="inlineStr">
        <is>
          <t>Carbon capture</t>
        </is>
      </c>
      <c r="D3789" s="12" t="inlineStr">
        <is>
          <t>Motor 1 of 2, 110 kW</t>
        </is>
      </c>
      <c r="E3789" s="12" t="inlineStr"/>
      <c r="F3789" s="12" t="inlineStr">
        <is>
          <t>CCS MV switchgear building (VFDs)</t>
        </is>
      </c>
      <c r="G3789" s="12" t="inlineStr"/>
      <c r="H3789" s="12" t="inlineStr">
        <is>
          <t>Water-wash pumps C</t>
        </is>
      </c>
      <c r="I3789" s="12" t="inlineStr">
        <is>
          <t>LV 600 V</t>
        </is>
      </c>
      <c r="J3789" s="12" t="inlineStr">
        <is>
          <t>Type TC-ER 600 V 3/C Cu XHHW-2 + ground, PVC jacket</t>
        </is>
      </c>
      <c r="K3789" s="12" t="inlineStr">
        <is>
          <t>LV|3/C+G|3/0</t>
        </is>
      </c>
      <c r="L3789" s="12" t="inlineStr">
        <is>
          <t>3/C+G</t>
        </is>
      </c>
      <c r="M3789" s="12" t="inlineStr">
        <is>
          <t>3/0</t>
        </is>
      </c>
      <c r="N3789" s="12" t="n">
        <v>1</v>
      </c>
      <c r="O3789" s="12" t="n">
        <v>1</v>
      </c>
      <c r="P3789" s="12" t="n">
        <v>480</v>
      </c>
      <c r="Q3789" s="12" t="n">
        <v>110</v>
      </c>
      <c r="R3789" s="12" t="n">
        <v>155.7</v>
      </c>
      <c r="S3789" s="12" t="inlineStr">
        <is>
          <t>Tray</t>
        </is>
      </c>
      <c r="T3789" s="16" t="n">
        <v>145</v>
      </c>
      <c r="U3789" s="16" t="n">
        <v>96</v>
      </c>
      <c r="V3789" s="16">
        <f>ROUNDUP((T3789+U3789+2*'Read Me'!$B$13)*(1+'Read Me'!$B$12),-1)</f>
        <v/>
      </c>
      <c r="W3789" s="16">
        <f>V3789*N3789*O3789</f>
        <v/>
      </c>
      <c r="X3789" s="12">
        <f>IF(LEFT(I3789,2)="MV",2*N3789*IF(L3789="1/C",O3789,1),0)</f>
        <v/>
      </c>
      <c r="Y3789" s="12">
        <f>IF(OR(LEFT(K3789,4)="LVAX",LEFT(K3789,6)="MV15AX",LEFT(K3789,4)="CTAX",LEFT(K3789,2)="W|"),2*N3789*O3789,0)</f>
        <v/>
      </c>
      <c r="Z3789" s="12" t="inlineStr">
        <is>
          <t>VD 1.1 %</t>
        </is>
      </c>
      <c r="AA3789" s="12">
        <f>N3789*O3789</f>
        <v/>
      </c>
    </row>
    <row r="3790">
      <c r="A3790" s="12" t="inlineStr">
        <is>
          <t>G-P-0257</t>
        </is>
      </c>
      <c r="B3790" s="12" t="inlineStr">
        <is>
          <t>G</t>
        </is>
      </c>
      <c r="C3790" s="12" t="inlineStr">
        <is>
          <t>Carbon capture</t>
        </is>
      </c>
      <c r="D3790" s="12" t="inlineStr">
        <is>
          <t>Motor 2 of 2, 110 kW</t>
        </is>
      </c>
      <c r="E3790" s="12" t="inlineStr"/>
      <c r="F3790" s="12" t="inlineStr">
        <is>
          <t>CCS MV switchgear building (VFDs)</t>
        </is>
      </c>
      <c r="G3790" s="12" t="inlineStr"/>
      <c r="H3790" s="12" t="inlineStr">
        <is>
          <t>Water-wash pumps C</t>
        </is>
      </c>
      <c r="I3790" s="12" t="inlineStr">
        <is>
          <t>LV 600 V</t>
        </is>
      </c>
      <c r="J3790" s="12" t="inlineStr">
        <is>
          <t>Type TC-ER 600 V 3/C Cu XHHW-2 + ground, PVC jacket</t>
        </is>
      </c>
      <c r="K3790" s="12" t="inlineStr">
        <is>
          <t>LV|3/C+G|3/0</t>
        </is>
      </c>
      <c r="L3790" s="12" t="inlineStr">
        <is>
          <t>3/C+G</t>
        </is>
      </c>
      <c r="M3790" s="12" t="inlineStr">
        <is>
          <t>3/0</t>
        </is>
      </c>
      <c r="N3790" s="12" t="n">
        <v>1</v>
      </c>
      <c r="O3790" s="12" t="n">
        <v>1</v>
      </c>
      <c r="P3790" s="12" t="n">
        <v>480</v>
      </c>
      <c r="Q3790" s="12" t="n">
        <v>110</v>
      </c>
      <c r="R3790" s="12" t="n">
        <v>155.7</v>
      </c>
      <c r="S3790" s="12" t="inlineStr">
        <is>
          <t>Tray</t>
        </is>
      </c>
      <c r="T3790" s="16" t="n">
        <v>145</v>
      </c>
      <c r="U3790" s="16" t="n">
        <v>96</v>
      </c>
      <c r="V3790" s="16">
        <f>ROUNDUP((T3790+U3790+2*'Read Me'!$B$13)*(1+'Read Me'!$B$12),-1)</f>
        <v/>
      </c>
      <c r="W3790" s="16">
        <f>V3790*N3790*O3790</f>
        <v/>
      </c>
      <c r="X3790" s="12">
        <f>IF(LEFT(I3790,2)="MV",2*N3790*IF(L3790="1/C",O3790,1),0)</f>
        <v/>
      </c>
      <c r="Y3790" s="12">
        <f>IF(OR(LEFT(K3790,4)="LVAX",LEFT(K3790,6)="MV15AX",LEFT(K3790,4)="CTAX",LEFT(K3790,2)="W|"),2*N3790*O3790,0)</f>
        <v/>
      </c>
      <c r="Z3790" s="12" t="inlineStr">
        <is>
          <t>VD 1.1 %</t>
        </is>
      </c>
      <c r="AA3790" s="12">
        <f>N3790*O3790</f>
        <v/>
      </c>
    </row>
    <row r="3791">
      <c r="A3791" s="12" t="inlineStr">
        <is>
          <t>G-MV-0001</t>
        </is>
      </c>
      <c r="B3791" s="12" t="inlineStr">
        <is>
          <t>G</t>
        </is>
      </c>
      <c r="C3791" s="12" t="inlineStr">
        <is>
          <t>Carbon capture</t>
        </is>
      </c>
      <c r="D3791" s="12" t="inlineStr">
        <is>
          <t>Booster fan BF-A (MV VFD output)</t>
        </is>
      </c>
      <c r="E3791" s="12" t="inlineStr"/>
      <c r="F3791" s="12" t="inlineStr">
        <is>
          <t>CCS MV switchgear building (VFDs)</t>
        </is>
      </c>
      <c r="G3791" s="12" t="inlineStr">
        <is>
          <t>BF-A</t>
        </is>
      </c>
      <c r="H3791" s="12" t="inlineStr">
        <is>
          <t>BF-A: booster fan (~16 MW)</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2</v>
      </c>
      <c r="O3791" s="12" t="n">
        <v>3</v>
      </c>
      <c r="P3791" s="12" t="n">
        <v>13800</v>
      </c>
      <c r="Q3791" s="12" t="n">
        <v>16000</v>
      </c>
      <c r="R3791" s="12" t="n">
        <v>744</v>
      </c>
      <c r="S3791" s="12" t="inlineStr">
        <is>
          <t>Duct bank</t>
        </is>
      </c>
      <c r="T3791" s="16" t="n">
        <v>460</v>
      </c>
      <c r="U3791" s="16" t="n">
        <v>32</v>
      </c>
      <c r="V3791" s="16">
        <f>ROUNDUP((T3791+U3791+2*'Read Me'!$B$13)*(1+'Read Me'!$B$12),-1)</f>
        <v/>
      </c>
      <c r="W3791" s="16">
        <f>V3791*N3791*O3791</f>
        <v/>
      </c>
      <c r="X3791" s="12">
        <f>IF(LEFT(I3791,2)="MV",2*N3791*IF(L3791="1/C",O3791,1),0)</f>
        <v/>
      </c>
      <c r="Y3791" s="12">
        <f>IF(OR(LEFT(K3791,4)="LVAX",LEFT(K3791,6)="MV15AX",LEFT(K3791,4)="CTAX",LEFT(K3791,2)="W|"),2*N3791*O3791,0)</f>
        <v/>
      </c>
      <c r="Z3791" s="12" t="inlineStr">
        <is>
          <t>~16 MW per drawing</t>
        </is>
      </c>
      <c r="AA3791" s="12">
        <f>N3791*O3791</f>
        <v/>
      </c>
    </row>
    <row r="3792">
      <c r="A3792" s="12" t="inlineStr">
        <is>
          <t>G-MV-0002</t>
        </is>
      </c>
      <c r="B3792" s="12" t="inlineStr">
        <is>
          <t>G</t>
        </is>
      </c>
      <c r="C3792" s="12" t="inlineStr">
        <is>
          <t>Carbon capture</t>
        </is>
      </c>
      <c r="D3792" s="12" t="inlineStr">
        <is>
          <t>Booster fan BF-B (MV VFD output)</t>
        </is>
      </c>
      <c r="E3792" s="12" t="inlineStr"/>
      <c r="F3792" s="12" t="inlineStr">
        <is>
          <t>CCS MV switchgear building (VFDs)</t>
        </is>
      </c>
      <c r="G3792" s="12" t="inlineStr">
        <is>
          <t>BF-B</t>
        </is>
      </c>
      <c r="H3792" s="12" t="inlineStr">
        <is>
          <t>BF-B: booster fan (~16 MW)</t>
        </is>
      </c>
      <c r="I3792" s="12" t="inlineStr">
        <is>
          <t>MV 15 kV</t>
        </is>
      </c>
      <c r="J3792" s="12" t="inlineStr">
        <is>
          <t>MV-105 15 kV 1/C Cu, EPR 133%, Cu tape shield, PVC jacket (triplexed)</t>
        </is>
      </c>
      <c r="K3792" s="12" t="inlineStr">
        <is>
          <t>MV15|1/C|750</t>
        </is>
      </c>
      <c r="L3792" s="12" t="inlineStr">
        <is>
          <t>1/C</t>
        </is>
      </c>
      <c r="M3792" s="12" t="inlineStr">
        <is>
          <t>750 kcmil</t>
        </is>
      </c>
      <c r="N3792" s="12" t="n">
        <v>2</v>
      </c>
      <c r="O3792" s="12" t="n">
        <v>3</v>
      </c>
      <c r="P3792" s="12" t="n">
        <v>13800</v>
      </c>
      <c r="Q3792" s="12" t="n">
        <v>16000</v>
      </c>
      <c r="R3792" s="12" t="n">
        <v>744</v>
      </c>
      <c r="S3792" s="12" t="inlineStr">
        <is>
          <t>Duct bank</t>
        </is>
      </c>
      <c r="T3792" s="16" t="n">
        <v>300</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is>
          <t>~16 MW per drawing</t>
        </is>
      </c>
      <c r="AA3792" s="12">
        <f>N3792*O3792</f>
        <v/>
      </c>
    </row>
    <row r="3793">
      <c r="A3793" s="12" t="inlineStr">
        <is>
          <t>G-MV-0003</t>
        </is>
      </c>
      <c r="B3793" s="12" t="inlineStr">
        <is>
          <t>G</t>
        </is>
      </c>
      <c r="C3793" s="12" t="inlineStr">
        <is>
          <t>Carbon capture</t>
        </is>
      </c>
      <c r="D3793" s="12" t="inlineStr">
        <is>
          <t>Booster fan BF-C (MV VFD output)</t>
        </is>
      </c>
      <c r="E3793" s="12" t="inlineStr"/>
      <c r="F3793" s="12" t="inlineStr">
        <is>
          <t>CCS MV switchgear building (VFDs)</t>
        </is>
      </c>
      <c r="G3793" s="12" t="inlineStr">
        <is>
          <t>BF-C</t>
        </is>
      </c>
      <c r="H3793" s="12" t="inlineStr">
        <is>
          <t>BF-C: booster fan (~16 MW)</t>
        </is>
      </c>
      <c r="I3793" s="12" t="inlineStr">
        <is>
          <t>MV 15 kV</t>
        </is>
      </c>
      <c r="J3793" s="12" t="inlineStr">
        <is>
          <t>MV-105 15 kV 1/C Cu, EPR 133%, Cu tape shield, PVC jacket (triplexed)</t>
        </is>
      </c>
      <c r="K3793" s="12" t="inlineStr">
        <is>
          <t>MV15|1/C|750</t>
        </is>
      </c>
      <c r="L3793" s="12" t="inlineStr">
        <is>
          <t>1/C</t>
        </is>
      </c>
      <c r="M3793" s="12" t="inlineStr">
        <is>
          <t>750 kcmil</t>
        </is>
      </c>
      <c r="N3793" s="12" t="n">
        <v>2</v>
      </c>
      <c r="O3793" s="12" t="n">
        <v>3</v>
      </c>
      <c r="P3793" s="12" t="n">
        <v>13800</v>
      </c>
      <c r="Q3793" s="12" t="n">
        <v>16000</v>
      </c>
      <c r="R3793" s="12" t="n">
        <v>744</v>
      </c>
      <c r="S3793" s="12" t="inlineStr">
        <is>
          <t>Tray</t>
        </is>
      </c>
      <c r="T3793" s="16" t="n">
        <v>16</v>
      </c>
      <c r="U3793" s="16" t="n">
        <v>150</v>
      </c>
      <c r="V3793" s="16">
        <f>ROUNDUP((T3793+U3793+2*'Read Me'!$B$13)*(1+'Read Me'!$B$12),-1)</f>
        <v/>
      </c>
      <c r="W3793" s="16">
        <f>V3793*N3793*O3793</f>
        <v/>
      </c>
      <c r="X3793" s="12">
        <f>IF(LEFT(I3793,2)="MV",2*N3793*IF(L3793="1/C",O3793,1),0)</f>
        <v/>
      </c>
      <c r="Y3793" s="12">
        <f>IF(OR(LEFT(K3793,4)="LVAX",LEFT(K3793,6)="MV15AX",LEFT(K3793,4)="CTAX",LEFT(K3793,2)="W|"),2*N3793*O3793,0)</f>
        <v/>
      </c>
      <c r="Z3793" s="12" t="inlineStr">
        <is>
          <t>~16 MW per drawing</t>
        </is>
      </c>
      <c r="AA3793" s="12">
        <f>N3793*O3793</f>
        <v/>
      </c>
    </row>
    <row r="3794">
      <c r="A3794" s="12" t="inlineStr">
        <is>
          <t>G-MV-0004</t>
        </is>
      </c>
      <c r="B3794" s="12" t="inlineStr">
        <is>
          <t>G</t>
        </is>
      </c>
      <c r="C3794" s="12" t="inlineStr">
        <is>
          <t>Carbon capture</t>
        </is>
      </c>
      <c r="D3794" s="12" t="inlineStr">
        <is>
          <t>CCS T-1 secondary to CCS 13.8 kV switchgear</t>
        </is>
      </c>
      <c r="E3794" s="12" t="inlineStr">
        <is>
          <t>CCS T-1</t>
        </is>
      </c>
      <c r="F3794" s="12" t="inlineStr">
        <is>
          <t>CCS T-1: 230/13.8 kV</t>
        </is>
      </c>
      <c r="G3794" s="12" t="inlineStr"/>
      <c r="H3794" s="12" t="inlineStr">
        <is>
          <t>CCS MV switchgear building (VFDs)</t>
        </is>
      </c>
      <c r="I3794" s="12" t="inlineStr">
        <is>
          <t>MV 15 kV</t>
        </is>
      </c>
      <c r="J3794" s="12" t="inlineStr">
        <is>
          <t>MV-105 15 kV 1/C Cu, EPR 133%, Cu tape shield, PVC jacket (triplexed)</t>
        </is>
      </c>
      <c r="K3794" s="12" t="inlineStr">
        <is>
          <t>MV15|1/C|1000</t>
        </is>
      </c>
      <c r="L3794" s="12" t="inlineStr">
        <is>
          <t>1/C</t>
        </is>
      </c>
      <c r="M3794" s="12" t="inlineStr">
        <is>
          <t>1000 kcmil</t>
        </is>
      </c>
      <c r="N3794" s="12" t="n">
        <v>5</v>
      </c>
      <c r="O3794" s="12" t="n">
        <v>3</v>
      </c>
      <c r="P3794" s="12" t="n">
        <v>13800</v>
      </c>
      <c r="Q3794" s="12" t="n">
        <v>60000</v>
      </c>
      <c r="R3794" s="12" t="n">
        <v>2510</v>
      </c>
      <c r="S3794" s="12" t="inlineStr">
        <is>
          <t>Duct bank</t>
        </is>
      </c>
      <c r="T3794" s="16" t="n">
        <v>361</v>
      </c>
      <c r="U3794" s="16" t="n">
        <v>32</v>
      </c>
      <c r="V3794" s="16">
        <f>ROUNDUP((T3794+U3794+2*'Read Me'!$B$13)*(1+'Read Me'!$B$12),-1)</f>
        <v/>
      </c>
      <c r="W3794" s="16">
        <f>V3794*N3794*O3794</f>
        <v/>
      </c>
      <c r="X3794" s="12">
        <f>IF(LEFT(I3794,2)="MV",2*N3794*IF(L3794="1/C",O3794,1),0)</f>
        <v/>
      </c>
      <c r="Y3794" s="12">
        <f>IF(OR(LEFT(K3794,4)="LVAX",LEFT(K3794,6)="MV15AX",LEFT(K3794,4)="CTAX",LEFT(K3794,2)="W|"),2*N3794*O3794,0)</f>
        <v/>
      </c>
      <c r="Z3794" s="12" t="inlineStr">
        <is>
          <t>60 MVA (typ.)</t>
        </is>
      </c>
      <c r="AA3794" s="12">
        <f>N3794*O3794</f>
        <v/>
      </c>
    </row>
    <row r="3795">
      <c r="A3795" s="12" t="inlineStr">
        <is>
          <t>G-MV-0005</t>
        </is>
      </c>
      <c r="B3795" s="12" t="inlineStr">
        <is>
          <t>G</t>
        </is>
      </c>
      <c r="C3795" s="12" t="inlineStr">
        <is>
          <t>Carbon capture</t>
        </is>
      </c>
      <c r="D3795" s="12" t="inlineStr">
        <is>
          <t>CCS T-2 secondary to CCS 13.8 kV switchgear</t>
        </is>
      </c>
      <c r="E3795" s="12" t="inlineStr">
        <is>
          <t>CCS T-2</t>
        </is>
      </c>
      <c r="F3795" s="12" t="inlineStr">
        <is>
          <t>CCS T-2: 230/13.8 kV</t>
        </is>
      </c>
      <c r="G3795" s="12" t="inlineStr"/>
      <c r="H3795" s="12" t="inlineStr">
        <is>
          <t>CCS MV switchgear building (VFDs)</t>
        </is>
      </c>
      <c r="I3795" s="12" t="inlineStr">
        <is>
          <t>MV 15 kV</t>
        </is>
      </c>
      <c r="J3795" s="12" t="inlineStr">
        <is>
          <t>MV-105 15 kV 1/C Cu, EPR 133%, Cu tape shield, PVC jacket (triplexed)</t>
        </is>
      </c>
      <c r="K3795" s="12" t="inlineStr">
        <is>
          <t>MV15|1/C|1000</t>
        </is>
      </c>
      <c r="L3795" s="12" t="inlineStr">
        <is>
          <t>1/C</t>
        </is>
      </c>
      <c r="M3795" s="12" t="inlineStr">
        <is>
          <t>1000 kcmil</t>
        </is>
      </c>
      <c r="N3795" s="12" t="n">
        <v>5</v>
      </c>
      <c r="O3795" s="12" t="n">
        <v>3</v>
      </c>
      <c r="P3795" s="12" t="n">
        <v>13800</v>
      </c>
      <c r="Q3795" s="12" t="n">
        <v>60000</v>
      </c>
      <c r="R3795" s="12" t="n">
        <v>2510</v>
      </c>
      <c r="S3795" s="12" t="inlineStr">
        <is>
          <t>Duct bank</t>
        </is>
      </c>
      <c r="T3795" s="16" t="n">
        <v>409</v>
      </c>
      <c r="U3795" s="16" t="n">
        <v>32</v>
      </c>
      <c r="V3795" s="16">
        <f>ROUNDUP((T3795+U3795+2*'Read Me'!$B$13)*(1+'Read Me'!$B$12),-1)</f>
        <v/>
      </c>
      <c r="W3795" s="16">
        <f>V3795*N3795*O3795</f>
        <v/>
      </c>
      <c r="X3795" s="12">
        <f>IF(LEFT(I3795,2)="MV",2*N3795*IF(L3795="1/C",O3795,1),0)</f>
        <v/>
      </c>
      <c r="Y3795" s="12">
        <f>IF(OR(LEFT(K3795,4)="LVAX",LEFT(K3795,6)="MV15AX",LEFT(K3795,4)="CTAX",LEFT(K3795,2)="W|"),2*N3795*O3795,0)</f>
        <v/>
      </c>
      <c r="Z3795" s="12" t="inlineStr">
        <is>
          <t>60 MVA (typ.)</t>
        </is>
      </c>
      <c r="AA3795" s="12">
        <f>N3795*O3795</f>
        <v/>
      </c>
    </row>
    <row r="3796">
      <c r="A3796" s="12" t="inlineStr">
        <is>
          <t>G-MV-0006</t>
        </is>
      </c>
      <c r="B3796" s="12" t="inlineStr">
        <is>
          <t>G</t>
        </is>
      </c>
      <c r="C3796" s="12" t="inlineStr">
        <is>
          <t>Carbon capture</t>
        </is>
      </c>
      <c r="D3796" s="12" t="inlineStr">
        <is>
          <t>CO2 compressor train 1</t>
        </is>
      </c>
      <c r="E3796" s="12" t="inlineStr"/>
      <c r="F3796" s="12" t="inlineStr">
        <is>
          <t>CCS MV switchgear building (VFDs)</t>
        </is>
      </c>
      <c r="G3796" s="12" t="inlineStr"/>
      <c r="H3796" s="12" t="inlineStr">
        <is>
          <t>CO2 compression 3 x ~19 MW + dehydration</t>
        </is>
      </c>
      <c r="I3796" s="12" t="inlineStr">
        <is>
          <t>MV 15 kV</t>
        </is>
      </c>
      <c r="J3796" s="12" t="inlineStr">
        <is>
          <t>MV-105 15 kV 1/C Cu, EPR 133%, Cu tape shield, PVC jacket (triplexed)</t>
        </is>
      </c>
      <c r="K3796" s="12" t="inlineStr">
        <is>
          <t>MV15|1/C|750</t>
        </is>
      </c>
      <c r="L3796" s="12" t="inlineStr">
        <is>
          <t>1/C</t>
        </is>
      </c>
      <c r="M3796" s="12" t="inlineStr">
        <is>
          <t>750 kcmil</t>
        </is>
      </c>
      <c r="N3796" s="12" t="n">
        <v>2</v>
      </c>
      <c r="O3796" s="12" t="n">
        <v>3</v>
      </c>
      <c r="P3796" s="12" t="n">
        <v>13800</v>
      </c>
      <c r="Q3796" s="12" t="n">
        <v>19000</v>
      </c>
      <c r="R3796" s="12" t="n">
        <v>883</v>
      </c>
      <c r="S3796" s="12" t="inlineStr">
        <is>
          <t>Duct bank</t>
        </is>
      </c>
      <c r="T3796" s="16" t="n">
        <v>291</v>
      </c>
      <c r="U3796" s="16" t="n">
        <v>36</v>
      </c>
      <c r="V3796" s="16">
        <f>ROUNDUP((T3796+U3796+2*'Read Me'!$B$13)*(1+'Read Me'!$B$12),-1)</f>
        <v/>
      </c>
      <c r="W3796" s="16">
        <f>V3796*N3796*O3796</f>
        <v/>
      </c>
      <c r="X3796" s="12">
        <f>IF(LEFT(I3796,2)="MV",2*N3796*IF(L3796="1/C",O3796,1),0)</f>
        <v/>
      </c>
      <c r="Y3796" s="12">
        <f>IF(OR(LEFT(K3796,4)="LVAX",LEFT(K3796,6)="MV15AX",LEFT(K3796,4)="CTAX",LEFT(K3796,2)="W|"),2*N3796*O3796,0)</f>
        <v/>
      </c>
      <c r="Z3796" s="12" t="inlineStr">
        <is>
          <t>~19 MW per drawing</t>
        </is>
      </c>
      <c r="AA3796" s="12">
        <f>N3796*O3796</f>
        <v/>
      </c>
    </row>
    <row r="3797">
      <c r="A3797" s="12" t="inlineStr">
        <is>
          <t>G-MV-0007</t>
        </is>
      </c>
      <c r="B3797" s="12" t="inlineStr">
        <is>
          <t>G</t>
        </is>
      </c>
      <c r="C3797" s="12" t="inlineStr">
        <is>
          <t>Carbon capture</t>
        </is>
      </c>
      <c r="D3797" s="12" t="inlineStr">
        <is>
          <t>CO2 compressor train 2</t>
        </is>
      </c>
      <c r="E3797" s="12" t="inlineStr"/>
      <c r="F3797" s="12" t="inlineStr">
        <is>
          <t>CCS MV switchgear building (VFDs)</t>
        </is>
      </c>
      <c r="G3797" s="12" t="inlineStr"/>
      <c r="H3797" s="12" t="inlineStr">
        <is>
          <t>CO2 compression 3 x ~19 MW + dehydration</t>
        </is>
      </c>
      <c r="I3797" s="12" t="inlineStr">
        <is>
          <t>MV 15 kV</t>
        </is>
      </c>
      <c r="J3797" s="12" t="inlineStr">
        <is>
          <t>MV-105 15 kV 1/C Cu, EPR 133%, Cu tape shield, PVC jacket (triplexed)</t>
        </is>
      </c>
      <c r="K3797" s="12" t="inlineStr">
        <is>
          <t>MV15|1/C|750</t>
        </is>
      </c>
      <c r="L3797" s="12" t="inlineStr">
        <is>
          <t>1/C</t>
        </is>
      </c>
      <c r="M3797" s="12" t="inlineStr">
        <is>
          <t>750 kcmil</t>
        </is>
      </c>
      <c r="N3797" s="12" t="n">
        <v>2</v>
      </c>
      <c r="O3797" s="12" t="n">
        <v>3</v>
      </c>
      <c r="P3797" s="12" t="n">
        <v>13800</v>
      </c>
      <c r="Q3797" s="12" t="n">
        <v>19000</v>
      </c>
      <c r="R3797" s="12" t="n">
        <v>883</v>
      </c>
      <c r="S3797" s="12" t="inlineStr">
        <is>
          <t>Duct bank</t>
        </is>
      </c>
      <c r="T3797" s="16" t="n">
        <v>291</v>
      </c>
      <c r="U3797" s="16" t="n">
        <v>36</v>
      </c>
      <c r="V3797" s="16">
        <f>ROUNDUP((T3797+U3797+2*'Read Me'!$B$13)*(1+'Read Me'!$B$12),-1)</f>
        <v/>
      </c>
      <c r="W3797" s="16">
        <f>V3797*N3797*O3797</f>
        <v/>
      </c>
      <c r="X3797" s="12">
        <f>IF(LEFT(I3797,2)="MV",2*N3797*IF(L3797="1/C",O3797,1),0)</f>
        <v/>
      </c>
      <c r="Y3797" s="12">
        <f>IF(OR(LEFT(K3797,4)="LVAX",LEFT(K3797,6)="MV15AX",LEFT(K3797,4)="CTAX",LEFT(K3797,2)="W|"),2*N3797*O3797,0)</f>
        <v/>
      </c>
      <c r="Z3797" s="12" t="inlineStr">
        <is>
          <t>~19 MW per drawing</t>
        </is>
      </c>
      <c r="AA3797" s="12">
        <f>N3797*O3797</f>
        <v/>
      </c>
    </row>
    <row r="3798">
      <c r="A3798" s="12" t="inlineStr">
        <is>
          <t>G-MV-0008</t>
        </is>
      </c>
      <c r="B3798" s="12" t="inlineStr">
        <is>
          <t>G</t>
        </is>
      </c>
      <c r="C3798" s="12" t="inlineStr">
        <is>
          <t>Carbon capture</t>
        </is>
      </c>
      <c r="D3798" s="12" t="inlineStr">
        <is>
          <t>CO2 compressor train 3</t>
        </is>
      </c>
      <c r="E3798" s="12" t="inlineStr"/>
      <c r="F3798" s="12" t="inlineStr">
        <is>
          <t>CCS MV switchgear building (VFDs)</t>
        </is>
      </c>
      <c r="G3798" s="12" t="inlineStr"/>
      <c r="H3798" s="12" t="inlineStr">
        <is>
          <t>CO2 compression 3 x ~19 MW + dehydration</t>
        </is>
      </c>
      <c r="I3798" s="12" t="inlineStr">
        <is>
          <t>MV 15 kV</t>
        </is>
      </c>
      <c r="J3798" s="12" t="inlineStr">
        <is>
          <t>MV-105 15 kV 1/C Cu, EPR 133%, Cu tape shield, PVC jacket (triplexed)</t>
        </is>
      </c>
      <c r="K3798" s="12" t="inlineStr">
        <is>
          <t>MV15|1/C|750</t>
        </is>
      </c>
      <c r="L3798" s="12" t="inlineStr">
        <is>
          <t>1/C</t>
        </is>
      </c>
      <c r="M3798" s="12" t="inlineStr">
        <is>
          <t>750 kcmil</t>
        </is>
      </c>
      <c r="N3798" s="12" t="n">
        <v>2</v>
      </c>
      <c r="O3798" s="12" t="n">
        <v>3</v>
      </c>
      <c r="P3798" s="12" t="n">
        <v>13800</v>
      </c>
      <c r="Q3798" s="12" t="n">
        <v>19000</v>
      </c>
      <c r="R3798" s="12" t="n">
        <v>883</v>
      </c>
      <c r="S3798" s="12" t="inlineStr">
        <is>
          <t>Duct bank</t>
        </is>
      </c>
      <c r="T3798" s="16" t="n">
        <v>291</v>
      </c>
      <c r="U3798" s="16" t="n">
        <v>36</v>
      </c>
      <c r="V3798" s="16">
        <f>ROUNDUP((T3798+U3798+2*'Read Me'!$B$13)*(1+'Read Me'!$B$12),-1)</f>
        <v/>
      </c>
      <c r="W3798" s="16">
        <f>V3798*N3798*O3798</f>
        <v/>
      </c>
      <c r="X3798" s="12">
        <f>IF(LEFT(I3798,2)="MV",2*N3798*IF(L3798="1/C",O3798,1),0)</f>
        <v/>
      </c>
      <c r="Y3798" s="12">
        <f>IF(OR(LEFT(K3798,4)="LVAX",LEFT(K3798,6)="MV15AX",LEFT(K3798,4)="CTAX",LEFT(K3798,2)="W|"),2*N3798*O3798,0)</f>
        <v/>
      </c>
      <c r="Z3798" s="12" t="inlineStr">
        <is>
          <t>~19 MW per drawing</t>
        </is>
      </c>
      <c r="AA3798" s="12">
        <f>N3798*O3798</f>
        <v/>
      </c>
    </row>
    <row r="3799">
      <c r="A3799" s="12" t="inlineStr">
        <is>
          <t>G-MV-0009</t>
        </is>
      </c>
      <c r="B3799" s="12" t="inlineStr">
        <is>
          <t>G</t>
        </is>
      </c>
      <c r="C3799" s="12" t="inlineStr">
        <is>
          <t>Carbon capture</t>
        </is>
      </c>
      <c r="D3799" s="12" t="inlineStr">
        <is>
          <t>HP CO2 export compressor (conditional)</t>
        </is>
      </c>
      <c r="E3799" s="12" t="inlineStr"/>
      <c r="F3799" s="12" t="inlineStr">
        <is>
          <t>CCS MV switchgear building (VFDs)</t>
        </is>
      </c>
      <c r="G3799" s="12" t="inlineStr"/>
      <c r="H3799" s="12" t="inlineStr">
        <is>
          <t>CONDITIONAL: HP export compressor + metering</t>
        </is>
      </c>
      <c r="I3799" s="12" t="inlineStr">
        <is>
          <t>MV 15 kV</t>
        </is>
      </c>
      <c r="J3799" s="12" t="inlineStr">
        <is>
          <t>MV-105 15 kV 1/C Cu, EPR 133%, Cu tape shield, PVC jacket (triplexed)</t>
        </is>
      </c>
      <c r="K3799" s="12" t="inlineStr">
        <is>
          <t>MV15|1/C|750</t>
        </is>
      </c>
      <c r="L3799" s="12" t="inlineStr">
        <is>
          <t>1/C</t>
        </is>
      </c>
      <c r="M3799" s="12" t="inlineStr">
        <is>
          <t>750 kcmil</t>
        </is>
      </c>
      <c r="N3799" s="12" t="n">
        <v>1</v>
      </c>
      <c r="O3799" s="12" t="n">
        <v>3</v>
      </c>
      <c r="P3799" s="12" t="n">
        <v>13800</v>
      </c>
      <c r="Q3799" s="12" t="n">
        <v>8000</v>
      </c>
      <c r="R3799" s="12" t="n">
        <v>372</v>
      </c>
      <c r="S3799" s="12" t="inlineStr">
        <is>
          <t>Duct bank</t>
        </is>
      </c>
      <c r="T3799" s="16" t="n">
        <v>303</v>
      </c>
      <c r="U3799" s="16" t="n">
        <v>34</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G-MV-0010</t>
        </is>
      </c>
      <c r="B3800" s="12" t="inlineStr">
        <is>
          <t>G</t>
        </is>
      </c>
      <c r="C3800" s="12" t="inlineStr">
        <is>
          <t>Carbon capture</t>
        </is>
      </c>
      <c r="D3800" s="12" t="inlineStr">
        <is>
          <t>CT MCC / VFD e-house transformer</t>
        </is>
      </c>
      <c r="E3800" s="12" t="inlineStr"/>
      <c r="F3800" s="12" t="inlineStr">
        <is>
          <t>CCS MV switchgear building (VFDs)</t>
        </is>
      </c>
      <c r="G3800" s="12" t="inlineStr"/>
      <c r="H3800" s="12" t="inlineStr">
        <is>
          <t>CT MCC / VFD e-house</t>
        </is>
      </c>
      <c r="I3800" s="12" t="inlineStr">
        <is>
          <t>MV 15 kV</t>
        </is>
      </c>
      <c r="J3800" s="12" t="inlineStr">
        <is>
          <t>MV-105 15 kV 1/C Cu, EPR 133%, Cu tape shield, PVC jacket (triplexed)</t>
        </is>
      </c>
      <c r="K3800" s="12" t="inlineStr">
        <is>
          <t>MV15|1/C|1/0</t>
        </is>
      </c>
      <c r="L3800" s="12" t="inlineStr">
        <is>
          <t>1/C</t>
        </is>
      </c>
      <c r="M3800" s="12" t="inlineStr">
        <is>
          <t>1/0</t>
        </is>
      </c>
      <c r="N3800" s="12" t="n">
        <v>1</v>
      </c>
      <c r="O3800" s="12" t="n">
        <v>3</v>
      </c>
      <c r="P3800" s="12" t="n">
        <v>13800</v>
      </c>
      <c r="Q3800" s="12" t="n">
        <v>3000</v>
      </c>
      <c r="R3800" s="12" t="n">
        <v>126</v>
      </c>
      <c r="S3800" s="12" t="inlineStr">
        <is>
          <t>Duct bank</t>
        </is>
      </c>
      <c r="T3800" s="16" t="n">
        <v>925</v>
      </c>
      <c r="U3800" s="16" t="n">
        <v>32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G-MV-0011</t>
        </is>
      </c>
      <c r="B3801" s="12" t="inlineStr">
        <is>
          <t>G</t>
        </is>
      </c>
      <c r="C3801" s="12" t="inlineStr">
        <is>
          <t>Carbon capture</t>
        </is>
      </c>
      <c r="D3801" s="12" t="inlineStr">
        <is>
          <t>CT MCC / VFD e-house transformer</t>
        </is>
      </c>
      <c r="E3801" s="12" t="inlineStr"/>
      <c r="F3801" s="12" t="inlineStr">
        <is>
          <t>CCS MV switchgear building (VFDs)</t>
        </is>
      </c>
      <c r="G3801" s="12" t="inlineStr"/>
      <c r="H3801" s="12" t="inlineStr">
        <is>
          <t>CT MCC / VFD e-house</t>
        </is>
      </c>
      <c r="I3801" s="12" t="inlineStr">
        <is>
          <t>MV 15 kV</t>
        </is>
      </c>
      <c r="J3801" s="12" t="inlineStr">
        <is>
          <t>MV-105 15 kV 1/C Cu, EPR 133%, Cu tape shield, PVC jacket (triplexed)</t>
        </is>
      </c>
      <c r="K3801" s="12" t="inlineStr">
        <is>
          <t>MV15|1/C|1/0</t>
        </is>
      </c>
      <c r="L3801" s="12" t="inlineStr">
        <is>
          <t>1/C</t>
        </is>
      </c>
      <c r="M3801" s="12" t="inlineStr">
        <is>
          <t>1/0</t>
        </is>
      </c>
      <c r="N3801" s="12" t="n">
        <v>1</v>
      </c>
      <c r="O3801" s="12" t="n">
        <v>3</v>
      </c>
      <c r="P3801" s="12" t="n">
        <v>13800</v>
      </c>
      <c r="Q3801" s="12" t="n">
        <v>3000</v>
      </c>
      <c r="R3801" s="12" t="n">
        <v>126</v>
      </c>
      <c r="S3801" s="12" t="inlineStr">
        <is>
          <t>Duct bank</t>
        </is>
      </c>
      <c r="T3801" s="16" t="n">
        <v>925</v>
      </c>
      <c r="U3801" s="16" t="n">
        <v>32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G-MV-0012</t>
        </is>
      </c>
      <c r="B3802" s="12" t="inlineStr">
        <is>
          <t>G</t>
        </is>
      </c>
      <c r="C3802" s="12" t="inlineStr">
        <is>
          <t>Carbon capture</t>
        </is>
      </c>
      <c r="D3802" s="12" t="inlineStr">
        <is>
          <t>CCS circulating-water pump 1</t>
        </is>
      </c>
      <c r="E3802" s="12" t="inlineStr"/>
      <c r="F3802" s="12" t="inlineStr">
        <is>
          <t>CCS MV switchgear building (VFDs)</t>
        </is>
      </c>
      <c r="G3802" s="12" t="inlineStr"/>
      <c r="H3802" s="12" t="inlineStr">
        <is>
          <t>CCS circulating-water pumps</t>
        </is>
      </c>
      <c r="I3802" s="12" t="inlineStr">
        <is>
          <t>MV 5 kV</t>
        </is>
      </c>
      <c r="J3802" s="12" t="inlineStr">
        <is>
          <t>MV-105 5 kV 3/C Cu, EPR 133%, tape shield, gnd, PVC jacket</t>
        </is>
      </c>
      <c r="K3802" s="12" t="inlineStr">
        <is>
          <t>MV5|3/C|4/0</t>
        </is>
      </c>
      <c r="L3802" s="12" t="inlineStr">
        <is>
          <t>3/C</t>
        </is>
      </c>
      <c r="M3802" s="12" t="inlineStr">
        <is>
          <t>4/0</t>
        </is>
      </c>
      <c r="N3802" s="12" t="n">
        <v>1</v>
      </c>
      <c r="O3802" s="12" t="n">
        <v>1</v>
      </c>
      <c r="P3802" s="12" t="n">
        <v>4160</v>
      </c>
      <c r="Q3802" s="12" t="n">
        <v>1200</v>
      </c>
      <c r="R3802" s="12" t="n">
        <v>185</v>
      </c>
      <c r="S3802" s="12" t="inlineStr">
        <is>
          <t>Duct bank</t>
        </is>
      </c>
      <c r="T3802" s="16" t="n">
        <v>925</v>
      </c>
      <c r="U3802" s="16" t="n">
        <v>72</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G-MV-0013</t>
        </is>
      </c>
      <c r="B3803" s="12" t="inlineStr">
        <is>
          <t>G</t>
        </is>
      </c>
      <c r="C3803" s="12" t="inlineStr">
        <is>
          <t>Carbon capture</t>
        </is>
      </c>
      <c r="D3803" s="12" t="inlineStr">
        <is>
          <t>CCS circulating-water pump 2</t>
        </is>
      </c>
      <c r="E3803" s="12" t="inlineStr"/>
      <c r="F3803" s="12" t="inlineStr">
        <is>
          <t>CCS MV switchgear building (VFDs)</t>
        </is>
      </c>
      <c r="G3803" s="12" t="inlineStr"/>
      <c r="H3803" s="12" t="inlineStr">
        <is>
          <t>CCS circulating-water pumps</t>
        </is>
      </c>
      <c r="I3803" s="12" t="inlineStr">
        <is>
          <t>MV 5 kV</t>
        </is>
      </c>
      <c r="J3803" s="12" t="inlineStr">
        <is>
          <t>MV-105 5 kV 3/C Cu, EPR 133%, tape shield, gnd, PVC jacket</t>
        </is>
      </c>
      <c r="K3803" s="12" t="inlineStr">
        <is>
          <t>MV5|3/C|4/0</t>
        </is>
      </c>
      <c r="L3803" s="12" t="inlineStr">
        <is>
          <t>3/C</t>
        </is>
      </c>
      <c r="M3803" s="12" t="inlineStr">
        <is>
          <t>4/0</t>
        </is>
      </c>
      <c r="N3803" s="12" t="n">
        <v>1</v>
      </c>
      <c r="O3803" s="12" t="n">
        <v>1</v>
      </c>
      <c r="P3803" s="12" t="n">
        <v>4160</v>
      </c>
      <c r="Q3803" s="12" t="n">
        <v>1200</v>
      </c>
      <c r="R3803" s="12" t="n">
        <v>185</v>
      </c>
      <c r="S3803" s="12" t="inlineStr">
        <is>
          <t>Duct bank</t>
        </is>
      </c>
      <c r="T3803" s="16" t="n">
        <v>925</v>
      </c>
      <c r="U3803" s="16" t="n">
        <v>72</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G-MV-0014</t>
        </is>
      </c>
      <c r="B3804" s="12" t="inlineStr">
        <is>
          <t>G</t>
        </is>
      </c>
      <c r="C3804" s="12" t="inlineStr">
        <is>
          <t>Carbon capture</t>
        </is>
      </c>
      <c r="D3804" s="12" t="inlineStr">
        <is>
          <t>CCS circulating-water pump 3</t>
        </is>
      </c>
      <c r="E3804" s="12" t="inlineStr"/>
      <c r="F3804" s="12" t="inlineStr">
        <is>
          <t>CCS MV switchgear building (VFDs)</t>
        </is>
      </c>
      <c r="G3804" s="12" t="inlineStr"/>
      <c r="H3804" s="12" t="inlineStr">
        <is>
          <t>CCS circulating-water pumps</t>
        </is>
      </c>
      <c r="I3804" s="12" t="inlineStr">
        <is>
          <t>MV 5 kV</t>
        </is>
      </c>
      <c r="J3804" s="12" t="inlineStr">
        <is>
          <t>MV-105 5 kV 3/C Cu, EPR 133%, tape shield, gnd, PVC jacket</t>
        </is>
      </c>
      <c r="K3804" s="12" t="inlineStr">
        <is>
          <t>MV5|3/C|4/0</t>
        </is>
      </c>
      <c r="L3804" s="12" t="inlineStr">
        <is>
          <t>3/C</t>
        </is>
      </c>
      <c r="M3804" s="12" t="inlineStr">
        <is>
          <t>4/0</t>
        </is>
      </c>
      <c r="N3804" s="12" t="n">
        <v>1</v>
      </c>
      <c r="O3804" s="12" t="n">
        <v>1</v>
      </c>
      <c r="P3804" s="12" t="n">
        <v>4160</v>
      </c>
      <c r="Q3804" s="12" t="n">
        <v>1200</v>
      </c>
      <c r="R3804" s="12" t="n">
        <v>185</v>
      </c>
      <c r="S3804" s="12" t="inlineStr">
        <is>
          <t>Duct bank</t>
        </is>
      </c>
      <c r="T3804" s="16" t="n">
        <v>925</v>
      </c>
      <c r="U3804" s="16" t="n">
        <v>72</v>
      </c>
      <c r="V3804" s="16">
        <f>ROUNDUP((T3804+U3804+2*'Read Me'!$B$13)*(1+'Read Me'!$B$12),-1)</f>
        <v/>
      </c>
      <c r="W3804" s="16">
        <f>V3804*N3804*O3804</f>
        <v/>
      </c>
      <c r="X3804" s="12">
        <f>IF(LEFT(I3804,2)="MV",2*N3804*IF(L3804="1/C",O3804,1),0)</f>
        <v/>
      </c>
      <c r="Y3804" s="12">
        <f>IF(OR(LEFT(K3804,4)="LVAX",LEFT(K3804,6)="MV15AX",LEFT(K3804,4)="CTAX",LEFT(K3804,2)="W|"),2*N3804*O3804,0)</f>
        <v/>
      </c>
      <c r="Z3804" s="12" t="inlineStr"/>
      <c r="AA3804" s="12">
        <f>N3804*O3804</f>
        <v/>
      </c>
    </row>
    <row r="3805">
      <c r="A3805" s="12" t="inlineStr">
        <is>
          <t>G-MV-0015</t>
        </is>
      </c>
      <c r="B3805" s="12" t="inlineStr">
        <is>
          <t>G</t>
        </is>
      </c>
      <c r="C3805" s="12" t="inlineStr">
        <is>
          <t>Carbon capture</t>
        </is>
      </c>
      <c r="D3805" s="12" t="inlineStr">
        <is>
          <t>CCS circulating-water pump 4</t>
        </is>
      </c>
      <c r="E3805" s="12" t="inlineStr"/>
      <c r="F3805" s="12" t="inlineStr">
        <is>
          <t>CCS MV switchgear building (VFDs)</t>
        </is>
      </c>
      <c r="G3805" s="12" t="inlineStr"/>
      <c r="H3805" s="12" t="inlineStr">
        <is>
          <t>CCS circulating-water pumps</t>
        </is>
      </c>
      <c r="I3805" s="12" t="inlineStr">
        <is>
          <t>MV 5 kV</t>
        </is>
      </c>
      <c r="J3805" s="12" t="inlineStr">
        <is>
          <t>MV-105 5 kV 3/C Cu, EPR 133%, tape shield, gnd, PVC jacket</t>
        </is>
      </c>
      <c r="K3805" s="12" t="inlineStr">
        <is>
          <t>MV5|3/C|4/0</t>
        </is>
      </c>
      <c r="L3805" s="12" t="inlineStr">
        <is>
          <t>3/C</t>
        </is>
      </c>
      <c r="M3805" s="12" t="inlineStr">
        <is>
          <t>4/0</t>
        </is>
      </c>
      <c r="N3805" s="12" t="n">
        <v>1</v>
      </c>
      <c r="O3805" s="12" t="n">
        <v>1</v>
      </c>
      <c r="P3805" s="12" t="n">
        <v>4160</v>
      </c>
      <c r="Q3805" s="12" t="n">
        <v>1200</v>
      </c>
      <c r="R3805" s="12" t="n">
        <v>185</v>
      </c>
      <c r="S3805" s="12" t="inlineStr">
        <is>
          <t>Duct bank</t>
        </is>
      </c>
      <c r="T3805" s="16" t="n">
        <v>925</v>
      </c>
      <c r="U3805" s="16" t="n">
        <v>72</v>
      </c>
      <c r="V3805" s="16">
        <f>ROUNDUP((T3805+U3805+2*'Read Me'!$B$13)*(1+'Read Me'!$B$12),-1)</f>
        <v/>
      </c>
      <c r="W3805" s="16">
        <f>V3805*N3805*O3805</f>
        <v/>
      </c>
      <c r="X3805" s="12">
        <f>IF(LEFT(I3805,2)="MV",2*N3805*IF(L3805="1/C",O3805,1),0)</f>
        <v/>
      </c>
      <c r="Y3805" s="12">
        <f>IF(OR(LEFT(K3805,4)="LVAX",LEFT(K3805,6)="MV15AX",LEFT(K3805,4)="CTAX",LEFT(K3805,2)="W|"),2*N3805*O3805,0)</f>
        <v/>
      </c>
      <c r="Z3805" s="12" t="inlineStr"/>
      <c r="AA3805" s="12">
        <f>N3805*O3805</f>
        <v/>
      </c>
    </row>
    <row r="3806">
      <c r="A3806" s="12" t="inlineStr">
        <is>
          <t>G-MV-0016</t>
        </is>
      </c>
      <c r="B3806" s="12" t="inlineStr">
        <is>
          <t>G</t>
        </is>
      </c>
      <c r="C3806" s="12" t="inlineStr">
        <is>
          <t>Carbon capture</t>
        </is>
      </c>
      <c r="D3806" s="12" t="inlineStr">
        <is>
          <t>Rich / lean amine pumps (A)</t>
        </is>
      </c>
      <c r="E3806" s="12" t="inlineStr"/>
      <c r="F3806" s="12" t="inlineStr">
        <is>
          <t>CCS MV switchgear building (VFDs)</t>
        </is>
      </c>
      <c r="G3806" s="12" t="inlineStr"/>
      <c r="H3806" s="12" t="inlineStr">
        <is>
          <t>Rich/lean pumps, cross exchanger, lean cooler A</t>
        </is>
      </c>
      <c r="I3806" s="12" t="inlineStr">
        <is>
          <t>MV 5 kV</t>
        </is>
      </c>
      <c r="J3806" s="12" t="inlineStr">
        <is>
          <t>MV-105 5 kV 3/C Cu, EPR 133%, tape shield, gnd, PVC jacket</t>
        </is>
      </c>
      <c r="K3806" s="12" t="inlineStr">
        <is>
          <t>MV5|3/C|2</t>
        </is>
      </c>
      <c r="L3806" s="12" t="inlineStr">
        <is>
          <t>3/C</t>
        </is>
      </c>
      <c r="M3806" s="12" t="inlineStr">
        <is>
          <t>2</t>
        </is>
      </c>
      <c r="N3806" s="12" t="n">
        <v>1</v>
      </c>
      <c r="O3806" s="12" t="n">
        <v>1</v>
      </c>
      <c r="P3806" s="12" t="n">
        <v>4160</v>
      </c>
      <c r="Q3806" s="12" t="n">
        <v>450</v>
      </c>
      <c r="R3806" s="12" t="n">
        <v>69</v>
      </c>
      <c r="S3806" s="12" t="inlineStr">
        <is>
          <t>Tray</t>
        </is>
      </c>
      <c r="T3806" s="16" t="n">
        <v>465</v>
      </c>
      <c r="U3806" s="16" t="n">
        <v>112</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G-MV-0017</t>
        </is>
      </c>
      <c r="B3807" s="12" t="inlineStr">
        <is>
          <t>G</t>
        </is>
      </c>
      <c r="C3807" s="12" t="inlineStr">
        <is>
          <t>Carbon capture</t>
        </is>
      </c>
      <c r="D3807" s="12" t="inlineStr">
        <is>
          <t>Rich / lean amine pumps (A)</t>
        </is>
      </c>
      <c r="E3807" s="12" t="inlineStr"/>
      <c r="F3807" s="12" t="inlineStr">
        <is>
          <t>CCS MV switchgear building (VFDs)</t>
        </is>
      </c>
      <c r="G3807" s="12" t="inlineStr"/>
      <c r="H3807" s="12" t="inlineStr">
        <is>
          <t>Rich/lean pumps, cross exchanger, lean cooler A</t>
        </is>
      </c>
      <c r="I3807" s="12" t="inlineStr">
        <is>
          <t>MV 5 kV</t>
        </is>
      </c>
      <c r="J3807" s="12" t="inlineStr">
        <is>
          <t>MV-105 5 kV 3/C Cu, EPR 133%, tape shield, gnd, PVC jacket</t>
        </is>
      </c>
      <c r="K3807" s="12" t="inlineStr">
        <is>
          <t>MV5|3/C|2</t>
        </is>
      </c>
      <c r="L3807" s="12" t="inlineStr">
        <is>
          <t>3/C</t>
        </is>
      </c>
      <c r="M3807" s="12" t="inlineStr">
        <is>
          <t>2</t>
        </is>
      </c>
      <c r="N3807" s="12" t="n">
        <v>1</v>
      </c>
      <c r="O3807" s="12" t="n">
        <v>1</v>
      </c>
      <c r="P3807" s="12" t="n">
        <v>4160</v>
      </c>
      <c r="Q3807" s="12" t="n">
        <v>450</v>
      </c>
      <c r="R3807" s="12" t="n">
        <v>69</v>
      </c>
      <c r="S3807" s="12" t="inlineStr">
        <is>
          <t>Tray</t>
        </is>
      </c>
      <c r="T3807" s="16" t="n">
        <v>465</v>
      </c>
      <c r="U3807" s="16" t="n">
        <v>112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G-MV-0018</t>
        </is>
      </c>
      <c r="B3808" s="12" t="inlineStr">
        <is>
          <t>G</t>
        </is>
      </c>
      <c r="C3808" s="12" t="inlineStr">
        <is>
          <t>Carbon capture</t>
        </is>
      </c>
      <c r="D3808" s="12" t="inlineStr">
        <is>
          <t>Rich / lean amine pumps (B)</t>
        </is>
      </c>
      <c r="E3808" s="12" t="inlineStr"/>
      <c r="F3808" s="12" t="inlineStr">
        <is>
          <t>CCS MV switchgear building (VFDs)</t>
        </is>
      </c>
      <c r="G3808" s="12" t="inlineStr"/>
      <c r="H3808" s="12" t="inlineStr">
        <is>
          <t>Rich/lean pumps, cross exchanger, lean cooler B</t>
        </is>
      </c>
      <c r="I3808" s="12" t="inlineStr">
        <is>
          <t>MV 5 kV</t>
        </is>
      </c>
      <c r="J3808" s="12" t="inlineStr">
        <is>
          <t>MV-105 5 kV 3/C Cu, EPR 133%, tape shield, gnd, PVC jacket</t>
        </is>
      </c>
      <c r="K3808" s="12" t="inlineStr">
        <is>
          <t>MV5|3/C|2</t>
        </is>
      </c>
      <c r="L3808" s="12" t="inlineStr">
        <is>
          <t>3/C</t>
        </is>
      </c>
      <c r="M3808" s="12" t="inlineStr">
        <is>
          <t>2</t>
        </is>
      </c>
      <c r="N3808" s="12" t="n">
        <v>1</v>
      </c>
      <c r="O3808" s="12" t="n">
        <v>1</v>
      </c>
      <c r="P3808" s="12" t="n">
        <v>4160</v>
      </c>
      <c r="Q3808" s="12" t="n">
        <v>450</v>
      </c>
      <c r="R3808" s="12" t="n">
        <v>69</v>
      </c>
      <c r="S3808" s="12" t="inlineStr">
        <is>
          <t>Tray</t>
        </is>
      </c>
      <c r="T3808" s="16" t="n">
        <v>305</v>
      </c>
      <c r="U3808" s="16" t="n">
        <v>112</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G-MV-0019</t>
        </is>
      </c>
      <c r="B3809" s="12" t="inlineStr">
        <is>
          <t>G</t>
        </is>
      </c>
      <c r="C3809" s="12" t="inlineStr">
        <is>
          <t>Carbon capture</t>
        </is>
      </c>
      <c r="D3809" s="12" t="inlineStr">
        <is>
          <t>Rich / lean amine pumps (B)</t>
        </is>
      </c>
      <c r="E3809" s="12" t="inlineStr"/>
      <c r="F3809" s="12" t="inlineStr">
        <is>
          <t>CCS MV switchgear building (VFDs)</t>
        </is>
      </c>
      <c r="G3809" s="12" t="inlineStr"/>
      <c r="H3809" s="12" t="inlineStr">
        <is>
          <t>Rich/lean pumps, cross exchanger, lean cooler B</t>
        </is>
      </c>
      <c r="I3809" s="12" t="inlineStr">
        <is>
          <t>MV 5 kV</t>
        </is>
      </c>
      <c r="J3809" s="12" t="inlineStr">
        <is>
          <t>MV-105 5 kV 3/C Cu, EPR 133%, tape shield, gnd, PVC jacket</t>
        </is>
      </c>
      <c r="K3809" s="12" t="inlineStr">
        <is>
          <t>MV5|3/C|2</t>
        </is>
      </c>
      <c r="L3809" s="12" t="inlineStr">
        <is>
          <t>3/C</t>
        </is>
      </c>
      <c r="M3809" s="12" t="inlineStr">
        <is>
          <t>2</t>
        </is>
      </c>
      <c r="N3809" s="12" t="n">
        <v>1</v>
      </c>
      <c r="O3809" s="12" t="n">
        <v>1</v>
      </c>
      <c r="P3809" s="12" t="n">
        <v>4160</v>
      </c>
      <c r="Q3809" s="12" t="n">
        <v>450</v>
      </c>
      <c r="R3809" s="12" t="n">
        <v>69</v>
      </c>
      <c r="S3809" s="12" t="inlineStr">
        <is>
          <t>Tray</t>
        </is>
      </c>
      <c r="T3809" s="16" t="n">
        <v>305</v>
      </c>
      <c r="U3809" s="16" t="n">
        <v>112</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G-MV-0020</t>
        </is>
      </c>
      <c r="B3810" s="12" t="inlineStr">
        <is>
          <t>G</t>
        </is>
      </c>
      <c r="C3810" s="12" t="inlineStr">
        <is>
          <t>Carbon capture</t>
        </is>
      </c>
      <c r="D3810" s="12" t="inlineStr">
        <is>
          <t>Rich / lean amine pumps (C)</t>
        </is>
      </c>
      <c r="E3810" s="12" t="inlineStr"/>
      <c r="F3810" s="12" t="inlineStr">
        <is>
          <t>CCS MV switchgear building (VFDs)</t>
        </is>
      </c>
      <c r="G3810" s="12" t="inlineStr"/>
      <c r="H3810" s="12" t="inlineStr">
        <is>
          <t>Rich/lean pumps, cross exchanger, lean cooler C</t>
        </is>
      </c>
      <c r="I3810" s="12" t="inlineStr">
        <is>
          <t>MV 5 kV</t>
        </is>
      </c>
      <c r="J3810" s="12" t="inlineStr">
        <is>
          <t>MV-105 5 kV 3/C Cu, EPR 133%, tape shield, gnd, PVC jacket</t>
        </is>
      </c>
      <c r="K3810" s="12" t="inlineStr">
        <is>
          <t>MV5|3/C|2</t>
        </is>
      </c>
      <c r="L3810" s="12" t="inlineStr">
        <is>
          <t>3/C</t>
        </is>
      </c>
      <c r="M3810" s="12" t="inlineStr">
        <is>
          <t>2</t>
        </is>
      </c>
      <c r="N3810" s="12" t="n">
        <v>1</v>
      </c>
      <c r="O3810" s="12" t="n">
        <v>1</v>
      </c>
      <c r="P3810" s="12" t="n">
        <v>4160</v>
      </c>
      <c r="Q3810" s="12" t="n">
        <v>450</v>
      </c>
      <c r="R3810" s="12" t="n">
        <v>69</v>
      </c>
      <c r="S3810" s="12" t="inlineStr">
        <is>
          <t>Duct bank</t>
        </is>
      </c>
      <c r="T3810" s="16" t="n">
        <v>0</v>
      </c>
      <c r="U3810" s="16" t="n">
        <v>69</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G-MV-0021</t>
        </is>
      </c>
      <c r="B3811" s="12" t="inlineStr">
        <is>
          <t>G</t>
        </is>
      </c>
      <c r="C3811" s="12" t="inlineStr">
        <is>
          <t>Carbon capture</t>
        </is>
      </c>
      <c r="D3811" s="12" t="inlineStr">
        <is>
          <t>Rich / lean amine pumps (C)</t>
        </is>
      </c>
      <c r="E3811" s="12" t="inlineStr"/>
      <c r="F3811" s="12" t="inlineStr">
        <is>
          <t>CCS MV switchgear building (VFDs)</t>
        </is>
      </c>
      <c r="G3811" s="12" t="inlineStr"/>
      <c r="H3811" s="12" t="inlineStr">
        <is>
          <t>Rich/lean pumps, cross exchanger, lean cooler C</t>
        </is>
      </c>
      <c r="I3811" s="12" t="inlineStr">
        <is>
          <t>MV 5 kV</t>
        </is>
      </c>
      <c r="J3811" s="12" t="inlineStr">
        <is>
          <t>MV-105 5 kV 3/C Cu, EPR 133%, tape shield, gnd, PVC jacket</t>
        </is>
      </c>
      <c r="K3811" s="12" t="inlineStr">
        <is>
          <t>MV5|3/C|2</t>
        </is>
      </c>
      <c r="L3811" s="12" t="inlineStr">
        <is>
          <t>3/C</t>
        </is>
      </c>
      <c r="M3811" s="12" t="inlineStr">
        <is>
          <t>2</t>
        </is>
      </c>
      <c r="N3811" s="12" t="n">
        <v>1</v>
      </c>
      <c r="O3811" s="12" t="n">
        <v>1</v>
      </c>
      <c r="P3811" s="12" t="n">
        <v>4160</v>
      </c>
      <c r="Q3811" s="12" t="n">
        <v>450</v>
      </c>
      <c r="R3811" s="12" t="n">
        <v>69</v>
      </c>
      <c r="S3811" s="12" t="inlineStr">
        <is>
          <t>Duct bank</t>
        </is>
      </c>
      <c r="T3811" s="16" t="n">
        <v>0</v>
      </c>
      <c r="U3811" s="16" t="n">
        <v>69</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H-L-0001</t>
        </is>
      </c>
      <c r="B3812" s="12" t="inlineStr">
        <is>
          <t>H</t>
        </is>
      </c>
      <c r="C3812" s="12" t="inlineStr">
        <is>
          <t>BESS</t>
        </is>
      </c>
      <c r="D3812" s="12" t="inlineStr">
        <is>
          <t>Lighting, receptacles and small power branch circuits (allowance)</t>
        </is>
      </c>
      <c r="E3812" s="12" t="inlineStr"/>
      <c r="F3812" s="12" t="inlineStr">
        <is>
          <t>34.5 kV collector e-house (arc-resistant)</t>
        </is>
      </c>
      <c r="G3812" s="12" t="inlineStr"/>
      <c r="H3812" s="12" t="inlineStr">
        <is>
          <t>34.5 kV collector e-house (arc-resistant)</t>
        </is>
      </c>
      <c r="I3812" s="12" t="inlineStr">
        <is>
          <t>Building wire</t>
        </is>
      </c>
      <c r="J3812" s="12" t="inlineStr">
        <is>
          <t>SIMpull THHN/THWN-2 600 V 1/C Cu (lighting, receptacles, small power)</t>
        </is>
      </c>
      <c r="K3812" s="12" t="inlineStr">
        <is>
          <t>THHN|1/C|12</t>
        </is>
      </c>
      <c r="L3812" s="12" t="inlineStr">
        <is>
          <t>1/C</t>
        </is>
      </c>
      <c r="M3812" s="12" t="inlineStr">
        <is>
          <t>12</t>
        </is>
      </c>
      <c r="N3812" s="12" t="n">
        <v>1</v>
      </c>
      <c r="O3812" s="12" t="n">
        <v>1</v>
      </c>
      <c r="P3812" s="12" t="n">
        <v>277</v>
      </c>
      <c r="Q3812" s="12" t="n"/>
      <c r="R3812" s="12" t="n"/>
      <c r="S3812" s="12" t="inlineStr">
        <is>
          <t>Conduit</t>
        </is>
      </c>
      <c r="T3812" s="16" t="n">
        <v>1280</v>
      </c>
      <c r="U3812" s="16" t="n">
        <v>0</v>
      </c>
      <c r="V3812" s="16">
        <f>ROUNDUP((T3812+U3812+2*'Read Me'!$B$13)*(1+'Read Me'!$B$12),-1)</f>
        <v/>
      </c>
      <c r="W3812" s="16">
        <f>V3812*N3812*O3812</f>
        <v/>
      </c>
      <c r="X3812" s="12">
        <f>IF(LEFT(I3812,2)="MV",2*N3812*IF(L3812="1/C",O3812,1),0)</f>
        <v/>
      </c>
      <c r="Y3812" s="12">
        <f>IF(OR(LEFT(K3812,4)="LVAX",LEFT(K3812,6)="MV15AX",LEFT(K3812,4)="CTAX",LEFT(K3812,2)="W|"),2*N3812*O3812,0)</f>
        <v/>
      </c>
      <c r="Z3812" s="12" t="inlineStr">
        <is>
          <t>allowance: 1.6 ft of conductor per ft2 of floor</t>
        </is>
      </c>
      <c r="AA3812" s="12">
        <f>N3812*O3812</f>
        <v/>
      </c>
    </row>
    <row r="3813">
      <c r="A3813" s="12" t="inlineStr">
        <is>
          <t>H-L-0002</t>
        </is>
      </c>
      <c r="B3813" s="12" t="inlineStr">
        <is>
          <t>H</t>
        </is>
      </c>
      <c r="C3813" s="12" t="inlineStr">
        <is>
          <t>BESS</t>
        </is>
      </c>
      <c r="D3813" s="12" t="inlineStr">
        <is>
          <t>Lighting, receptacles and small power branch circuits (allowance)</t>
        </is>
      </c>
      <c r="E3813" s="12" t="inlineStr"/>
      <c r="F3813" s="12" t="inlineStr">
        <is>
          <t>BESS EMS / SCADA and revenue metering</t>
        </is>
      </c>
      <c r="G3813" s="12" t="inlineStr"/>
      <c r="H3813" s="12" t="inlineStr">
        <is>
          <t>BESS EMS / SCADA and revenue metering</t>
        </is>
      </c>
      <c r="I3813" s="12" t="inlineStr">
        <is>
          <t>Building wire</t>
        </is>
      </c>
      <c r="J3813" s="12" t="inlineStr">
        <is>
          <t>SIMpull THHN/THWN-2 600 V 1/C Cu (lighting, receptacles, small power)</t>
        </is>
      </c>
      <c r="K3813" s="12" t="inlineStr">
        <is>
          <t>THHN|1/C|12</t>
        </is>
      </c>
      <c r="L3813" s="12" t="inlineStr">
        <is>
          <t>1/C</t>
        </is>
      </c>
      <c r="M3813" s="12" t="inlineStr">
        <is>
          <t>12</t>
        </is>
      </c>
      <c r="N3813" s="12" t="n">
        <v>1</v>
      </c>
      <c r="O3813" s="12" t="n">
        <v>1</v>
      </c>
      <c r="P3813" s="12" t="n">
        <v>277</v>
      </c>
      <c r="Q3813" s="12" t="n"/>
      <c r="R3813" s="12" t="n"/>
      <c r="S3813" s="12" t="inlineStr">
        <is>
          <t>Conduit</t>
        </is>
      </c>
      <c r="T3813" s="16" t="n">
        <v>384</v>
      </c>
      <c r="U3813" s="16" t="n">
        <v>0</v>
      </c>
      <c r="V3813" s="16">
        <f>ROUNDUP((T3813+U3813+2*'Read Me'!$B$13)*(1+'Read Me'!$B$12),-1)</f>
        <v/>
      </c>
      <c r="W3813" s="16">
        <f>V3813*N3813*O3813</f>
        <v/>
      </c>
      <c r="X3813" s="12">
        <f>IF(LEFT(I3813,2)="MV",2*N3813*IF(L3813="1/C",O3813,1),0)</f>
        <v/>
      </c>
      <c r="Y3813" s="12">
        <f>IF(OR(LEFT(K3813,4)="LVAX",LEFT(K3813,6)="MV15AX",LEFT(K3813,4)="CTAX",LEFT(K3813,2)="W|"),2*N3813*O3813,0)</f>
        <v/>
      </c>
      <c r="Z3813" s="12" t="inlineStr">
        <is>
          <t>allowance: 1.6 ft of conductor per ft2 of floor</t>
        </is>
      </c>
      <c r="AA3813" s="12">
        <f>N3813*O3813</f>
        <v/>
      </c>
    </row>
    <row r="3814">
      <c r="A3814" s="12" t="inlineStr">
        <is>
          <t>H-C-0001</t>
        </is>
      </c>
      <c r="B3814" s="12" t="inlineStr">
        <is>
          <t>H</t>
        </is>
      </c>
      <c r="C3814" s="12" t="inlineStr">
        <is>
          <t>BESS</t>
        </is>
      </c>
      <c r="D3814" s="12" t="inlineStr">
        <is>
          <t>Control</t>
        </is>
      </c>
      <c r="E3814" s="12" t="inlineStr"/>
      <c r="F3814" s="12" t="inlineStr">
        <is>
          <t>BESS EMS / SCADA and revenue metering</t>
        </is>
      </c>
      <c r="G3814" s="12" t="inlineStr"/>
      <c r="H3814" s="12" t="inlineStr">
        <is>
          <t>34.5 kV collector e-house (arc-resistant)</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68</v>
      </c>
      <c r="U3814" s="16" t="n">
        <v>37</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H-C-0002</t>
        </is>
      </c>
      <c r="B3815" s="12" t="inlineStr">
        <is>
          <t>H</t>
        </is>
      </c>
      <c r="C3815" s="12" t="inlineStr">
        <is>
          <t>BESS</t>
        </is>
      </c>
      <c r="D3815" s="12" t="inlineStr">
        <is>
          <t>Control</t>
        </is>
      </c>
      <c r="E3815" s="12" t="inlineStr"/>
      <c r="F3815" s="12" t="inlineStr">
        <is>
          <t>BESS EMS / SCADA and revenue metering</t>
        </is>
      </c>
      <c r="G3815" s="12" t="inlineStr"/>
      <c r="H3815" s="12" t="inlineStr">
        <is>
          <t>BESS EMS / SCADA and revenue metering</t>
        </is>
      </c>
      <c r="I3815" s="12" t="inlineStr">
        <is>
          <t>Control</t>
        </is>
      </c>
      <c r="J3815" s="12" t="inlineStr">
        <is>
          <t>ARMOR-X MC-HL 600 V control, Cu #14 AWG (Class I Div 2)</t>
        </is>
      </c>
      <c r="K3815" s="12" t="inlineStr">
        <is>
          <t>CTAX|7/C|14</t>
        </is>
      </c>
      <c r="L3815" s="12" t="inlineStr">
        <is>
          <t>7/C</t>
        </is>
      </c>
      <c r="M3815" s="12" t="inlineStr">
        <is>
          <t>14</t>
        </is>
      </c>
      <c r="N3815" s="12" t="n">
        <v>1</v>
      </c>
      <c r="O3815" s="12" t="n">
        <v>1</v>
      </c>
      <c r="P3815" s="12" t="n"/>
      <c r="Q3815" s="12" t="n"/>
      <c r="R3815" s="12" t="n"/>
      <c r="S3815" s="12" t="inlineStr">
        <is>
          <t>Tray</t>
        </is>
      </c>
      <c r="T3815" s="16" t="n">
        <v>0</v>
      </c>
      <c r="U3815" s="16" t="n">
        <v>32</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H-C-0003</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318</v>
      </c>
      <c r="U3816" s="16" t="n">
        <v>103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H-C-0004</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318</v>
      </c>
      <c r="U3817" s="16" t="n">
        <v>103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H-C-0005</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178</v>
      </c>
      <c r="U3818" s="16" t="n">
        <v>123</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H-C-0006</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178</v>
      </c>
      <c r="U3819" s="16" t="n">
        <v>123</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H-C-0007</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74</v>
      </c>
      <c r="U3820" s="16" t="n">
        <v>107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H-C-0008</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74</v>
      </c>
      <c r="U3821" s="16" t="n">
        <v>107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H-C-0009</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318</v>
      </c>
      <c r="U3822" s="16" t="n">
        <v>161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H-C-0010</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318</v>
      </c>
      <c r="U3823" s="16" t="n">
        <v>161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H-C-0011</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178</v>
      </c>
      <c r="U3824" s="16" t="n">
        <v>181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H-C-0012</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178</v>
      </c>
      <c r="U3825" s="16" t="n">
        <v>181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H-C-0013</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74</v>
      </c>
      <c r="U3826" s="16" t="n">
        <v>165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H-C-0014</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74</v>
      </c>
      <c r="U3827" s="16" t="n">
        <v>165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H-C-0015</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318</v>
      </c>
      <c r="U3828" s="16" t="n">
        <v>219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H-C-0016</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318</v>
      </c>
      <c r="U3829" s="16" t="n">
        <v>219</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H-C-0017</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178</v>
      </c>
      <c r="U3830" s="16" t="n">
        <v>239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H-C-0018</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178</v>
      </c>
      <c r="U3831" s="16" t="n">
        <v>239</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H-C-0019</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380</v>
      </c>
      <c r="U3832" s="16" t="n">
        <v>149</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H-C-0020</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380</v>
      </c>
      <c r="U3833" s="16" t="n">
        <v>149</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H-C-0021</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620</v>
      </c>
      <c r="U3834" s="16" t="n">
        <v>91</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H-C-0022</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620</v>
      </c>
      <c r="U3835" s="16" t="n">
        <v>91</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H-C-0023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500</v>
      </c>
      <c r="U3836" s="16" t="n">
        <v>91</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H-C-0024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500</v>
      </c>
      <c r="U3837" s="16" t="n">
        <v>91</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H-C-0025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6" t="n">
        <v>380</v>
      </c>
      <c r="U3838" s="16" t="n">
        <v>91</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H-C-0026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6" t="n">
        <v>380</v>
      </c>
      <c r="U3839" s="16" t="n">
        <v>91</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H-C-0027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6" t="n">
        <v>620</v>
      </c>
      <c r="U3840" s="16" t="n">
        <v>37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H-C-0028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620</v>
      </c>
      <c r="U3841" s="16" t="n">
        <v>37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H-C-0029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500</v>
      </c>
      <c r="U3842" s="16" t="n">
        <v>37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500</v>
      </c>
      <c r="U3843" s="16" t="n">
        <v>37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6" t="n">
        <v>380</v>
      </c>
      <c r="U3844" s="16" t="n">
        <v>37</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H-C-0032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6" t="n">
        <v>380</v>
      </c>
      <c r="U3845" s="16" t="n">
        <v>37</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H-C-0033</t>
        </is>
      </c>
      <c r="B3846" s="12" t="inlineStr">
        <is>
          <t>H</t>
        </is>
      </c>
      <c r="C3846" s="12" t="inlineStr">
        <is>
          <t>BESS</t>
        </is>
      </c>
      <c r="D3846" s="12" t="inlineStr">
        <is>
          <t>Control</t>
        </is>
      </c>
      <c r="E3846" s="12" t="inlineStr"/>
      <c r="F3846" s="12" t="inlineStr">
        <is>
          <t>BESS EMS / SCADA and revenue metering</t>
        </is>
      </c>
      <c r="G3846" s="12" t="inlineStr"/>
      <c r="H3846" s="12" t="inlineStr">
        <is>
          <t>BESS auxiliary transformer</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38</v>
      </c>
      <c r="U3846" s="16" t="n">
        <v>32</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H-C-0034</t>
        </is>
      </c>
      <c r="B3847" s="12" t="inlineStr">
        <is>
          <t>H</t>
        </is>
      </c>
      <c r="C3847" s="12" t="inlineStr">
        <is>
          <t>BESS</t>
        </is>
      </c>
      <c r="D3847" s="12" t="inlineStr">
        <is>
          <t>Control</t>
        </is>
      </c>
      <c r="E3847" s="12" t="inlineStr"/>
      <c r="F3847" s="12" t="inlineStr">
        <is>
          <t>BESS EMS / SCADA and revenue metering</t>
        </is>
      </c>
      <c r="G3847" s="12" t="inlineStr"/>
      <c r="H3847" s="12" t="inlineStr">
        <is>
          <t>BESS auxiliary transformer</t>
        </is>
      </c>
      <c r="I3847" s="12" t="inlineStr">
        <is>
          <t>Control</t>
        </is>
      </c>
      <c r="J3847" s="12" t="inlineStr">
        <is>
          <t>Control cable 600 V Type TC-ER, Cu #14 AWG, PVC jacket</t>
        </is>
      </c>
      <c r="K3847" s="12" t="inlineStr">
        <is>
          <t>CT|12/C|14</t>
        </is>
      </c>
      <c r="L3847" s="12" t="inlineStr">
        <is>
          <t>12/C</t>
        </is>
      </c>
      <c r="M3847" s="12" t="inlineStr">
        <is>
          <t>14</t>
        </is>
      </c>
      <c r="N3847" s="12" t="n">
        <v>1</v>
      </c>
      <c r="O3847" s="12" t="n">
        <v>1</v>
      </c>
      <c r="P3847" s="12" t="n"/>
      <c r="Q3847" s="12" t="n"/>
      <c r="R3847" s="12" t="n"/>
      <c r="S3847" s="12" t="inlineStr">
        <is>
          <t>Tray</t>
        </is>
      </c>
      <c r="T3847" s="16" t="n">
        <v>38</v>
      </c>
      <c r="U3847" s="16" t="n">
        <v>32</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H-C-0035</t>
        </is>
      </c>
      <c r="B3848" s="12" t="inlineStr">
        <is>
          <t>H</t>
        </is>
      </c>
      <c r="C3848" s="12" t="inlineStr">
        <is>
          <t>BESS</t>
        </is>
      </c>
      <c r="D3848" s="12" t="inlineStr">
        <is>
          <t>CT / VT</t>
        </is>
      </c>
      <c r="E3848" s="12" t="inlineStr"/>
      <c r="F3848" s="12" t="inlineStr">
        <is>
          <t>BESS EMS / SCADA and revenue metering</t>
        </is>
      </c>
      <c r="G3848" s="12" t="inlineStr"/>
      <c r="H3848" s="12" t="inlineStr">
        <is>
          <t>BESS auxiliary transformer</t>
        </is>
      </c>
      <c r="I3848" s="12" t="inlineStr">
        <is>
          <t>Control</t>
        </is>
      </c>
      <c r="J3848" s="12" t="inlineStr">
        <is>
          <t>Control cable 600 V Type TC-ER, Cu #10 AWG (CT / VT circuits)</t>
        </is>
      </c>
      <c r="K3848" s="12" t="inlineStr">
        <is>
          <t>CTCT|4/C|10</t>
        </is>
      </c>
      <c r="L3848" s="12" t="inlineStr">
        <is>
          <t>4/C</t>
        </is>
      </c>
      <c r="M3848" s="12" t="inlineStr">
        <is>
          <t>10</t>
        </is>
      </c>
      <c r="N3848" s="12" t="n">
        <v>1</v>
      </c>
      <c r="O3848" s="12" t="n">
        <v>1</v>
      </c>
      <c r="P3848" s="12" t="n"/>
      <c r="Q3848" s="12" t="n"/>
      <c r="R3848" s="12" t="n"/>
      <c r="S3848" s="12" t="inlineStr">
        <is>
          <t>Tray</t>
        </is>
      </c>
      <c r="T3848" s="16" t="n">
        <v>38</v>
      </c>
      <c r="U3848" s="16" t="n">
        <v>32</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H-C-0036</t>
        </is>
      </c>
      <c r="B3849" s="12" t="inlineStr">
        <is>
          <t>H</t>
        </is>
      </c>
      <c r="C3849" s="12" t="inlineStr">
        <is>
          <t>BESS</t>
        </is>
      </c>
      <c r="D3849" s="12" t="inlineStr">
        <is>
          <t>CT / VT</t>
        </is>
      </c>
      <c r="E3849" s="12" t="inlineStr"/>
      <c r="F3849" s="12" t="inlineStr">
        <is>
          <t>BESS EMS / SCADA and revenue metering</t>
        </is>
      </c>
      <c r="G3849" s="12" t="inlineStr"/>
      <c r="H3849" s="12" t="inlineStr">
        <is>
          <t>BESS auxiliary transformer</t>
        </is>
      </c>
      <c r="I3849" s="12" t="inlineStr">
        <is>
          <t>Control</t>
        </is>
      </c>
      <c r="J3849" s="12" t="inlineStr">
        <is>
          <t>Control cable 600 V Type TC-ER, Cu #10 AWG (CT / VT circuits)</t>
        </is>
      </c>
      <c r="K3849" s="12" t="inlineStr">
        <is>
          <t>CTCT|4/C|10</t>
        </is>
      </c>
      <c r="L3849" s="12" t="inlineStr">
        <is>
          <t>4/C</t>
        </is>
      </c>
      <c r="M3849" s="12" t="inlineStr">
        <is>
          <t>10</t>
        </is>
      </c>
      <c r="N3849" s="12" t="n">
        <v>1</v>
      </c>
      <c r="O3849" s="12" t="n">
        <v>1</v>
      </c>
      <c r="P3849" s="12" t="n"/>
      <c r="Q3849" s="12" t="n"/>
      <c r="R3849" s="12" t="n"/>
      <c r="S3849" s="12" t="inlineStr">
        <is>
          <t>Tray</t>
        </is>
      </c>
      <c r="T3849" s="16" t="n">
        <v>38</v>
      </c>
      <c r="U3849" s="16" t="n">
        <v>32</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H-C-0037</t>
        </is>
      </c>
      <c r="B3850" s="12" t="inlineStr">
        <is>
          <t>H</t>
        </is>
      </c>
      <c r="C3850" s="12" t="inlineStr">
        <is>
          <t>BESS</t>
        </is>
      </c>
      <c r="D3850" s="12" t="inlineStr">
        <is>
          <t>Control</t>
        </is>
      </c>
      <c r="E3850" s="12" t="inlineStr"/>
      <c r="F3850" s="12" t="inlineStr">
        <is>
          <t>BESS EMS / SCADA and revenue metering</t>
        </is>
      </c>
      <c r="G3850" s="12" t="inlineStr">
        <is>
          <t>BESS</t>
        </is>
      </c>
      <c r="H3850" s="12" t="inlineStr">
        <is>
          <t>BESS blocks: 30 containers + 15 PCS / MV skids</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6" t="n">
        <v>336</v>
      </c>
      <c r="U3850" s="16" t="n">
        <v>32</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H-C-0038</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6" t="n">
        <v>10</v>
      </c>
      <c r="U3851" s="16" t="n">
        <v>150</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H-C-0039</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160</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H-C-0040</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200</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H-C-0041</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200</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H-C-0042</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168</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H-C-0043</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168</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H-C-0044</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6" t="n">
        <v>10</v>
      </c>
      <c r="U3857" s="16" t="n">
        <v>266</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H-C-0045</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276</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H-C-0046</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316</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H-C-0047</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316</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H-C-0048</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284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H-C-0049</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284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H-C-0050</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290</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H-C-0051</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290</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H-C-0052</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290</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H-C-0053</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290</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H-C-0054</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290</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H-C-0055</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290</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H-C-0056</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174</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H-C-0057</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174</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H-C-0058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174</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H-C-0059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174</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6" t="n">
        <v>0</v>
      </c>
      <c r="U3873" s="16" t="n">
        <v>174</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6" t="n">
        <v>0</v>
      </c>
      <c r="U3874" s="16" t="n">
        <v>174</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H-C-0062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6" t="n">
        <v>0</v>
      </c>
      <c r="U3875" s="16" t="n">
        <v>62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H-C-0063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6" t="n">
        <v>0</v>
      </c>
      <c r="U3876" s="16" t="n">
        <v>62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H-C-0064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Tray</t>
        </is>
      </c>
      <c r="T3877" s="16" t="n">
        <v>0</v>
      </c>
      <c r="U3877" s="16" t="n">
        <v>62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H-C-0065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6" t="n">
        <v>0</v>
      </c>
      <c r="U3878" s="16" t="n">
        <v>62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H-C-0066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6" t="n">
        <v>0</v>
      </c>
      <c r="U3879" s="16" t="n">
        <v>62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H-C-0067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6" t="n">
        <v>0</v>
      </c>
      <c r="U3880" s="16" t="n">
        <v>62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H-C-0068</t>
        </is>
      </c>
      <c r="B3881" s="12" t="inlineStr">
        <is>
          <t>H</t>
        </is>
      </c>
      <c r="C3881" s="12" t="inlineStr">
        <is>
          <t>BESS</t>
        </is>
      </c>
      <c r="D3881" s="12" t="inlineStr">
        <is>
          <t>Motor 1 of 6: control / local station</t>
        </is>
      </c>
      <c r="E3881" s="12" t="inlineStr"/>
      <c r="F3881" s="12" t="inlineStr">
        <is>
          <t>BESS auxiliary transformer</t>
        </is>
      </c>
      <c r="G3881" s="12" t="inlineStr">
        <is>
          <t>BESS MPT</t>
        </is>
      </c>
      <c r="H3881" s="12" t="inlineStr">
        <is>
          <t>BESS main power transformer 34.5/230 kV (to D4 upper)</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Duct bank</t>
        </is>
      </c>
      <c r="T3881" s="16" t="n">
        <v>180</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H-C-0069</t>
        </is>
      </c>
      <c r="B3882" s="12" t="inlineStr">
        <is>
          <t>H</t>
        </is>
      </c>
      <c r="C3882" s="12" t="inlineStr">
        <is>
          <t>BESS</t>
        </is>
      </c>
      <c r="D3882" s="12" t="inlineStr">
        <is>
          <t>Motor 2 of 6: control / local station</t>
        </is>
      </c>
      <c r="E3882" s="12" t="inlineStr"/>
      <c r="F3882" s="12" t="inlineStr">
        <is>
          <t>BESS auxiliary transformer</t>
        </is>
      </c>
      <c r="G3882" s="12" t="inlineStr">
        <is>
          <t>BESS MPT</t>
        </is>
      </c>
      <c r="H3882" s="12" t="inlineStr">
        <is>
          <t>BESS main power transformer 34.5/230 kV (to D4 upper)</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6" t="n">
        <v>180</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H-C-0070</t>
        </is>
      </c>
      <c r="B3883" s="12" t="inlineStr">
        <is>
          <t>H</t>
        </is>
      </c>
      <c r="C3883" s="12" t="inlineStr">
        <is>
          <t>BESS</t>
        </is>
      </c>
      <c r="D3883" s="12" t="inlineStr">
        <is>
          <t>Motor 3 of 6: control / local station</t>
        </is>
      </c>
      <c r="E3883" s="12" t="inlineStr"/>
      <c r="F3883" s="12" t="inlineStr">
        <is>
          <t>BESS auxiliary transformer</t>
        </is>
      </c>
      <c r="G3883" s="12" t="inlineStr">
        <is>
          <t>BESS MPT</t>
        </is>
      </c>
      <c r="H3883" s="12" t="inlineStr">
        <is>
          <t>BESS main power transformer 34.5/230 kV (to D4 upper)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180</v>
      </c>
      <c r="U3883" s="16" t="n">
        <v>32</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H-C-0071</t>
        </is>
      </c>
      <c r="B3884" s="12" t="inlineStr">
        <is>
          <t>H</t>
        </is>
      </c>
      <c r="C3884" s="12" t="inlineStr">
        <is>
          <t>BESS</t>
        </is>
      </c>
      <c r="D3884" s="12" t="inlineStr">
        <is>
          <t>Motor 4 of 6: control / local station</t>
        </is>
      </c>
      <c r="E3884" s="12" t="inlineStr"/>
      <c r="F3884" s="12" t="inlineStr">
        <is>
          <t>BESS auxiliary transformer</t>
        </is>
      </c>
      <c r="G3884" s="12" t="inlineStr">
        <is>
          <t>BESS MPT</t>
        </is>
      </c>
      <c r="H3884" s="12" t="inlineStr">
        <is>
          <t>BESS main power transformer 34.5/230 kV (to D4 upper)</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Duct bank</t>
        </is>
      </c>
      <c r="T3884" s="16" t="n">
        <v>180</v>
      </c>
      <c r="U3884" s="16" t="n">
        <v>32</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H-C-0072</t>
        </is>
      </c>
      <c r="B3885" s="12" t="inlineStr">
        <is>
          <t>H</t>
        </is>
      </c>
      <c r="C3885" s="12" t="inlineStr">
        <is>
          <t>BESS</t>
        </is>
      </c>
      <c r="D3885" s="12" t="inlineStr">
        <is>
          <t>Motor 5 of 6: control / local station</t>
        </is>
      </c>
      <c r="E3885" s="12" t="inlineStr"/>
      <c r="F3885" s="12" t="inlineStr">
        <is>
          <t>BESS auxiliary transformer</t>
        </is>
      </c>
      <c r="G3885" s="12" t="inlineStr">
        <is>
          <t>BESS MPT</t>
        </is>
      </c>
      <c r="H3885" s="12" t="inlineStr">
        <is>
          <t>BESS main power transformer 34.5/230 kV (to D4 upper)</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Duct bank</t>
        </is>
      </c>
      <c r="T3885" s="16" t="n">
        <v>180</v>
      </c>
      <c r="U3885" s="16" t="n">
        <v>32</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H-C-0073</t>
        </is>
      </c>
      <c r="B3886" s="12" t="inlineStr">
        <is>
          <t>H</t>
        </is>
      </c>
      <c r="C3886" s="12" t="inlineStr">
        <is>
          <t>BESS</t>
        </is>
      </c>
      <c r="D3886" s="12" t="inlineStr">
        <is>
          <t>Motor 6 of 6: control / local station</t>
        </is>
      </c>
      <c r="E3886" s="12" t="inlineStr"/>
      <c r="F3886" s="12" t="inlineStr">
        <is>
          <t>BESS auxiliary transformer</t>
        </is>
      </c>
      <c r="G3886" s="12" t="inlineStr">
        <is>
          <t>BESS MPT</t>
        </is>
      </c>
      <c r="H3886" s="12" t="inlineStr">
        <is>
          <t>BESS main power transformer 34.5/230 kV (to D4 upper)</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Duct bank</t>
        </is>
      </c>
      <c r="T3886" s="16" t="n">
        <v>180</v>
      </c>
      <c r="U3886" s="16" t="n">
        <v>32</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H-C-0074</t>
        </is>
      </c>
      <c r="B3887" s="12" t="inlineStr">
        <is>
          <t>H</t>
        </is>
      </c>
      <c r="C3887" s="12" t="inlineStr">
        <is>
          <t>BESS</t>
        </is>
      </c>
      <c r="D3887" s="12" t="inlineStr">
        <is>
          <t>Control</t>
        </is>
      </c>
      <c r="E3887" s="12" t="inlineStr"/>
      <c r="F3887" s="12" t="inlineStr">
        <is>
          <t>BESS EMS / SCADA and revenue metering</t>
        </is>
      </c>
      <c r="G3887" s="12" t="inlineStr">
        <is>
          <t>BESS MPT</t>
        </is>
      </c>
      <c r="H3887" s="12" t="inlineStr">
        <is>
          <t>BESS main power transformer 34.5/230 kV (to D4 upper)</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Duct bank</t>
        </is>
      </c>
      <c r="T3887" s="16" t="n">
        <v>162</v>
      </c>
      <c r="U3887" s="16" t="n">
        <v>32</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H-C-0075</t>
        </is>
      </c>
      <c r="B3888" s="12" t="inlineStr">
        <is>
          <t>H</t>
        </is>
      </c>
      <c r="C3888" s="12" t="inlineStr">
        <is>
          <t>BESS</t>
        </is>
      </c>
      <c r="D3888" s="12" t="inlineStr">
        <is>
          <t>Control</t>
        </is>
      </c>
      <c r="E3888" s="12" t="inlineStr"/>
      <c r="F3888" s="12" t="inlineStr">
        <is>
          <t>BESS EMS / SCADA and revenue metering</t>
        </is>
      </c>
      <c r="G3888" s="12" t="inlineStr">
        <is>
          <t>BESS MPT</t>
        </is>
      </c>
      <c r="H3888" s="12" t="inlineStr">
        <is>
          <t>BESS main power transformer 34.5/230 kV (to D4 upper)</t>
        </is>
      </c>
      <c r="I3888" s="12" t="inlineStr">
        <is>
          <t>Control</t>
        </is>
      </c>
      <c r="J3888" s="12" t="inlineStr">
        <is>
          <t>Control cable 600 V Type TC-ER, Cu #14 AWG, PVC jacket</t>
        </is>
      </c>
      <c r="K3888" s="12" t="inlineStr">
        <is>
          <t>CT|12/C|14</t>
        </is>
      </c>
      <c r="L3888" s="12" t="inlineStr">
        <is>
          <t>12/C</t>
        </is>
      </c>
      <c r="M3888" s="12" t="inlineStr">
        <is>
          <t>14</t>
        </is>
      </c>
      <c r="N3888" s="12" t="n">
        <v>1</v>
      </c>
      <c r="O3888" s="12" t="n">
        <v>1</v>
      </c>
      <c r="P3888" s="12" t="n"/>
      <c r="Q3888" s="12" t="n"/>
      <c r="R3888" s="12" t="n"/>
      <c r="S3888" s="12" t="inlineStr">
        <is>
          <t>Duct bank</t>
        </is>
      </c>
      <c r="T3888" s="16" t="n">
        <v>162</v>
      </c>
      <c r="U3888" s="16" t="n">
        <v>32</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H-C-0076</t>
        </is>
      </c>
      <c r="B3889" s="12" t="inlineStr">
        <is>
          <t>H</t>
        </is>
      </c>
      <c r="C3889" s="12" t="inlineStr">
        <is>
          <t>BESS</t>
        </is>
      </c>
      <c r="D3889" s="12" t="inlineStr">
        <is>
          <t>CT / VT</t>
        </is>
      </c>
      <c r="E3889" s="12" t="inlineStr"/>
      <c r="F3889" s="12" t="inlineStr">
        <is>
          <t>BESS EMS / SCADA and revenue metering</t>
        </is>
      </c>
      <c r="G3889" s="12" t="inlineStr">
        <is>
          <t>BESS MPT</t>
        </is>
      </c>
      <c r="H3889" s="12" t="inlineStr">
        <is>
          <t>BESS main power transformer 34.5/230 kV (to D4 upper)</t>
        </is>
      </c>
      <c r="I3889" s="12" t="inlineStr">
        <is>
          <t>Control</t>
        </is>
      </c>
      <c r="J3889" s="12" t="inlineStr">
        <is>
          <t>Control cable 600 V Type TC-ER, Cu #10 AWG (CT / VT circuits)</t>
        </is>
      </c>
      <c r="K3889" s="12" t="inlineStr">
        <is>
          <t>CTCT|4/C|10</t>
        </is>
      </c>
      <c r="L3889" s="12" t="inlineStr">
        <is>
          <t>4/C</t>
        </is>
      </c>
      <c r="M3889" s="12" t="inlineStr">
        <is>
          <t>10</t>
        </is>
      </c>
      <c r="N3889" s="12" t="n">
        <v>1</v>
      </c>
      <c r="O3889" s="12" t="n">
        <v>1</v>
      </c>
      <c r="P3889" s="12" t="n"/>
      <c r="Q3889" s="12" t="n"/>
      <c r="R3889" s="12" t="n"/>
      <c r="S3889" s="12" t="inlineStr">
        <is>
          <t>Duct bank</t>
        </is>
      </c>
      <c r="T3889" s="16" t="n">
        <v>162</v>
      </c>
      <c r="U3889" s="16" t="n">
        <v>32</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H-C-0077</t>
        </is>
      </c>
      <c r="B3890" s="12" t="inlineStr">
        <is>
          <t>H</t>
        </is>
      </c>
      <c r="C3890" s="12" t="inlineStr">
        <is>
          <t>BESS</t>
        </is>
      </c>
      <c r="D3890" s="12" t="inlineStr">
        <is>
          <t>CT / VT</t>
        </is>
      </c>
      <c r="E3890" s="12" t="inlineStr"/>
      <c r="F3890" s="12" t="inlineStr">
        <is>
          <t>BESS EMS / SCADA and revenue metering</t>
        </is>
      </c>
      <c r="G3890" s="12" t="inlineStr">
        <is>
          <t>BESS MPT</t>
        </is>
      </c>
      <c r="H3890" s="12" t="inlineStr">
        <is>
          <t>BESS main power transformer 34.5/230 kV (to D4 upper)</t>
        </is>
      </c>
      <c r="I3890" s="12" t="inlineStr">
        <is>
          <t>Control</t>
        </is>
      </c>
      <c r="J3890" s="12" t="inlineStr">
        <is>
          <t>Control cable 600 V Type TC-ER, Cu #10 AWG (CT / VT circuits)</t>
        </is>
      </c>
      <c r="K3890" s="12" t="inlineStr">
        <is>
          <t>CTCT|4/C|10</t>
        </is>
      </c>
      <c r="L3890" s="12" t="inlineStr">
        <is>
          <t>4/C</t>
        </is>
      </c>
      <c r="M3890" s="12" t="inlineStr">
        <is>
          <t>10</t>
        </is>
      </c>
      <c r="N3890" s="12" t="n">
        <v>1</v>
      </c>
      <c r="O3890" s="12" t="n">
        <v>1</v>
      </c>
      <c r="P3890" s="12" t="n"/>
      <c r="Q3890" s="12" t="n"/>
      <c r="R3890" s="12" t="n"/>
      <c r="S3890" s="12" t="inlineStr">
        <is>
          <t>Duct bank</t>
        </is>
      </c>
      <c r="T3890" s="16" t="n">
        <v>162</v>
      </c>
      <c r="U3890" s="16" t="n">
        <v>32</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H-C-0078</t>
        </is>
      </c>
      <c r="B3891" s="12" t="inlineStr">
        <is>
          <t>H</t>
        </is>
      </c>
      <c r="C3891" s="12" t="inlineStr">
        <is>
          <t>BESS</t>
        </is>
      </c>
      <c r="D3891" s="12" t="inlineStr">
        <is>
          <t>Control</t>
        </is>
      </c>
      <c r="E3891" s="12" t="inlineStr"/>
      <c r="F3891" s="12" t="inlineStr">
        <is>
          <t>BESS EMS / SCADA and revenue metering</t>
        </is>
      </c>
      <c r="G3891" s="12" t="inlineStr"/>
      <c r="H3891" s="12" t="inlineStr">
        <is>
          <t>CONDITIONAL: grounding transformer</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Duct bank</t>
        </is>
      </c>
      <c r="T3891" s="16" t="n">
        <v>280</v>
      </c>
      <c r="U3891" s="16" t="n">
        <v>87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H-C-0079</t>
        </is>
      </c>
      <c r="B3892" s="12" t="inlineStr">
        <is>
          <t>H</t>
        </is>
      </c>
      <c r="C3892" s="12" t="inlineStr">
        <is>
          <t>BESS</t>
        </is>
      </c>
      <c r="D3892" s="12" t="inlineStr">
        <is>
          <t>Control</t>
        </is>
      </c>
      <c r="E3892" s="12" t="inlineStr"/>
      <c r="F3892" s="12" t="inlineStr">
        <is>
          <t>BESS EMS / SCADA and revenue metering</t>
        </is>
      </c>
      <c r="G3892" s="12" t="inlineStr"/>
      <c r="H3892" s="12" t="inlineStr">
        <is>
          <t>CONDITIONAL: grounding transformer</t>
        </is>
      </c>
      <c r="I3892" s="12" t="inlineStr">
        <is>
          <t>Control</t>
        </is>
      </c>
      <c r="J3892" s="12" t="inlineStr">
        <is>
          <t>Control cable 600 V Type TC-ER, Cu #14 AWG, PVC jacket</t>
        </is>
      </c>
      <c r="K3892" s="12" t="inlineStr">
        <is>
          <t>CT|12/C|14</t>
        </is>
      </c>
      <c r="L3892" s="12" t="inlineStr">
        <is>
          <t>12/C</t>
        </is>
      </c>
      <c r="M3892" s="12" t="inlineStr">
        <is>
          <t>14</t>
        </is>
      </c>
      <c r="N3892" s="12" t="n">
        <v>1</v>
      </c>
      <c r="O3892" s="12" t="n">
        <v>1</v>
      </c>
      <c r="P3892" s="12" t="n"/>
      <c r="Q3892" s="12" t="n"/>
      <c r="R3892" s="12" t="n"/>
      <c r="S3892" s="12" t="inlineStr">
        <is>
          <t>Duct bank</t>
        </is>
      </c>
      <c r="T3892" s="16" t="n">
        <v>280</v>
      </c>
      <c r="U3892" s="16" t="n">
        <v>87</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H-C-0080</t>
        </is>
      </c>
      <c r="B3893" s="12" t="inlineStr">
        <is>
          <t>H</t>
        </is>
      </c>
      <c r="C3893" s="12" t="inlineStr">
        <is>
          <t>BESS</t>
        </is>
      </c>
      <c r="D3893" s="12" t="inlineStr">
        <is>
          <t>CT / VT</t>
        </is>
      </c>
      <c r="E3893" s="12" t="inlineStr"/>
      <c r="F3893" s="12" t="inlineStr">
        <is>
          <t>BESS EMS / SCADA and revenue metering</t>
        </is>
      </c>
      <c r="G3893" s="12" t="inlineStr"/>
      <c r="H3893" s="12" t="inlineStr">
        <is>
          <t>CONDITIONAL: grounding transformer</t>
        </is>
      </c>
      <c r="I3893" s="12" t="inlineStr">
        <is>
          <t>Control</t>
        </is>
      </c>
      <c r="J3893" s="12" t="inlineStr">
        <is>
          <t>Control cable 600 V Type TC-ER, Cu #10 AWG (CT / VT circuits)</t>
        </is>
      </c>
      <c r="K3893" s="12" t="inlineStr">
        <is>
          <t>CTCT|4/C|10</t>
        </is>
      </c>
      <c r="L3893" s="12" t="inlineStr">
        <is>
          <t>4/C</t>
        </is>
      </c>
      <c r="M3893" s="12" t="inlineStr">
        <is>
          <t>10</t>
        </is>
      </c>
      <c r="N3893" s="12" t="n">
        <v>1</v>
      </c>
      <c r="O3893" s="12" t="n">
        <v>1</v>
      </c>
      <c r="P3893" s="12" t="n"/>
      <c r="Q3893" s="12" t="n"/>
      <c r="R3893" s="12" t="n"/>
      <c r="S3893" s="12" t="inlineStr">
        <is>
          <t>Duct bank</t>
        </is>
      </c>
      <c r="T3893" s="16" t="n">
        <v>280</v>
      </c>
      <c r="U3893" s="16" t="n">
        <v>87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H-C-0081</t>
        </is>
      </c>
      <c r="B3894" s="12" t="inlineStr">
        <is>
          <t>H</t>
        </is>
      </c>
      <c r="C3894" s="12" t="inlineStr">
        <is>
          <t>BESS</t>
        </is>
      </c>
      <c r="D3894" s="12" t="inlineStr">
        <is>
          <t>CT / VT</t>
        </is>
      </c>
      <c r="E3894" s="12" t="inlineStr"/>
      <c r="F3894" s="12" t="inlineStr">
        <is>
          <t>BESS EMS / SCADA and revenue metering</t>
        </is>
      </c>
      <c r="G3894" s="12" t="inlineStr"/>
      <c r="H3894" s="12" t="inlineStr">
        <is>
          <t>CONDITIONAL: grounding transformer</t>
        </is>
      </c>
      <c r="I3894" s="12" t="inlineStr">
        <is>
          <t>Control</t>
        </is>
      </c>
      <c r="J3894" s="12" t="inlineStr">
        <is>
          <t>Control cable 600 V Type TC-ER, Cu #10 AWG (CT / VT circuits)</t>
        </is>
      </c>
      <c r="K3894" s="12" t="inlineStr">
        <is>
          <t>CTCT|4/C|10</t>
        </is>
      </c>
      <c r="L3894" s="12" t="inlineStr">
        <is>
          <t>4/C</t>
        </is>
      </c>
      <c r="M3894" s="12" t="inlineStr">
        <is>
          <t>10</t>
        </is>
      </c>
      <c r="N3894" s="12" t="n">
        <v>1</v>
      </c>
      <c r="O3894" s="12" t="n">
        <v>1</v>
      </c>
      <c r="P3894" s="12" t="n"/>
      <c r="Q3894" s="12" t="n"/>
      <c r="R3894" s="12" t="n"/>
      <c r="S3894" s="12" t="inlineStr">
        <is>
          <t>Duct bank</t>
        </is>
      </c>
      <c r="T3894" s="16" t="n">
        <v>280</v>
      </c>
      <c r="U3894" s="16" t="n">
        <v>87</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H-DC-0001</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Duct bank</t>
        </is>
      </c>
      <c r="T3895" s="16" t="n">
        <v>10</v>
      </c>
      <c r="U3895" s="16" t="n">
        <v>150</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H-DC-0002</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160</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H-DC-0003</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200</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H-DC-0004</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Tray</t>
        </is>
      </c>
      <c r="T3898" s="16" t="n">
        <v>0</v>
      </c>
      <c r="U3898" s="16" t="n">
        <v>200</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H-DC-0005</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168</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H-DC-0006</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Duct bank</t>
        </is>
      </c>
      <c r="T3900" s="16" t="n">
        <v>10</v>
      </c>
      <c r="U3900" s="16" t="n">
        <v>158</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H-DC-0007</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Duct bank</t>
        </is>
      </c>
      <c r="T3901" s="16" t="n">
        <v>10</v>
      </c>
      <c r="U3901" s="16" t="n">
        <v>266</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H-DC-0008</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276</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H-DC-0009</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316</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H-DC-0010</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0</v>
      </c>
      <c r="U3904" s="16" t="n">
        <v>316</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H-DC-0011</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284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H-DC-0012</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Duct bank</t>
        </is>
      </c>
      <c r="T3906" s="16" t="n">
        <v>10</v>
      </c>
      <c r="U3906" s="16" t="n">
        <v>274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H-DC-0013</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290</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H-DC-0014</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290</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H-DC-0015</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290</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H-DC-0016</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290</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H-DC-0017</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290</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H-DC-0018</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27</v>
      </c>
      <c r="U3912" s="16" t="n">
        <v>263</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H-DC-0019</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174</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H-DC-0020</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174</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174</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H-DC-0022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174</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H-DC-0023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6" t="n">
        <v>0</v>
      </c>
      <c r="U3917" s="16" t="n">
        <v>174</v>
      </c>
      <c r="V3917" s="16">
        <f>ROUNDUP((T3917+U3917+2*'Read Me'!$B$13)*(1+'Read Me'!$B$12),-1)</f>
        <v/>
      </c>
      <c r="W3917" s="16">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H-DC-0024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6" t="n">
        <v>0</v>
      </c>
      <c r="U3918" s="16" t="n">
        <v>174</v>
      </c>
      <c r="V3918" s="16">
        <f>ROUNDUP((T3918+U3918+2*'Read Me'!$B$13)*(1+'Read Me'!$B$12),-1)</f>
        <v/>
      </c>
      <c r="W3918" s="16">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H-DC-0025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6" t="n">
        <v>0</v>
      </c>
      <c r="U3919" s="16" t="n">
        <v>62</v>
      </c>
      <c r="V3919" s="16">
        <f>ROUNDUP((T3919+U3919+2*'Read Me'!$B$13)*(1+'Read Me'!$B$12),-1)</f>
        <v/>
      </c>
      <c r="W3919" s="16">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H-DC-0026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Tray</t>
        </is>
      </c>
      <c r="T3920" s="16" t="n">
        <v>0</v>
      </c>
      <c r="U3920" s="16" t="n">
        <v>62</v>
      </c>
      <c r="V3920" s="16">
        <f>ROUNDUP((T3920+U3920+2*'Read Me'!$B$13)*(1+'Read Me'!$B$12),-1)</f>
        <v/>
      </c>
      <c r="W3920" s="16">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H-DC-0027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Tray</t>
        </is>
      </c>
      <c r="T3921" s="16" t="n">
        <v>0</v>
      </c>
      <c r="U3921" s="16" t="n">
        <v>62</v>
      </c>
      <c r="V3921" s="16">
        <f>ROUNDUP((T3921+U3921+2*'Read Me'!$B$13)*(1+'Read Me'!$B$12),-1)</f>
        <v/>
      </c>
      <c r="W3921" s="16">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H-DC-0028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6" t="n">
        <v>0</v>
      </c>
      <c r="U3922" s="16" t="n">
        <v>62</v>
      </c>
      <c r="V3922" s="16">
        <f>ROUNDUP((T3922+U3922+2*'Read Me'!$B$13)*(1+'Read Me'!$B$12),-1)</f>
        <v/>
      </c>
      <c r="W3922" s="16">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H-DC-0029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6" t="n">
        <v>0</v>
      </c>
      <c r="U3923" s="16" t="n">
        <v>62</v>
      </c>
      <c r="V3923" s="16">
        <f>ROUNDUP((T3923+U3923+2*'Read Me'!$B$13)*(1+'Read Me'!$B$12),-1)</f>
        <v/>
      </c>
      <c r="W3923" s="16">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H-DC-0030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6" t="n">
        <v>0</v>
      </c>
      <c r="U3924" s="16" t="n">
        <v>62</v>
      </c>
      <c r="V3924" s="16">
        <f>ROUNDUP((T3924+U3924+2*'Read Me'!$B$13)*(1+'Read Me'!$B$12),-1)</f>
        <v/>
      </c>
      <c r="W3924" s="16">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H-F-0001</t>
        </is>
      </c>
      <c r="B3925" s="12" t="inlineStr">
        <is>
          <t>H</t>
        </is>
      </c>
      <c r="C3925" s="12" t="inlineStr">
        <is>
          <t>BESS</t>
        </is>
      </c>
      <c r="D3925" s="12" t="inlineStr">
        <is>
          <t>Plant network / DCS fibre</t>
        </is>
      </c>
      <c r="E3925" s="12" t="inlineStr">
        <is>
          <t>CR</t>
        </is>
      </c>
      <c r="F3925" s="12" t="inlineStr">
        <is>
          <t>Control / admin building (main control room)</t>
        </is>
      </c>
      <c r="G3925" s="12" t="inlineStr"/>
      <c r="H3925" s="12" t="inlineStr">
        <is>
          <t>34.5 kV collector e-house (arc-resistant)</t>
        </is>
      </c>
      <c r="I3925" s="12" t="inlineStr">
        <is>
          <t>Fibre / data</t>
        </is>
      </c>
      <c r="J3925" s="12" t="inlineStr">
        <is>
          <t>Fibre optic, single-mode, 12-fibre, armored, orange jacket</t>
        </is>
      </c>
      <c r="K3925" s="12" t="inlineStr">
        <is>
          <t>FO|12 SM|-</t>
        </is>
      </c>
      <c r="L3925" s="12" t="inlineStr">
        <is>
          <t>12 SM</t>
        </is>
      </c>
      <c r="M3925" s="12" t="inlineStr">
        <is>
          <t>-</t>
        </is>
      </c>
      <c r="N3925" s="12" t="n">
        <v>1</v>
      </c>
      <c r="O3925" s="12" t="n">
        <v>1</v>
      </c>
      <c r="P3925" s="12" t="n"/>
      <c r="Q3925" s="12" t="n"/>
      <c r="R3925" s="12" t="n"/>
      <c r="S3925" s="12" t="inlineStr">
        <is>
          <t>Trench</t>
        </is>
      </c>
      <c r="T3925" s="16" t="n">
        <v>2496</v>
      </c>
      <c r="U3925" s="16" t="n">
        <v>36</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H-F-0002</t>
        </is>
      </c>
      <c r="B3926" s="12" t="inlineStr">
        <is>
          <t>H</t>
        </is>
      </c>
      <c r="C3926" s="12" t="inlineStr">
        <is>
          <t>BESS</t>
        </is>
      </c>
      <c r="D3926" s="12" t="inlineStr">
        <is>
          <t>Plant network / DCS fibre</t>
        </is>
      </c>
      <c r="E3926" s="12" t="inlineStr">
        <is>
          <t>CR</t>
        </is>
      </c>
      <c r="F3926" s="12" t="inlineStr">
        <is>
          <t>Control / admin building (main control room)</t>
        </is>
      </c>
      <c r="G3926" s="12" t="inlineStr"/>
      <c r="H3926" s="12" t="inlineStr">
        <is>
          <t>BESS EMS / SCADA and revenue metering</t>
        </is>
      </c>
      <c r="I3926" s="12" t="inlineStr">
        <is>
          <t>Fibre / data</t>
        </is>
      </c>
      <c r="J3926" s="12" t="inlineStr">
        <is>
          <t>Fibre optic, single-mode, 12-fibre, armored, orange jacket</t>
        </is>
      </c>
      <c r="K3926" s="12" t="inlineStr">
        <is>
          <t>FO|12 SM|-</t>
        </is>
      </c>
      <c r="L3926" s="12" t="inlineStr">
        <is>
          <t>12 SM</t>
        </is>
      </c>
      <c r="M3926" s="12" t="inlineStr">
        <is>
          <t>-</t>
        </is>
      </c>
      <c r="N3926" s="12" t="n">
        <v>1</v>
      </c>
      <c r="O3926" s="12" t="n">
        <v>1</v>
      </c>
      <c r="P3926" s="12" t="n"/>
      <c r="Q3926" s="12" t="n"/>
      <c r="R3926" s="12" t="n"/>
      <c r="S3926" s="12" t="inlineStr">
        <is>
          <t>Trench</t>
        </is>
      </c>
      <c r="T3926" s="16" t="n">
        <v>2583</v>
      </c>
      <c r="U3926" s="16" t="n">
        <v>76</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H-FA-0001</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34.5 kV collector e-house (arc-resistant)</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Duct bank</t>
        </is>
      </c>
      <c r="T3927" s="16" t="n">
        <v>68</v>
      </c>
      <c r="U3927" s="16" t="n">
        <v>37</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H-FA-0002</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EMS / SCADA and revenue metering</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Tray</t>
        </is>
      </c>
      <c r="T3928" s="16" t="n">
        <v>0</v>
      </c>
      <c r="U3928" s="16" t="n">
        <v>32</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H-FA-0003</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is>
          <t>BESS</t>
        </is>
      </c>
      <c r="H3929" s="12" t="inlineStr">
        <is>
          <t>BESS blocks: 30 containers + 15 PCS / MV skids</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336</v>
      </c>
      <c r="U3929" s="16" t="n">
        <v>32</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H-FA-0004</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300</v>
      </c>
      <c r="U3930" s="16" t="n">
        <v>89</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H-FA-0005</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160</v>
      </c>
      <c r="U3931" s="16" t="n">
        <v>169</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H-FA-0006</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160</v>
      </c>
      <c r="U3932" s="16" t="n">
        <v>109</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H-FA-0007</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Duct bank</t>
        </is>
      </c>
      <c r="T3933" s="16" t="n">
        <v>70</v>
      </c>
      <c r="U3933" s="16" t="n">
        <v>139</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H-FA-0008</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v>
      </c>
      <c r="U3934" s="16" t="n">
        <v>93</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H-FA-0009</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Tray</t>
        </is>
      </c>
      <c r="T3935" s="16" t="n">
        <v>0</v>
      </c>
      <c r="U3935" s="16" t="n">
        <v>83</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H-FA-0010</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300</v>
      </c>
      <c r="U3936" s="16" t="n">
        <v>147</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H-FA-0011</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227</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H-FA-0012</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160</v>
      </c>
      <c r="U3938" s="16" t="n">
        <v>167</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H-FA-0013</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30</v>
      </c>
      <c r="U3939" s="16" t="n">
        <v>211</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H-FA-0014</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30</v>
      </c>
      <c r="U3940" s="16" t="n">
        <v>151</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H-FA-0015</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Tray</t>
        </is>
      </c>
      <c r="T3941" s="16" t="n">
        <v>0</v>
      </c>
      <c r="U3941" s="16" t="n">
        <v>141</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H-FA-0016</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300</v>
      </c>
      <c r="U3942" s="16" t="n">
        <v>205</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H-FA-0017</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300</v>
      </c>
      <c r="U3943" s="16" t="n">
        <v>205</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H-FA-0018</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160</v>
      </c>
      <c r="U3944" s="16" t="n">
        <v>225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H-FA-0019</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160</v>
      </c>
      <c r="U3945" s="16" t="n">
        <v>225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H-FA-0020</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30</v>
      </c>
      <c r="U3946" s="16" t="n">
        <v>209</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336</v>
      </c>
      <c r="U3947" s="16" t="n">
        <v>173</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H-FA-0022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340</v>
      </c>
      <c r="U3948" s="16" t="n">
        <v>253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H-FA-0023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300</v>
      </c>
      <c r="U3949" s="16" t="n">
        <v>263</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H-FA-0024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160</v>
      </c>
      <c r="U3950" s="16" t="n">
        <v>283</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H-FA-0025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160</v>
      </c>
      <c r="U3951" s="16" t="n">
        <v>283</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H-FA-0026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6" t="n">
        <v>336</v>
      </c>
      <c r="U3952" s="16" t="n">
        <v>115</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H-FA-0027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6" t="n">
        <v>336</v>
      </c>
      <c r="U3953" s="16" t="n">
        <v>115</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H-FA-0028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6" t="n">
        <v>602</v>
      </c>
      <c r="U3954" s="16" t="n">
        <v>57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H-FA-0029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Duct bank</t>
        </is>
      </c>
      <c r="T3955" s="16" t="n">
        <v>482</v>
      </c>
      <c r="U3955" s="16" t="n">
        <v>117</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H-FA-0030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6" t="n">
        <v>336</v>
      </c>
      <c r="U3956" s="16" t="n">
        <v>177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H-FA-0031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6" t="n">
        <v>336</v>
      </c>
      <c r="U3957" s="16" t="n">
        <v>117</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H-FA-0032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6" t="n">
        <v>336</v>
      </c>
      <c r="U3958" s="16" t="n">
        <v>57</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H-FA-0033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6" t="n">
        <v>336</v>
      </c>
      <c r="U3959" s="16" t="n">
        <v>57</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H-I-0001</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H-I-0002</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300</v>
      </c>
      <c r="U3961" s="16" t="n">
        <v>103</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H-I-0003</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H-I-0004</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300</v>
      </c>
      <c r="U3963" s="16" t="n">
        <v>103</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H-I-0005</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H-I-0006</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160</v>
      </c>
      <c r="U3965" s="16" t="n">
        <v>123</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H-I-0007</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H-I-0008</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160</v>
      </c>
      <c r="U3967" s="16" t="n">
        <v>123</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H-I-0009</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H-I-0010</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30</v>
      </c>
      <c r="U3969" s="16" t="n">
        <v>107</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H-I-0011</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H-I-0012</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30</v>
      </c>
      <c r="U3971" s="16" t="n">
        <v>107</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H-I-0013</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H-I-0014</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300</v>
      </c>
      <c r="U3973" s="16" t="n">
        <v>161</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H-I-0015</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H-I-0016</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300</v>
      </c>
      <c r="U3975" s="16" t="n">
        <v>161</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H-I-0017</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H-I-0018</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160</v>
      </c>
      <c r="U3977" s="16" t="n">
        <v>181</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H-I-0019</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H-I-0020</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160</v>
      </c>
      <c r="U3979" s="16" t="n">
        <v>181</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H-I-0022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30</v>
      </c>
      <c r="U3981" s="16" t="n">
        <v>165</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H-I-0023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H-I-0024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30</v>
      </c>
      <c r="U3983" s="16" t="n">
        <v>165</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H-I-0025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H-I-0026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300</v>
      </c>
      <c r="U3985" s="16" t="n">
        <v>219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H-I-0027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H-I-0028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300</v>
      </c>
      <c r="U3987" s="16" t="n">
        <v>219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H-I-0029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160</v>
      </c>
      <c r="U3989" s="16" t="n">
        <v>239</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H-I-0032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160</v>
      </c>
      <c r="U3991" s="16" t="n">
        <v>239</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H-I-0033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H-I-0034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149</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H-I-0035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H-I-0036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149</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H-I-0037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H-I-0038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602</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H-I-0039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602</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H-I-0042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336</v>
      </c>
      <c r="U4001" s="16" t="n">
        <v>211</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H-I-0043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H-I-0044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336</v>
      </c>
      <c r="U4003" s="16" t="n">
        <v>211</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H-I-0045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H-I-0046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91</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H-I-0047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H-I-0048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91</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H-I-0049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602</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H-I-0052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602</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H-I-0053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6" t="n">
        <v>43</v>
      </c>
      <c r="U4012" s="16" t="n">
        <v>10</v>
      </c>
      <c r="V4012" s="16">
        <f>ROUNDUP((T4012+U4012+2*'Read Me'!$B$13)*(1+'Read Me'!$B$12),-1)</f>
        <v/>
      </c>
      <c r="W4012" s="16">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H-I-0054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6" t="n">
        <v>336</v>
      </c>
      <c r="U4013" s="16" t="n">
        <v>157</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H-I-0055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6" t="n">
        <v>43</v>
      </c>
      <c r="U4014" s="16" t="n">
        <v>10</v>
      </c>
      <c r="V4014" s="16">
        <f>ROUNDUP((T4014+U4014+2*'Read Me'!$B$13)*(1+'Read Me'!$B$12),-1)</f>
        <v/>
      </c>
      <c r="W4014" s="16">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H-I-0056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6" t="n">
        <v>336</v>
      </c>
      <c r="U4015" s="16" t="n">
        <v>157</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H-I-0057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6" t="n">
        <v>43</v>
      </c>
      <c r="U4016" s="16" t="n">
        <v>10</v>
      </c>
      <c r="V4016" s="16">
        <f>ROUNDUP((T4016+U4016+2*'Read Me'!$B$13)*(1+'Read Me'!$B$12),-1)</f>
        <v/>
      </c>
      <c r="W4016" s="16">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H-I-0058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6" t="n">
        <v>336</v>
      </c>
      <c r="U4017" s="16" t="n">
        <v>37</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H-I-0059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6" t="n">
        <v>43</v>
      </c>
      <c r="U4018" s="16" t="n">
        <v>10</v>
      </c>
      <c r="V4018" s="16">
        <f>ROUNDUP((T4018+U4018+2*'Read Me'!$B$13)*(1+'Read Me'!$B$12),-1)</f>
        <v/>
      </c>
      <c r="W4018" s="16">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H-I-0060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6" t="n">
        <v>336</v>
      </c>
      <c r="U4019" s="16" t="n">
        <v>37</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H-I-0061</t>
        </is>
      </c>
      <c r="B4020" s="12" t="inlineStr">
        <is>
          <t>H</t>
        </is>
      </c>
      <c r="C4020" s="12" t="inlineStr">
        <is>
          <t>BESS</t>
        </is>
      </c>
      <c r="D4020" s="12" t="inlineStr">
        <is>
          <t>Instrumentation</t>
        </is>
      </c>
      <c r="E4020" s="12" t="inlineStr"/>
      <c r="F4020" s="12" t="inlineStr">
        <is>
          <t>BESS EMS / SCADA and revenue metering</t>
        </is>
      </c>
      <c r="G4020" s="12" t="inlineStr"/>
      <c r="H4020" s="12" t="inlineStr">
        <is>
          <t>BESS auxiliary transformer</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38</v>
      </c>
      <c r="U4020" s="16" t="n">
        <v>32</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H-I-0062</t>
        </is>
      </c>
      <c r="B4021" s="12" t="inlineStr">
        <is>
          <t>H</t>
        </is>
      </c>
      <c r="C4021" s="12" t="inlineStr">
        <is>
          <t>BESS</t>
        </is>
      </c>
      <c r="D4021" s="12" t="inlineStr">
        <is>
          <t>Instrumentation</t>
        </is>
      </c>
      <c r="E4021" s="12" t="inlineStr"/>
      <c r="F4021" s="12" t="inlineStr">
        <is>
          <t>BESS EMS / SCADA and revenue metering</t>
        </is>
      </c>
      <c r="G4021" s="12" t="inlineStr">
        <is>
          <t>BESS</t>
        </is>
      </c>
      <c r="H4021" s="12" t="inlineStr">
        <is>
          <t>BESS blocks: 30 containers + 15 PCS / MV skids</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Duct bank</t>
        </is>
      </c>
      <c r="T4021" s="16" t="n">
        <v>336</v>
      </c>
      <c r="U4021" s="16" t="n">
        <v>32</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H-I-0063</t>
        </is>
      </c>
      <c r="B4022" s="12" t="inlineStr">
        <is>
          <t>H</t>
        </is>
      </c>
      <c r="C4022" s="12" t="inlineStr">
        <is>
          <t>BESS</t>
        </is>
      </c>
      <c r="D4022" s="12" t="inlineStr">
        <is>
          <t>Instrumentation</t>
        </is>
      </c>
      <c r="E4022" s="12" t="inlineStr"/>
      <c r="F4022" s="12" t="inlineStr">
        <is>
          <t>BESS EMS / SCADA and revenue metering</t>
        </is>
      </c>
      <c r="G4022" s="12" t="inlineStr">
        <is>
          <t>BESS</t>
        </is>
      </c>
      <c r="H4022" s="12" t="inlineStr">
        <is>
          <t>BESS blocks: 30 containers + 15 PCS / MV skids</t>
        </is>
      </c>
      <c r="I4022" s="12" t="inlineStr">
        <is>
          <t>Instrumentation</t>
        </is>
      </c>
      <c r="J4022" s="12" t="inlineStr">
        <is>
          <t>Instrumentation PLTC / TC-ER 300 V, #18 twisted shielded pairs, overall shield</t>
        </is>
      </c>
      <c r="K4022" s="12" t="inlineStr">
        <is>
          <t>PLTC|12 pr|18</t>
        </is>
      </c>
      <c r="L4022" s="12" t="inlineStr">
        <is>
          <t>12 pr</t>
        </is>
      </c>
      <c r="M4022" s="12" t="inlineStr">
        <is>
          <t>18</t>
        </is>
      </c>
      <c r="N4022" s="12" t="n">
        <v>1</v>
      </c>
      <c r="O4022" s="12" t="n">
        <v>1</v>
      </c>
      <c r="P4022" s="12" t="n"/>
      <c r="Q4022" s="12" t="n"/>
      <c r="R4022" s="12" t="n"/>
      <c r="S4022" s="12" t="inlineStr">
        <is>
          <t>Duct bank</t>
        </is>
      </c>
      <c r="T4022" s="16" t="n">
        <v>336</v>
      </c>
      <c r="U4022" s="16" t="n">
        <v>32</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H-I-0064</t>
        </is>
      </c>
      <c r="B4023" s="12" t="inlineStr">
        <is>
          <t>H</t>
        </is>
      </c>
      <c r="C4023" s="12" t="inlineStr">
        <is>
          <t>BESS</t>
        </is>
      </c>
      <c r="D4023" s="12" t="inlineStr">
        <is>
          <t>Thermocouples</t>
        </is>
      </c>
      <c r="E4023" s="12" t="inlineStr"/>
      <c r="F4023" s="12" t="inlineStr">
        <is>
          <t>BESS EMS / SCADA and revenue metering</t>
        </is>
      </c>
      <c r="G4023" s="12" t="inlineStr">
        <is>
          <t>BESS</t>
        </is>
      </c>
      <c r="H4023" s="12" t="inlineStr">
        <is>
          <t>BESS blocks: 30 containers + 15 PCS / MV skids</t>
        </is>
      </c>
      <c r="I4023" s="12" t="inlineStr">
        <is>
          <t>Instrumentation</t>
        </is>
      </c>
      <c r="J4023" s="12" t="inlineStr">
        <is>
          <t>Thermocouple extension KX, #16 shielded pairs, PLTC</t>
        </is>
      </c>
      <c r="K4023" s="12" t="inlineStr">
        <is>
          <t>TCX|12 pr|16</t>
        </is>
      </c>
      <c r="L4023" s="12" t="inlineStr">
        <is>
          <t>12 pr</t>
        </is>
      </c>
      <c r="M4023" s="12" t="inlineStr">
        <is>
          <t>16</t>
        </is>
      </c>
      <c r="N4023" s="12" t="n">
        <v>1</v>
      </c>
      <c r="O4023" s="12" t="n">
        <v>1</v>
      </c>
      <c r="P4023" s="12" t="n"/>
      <c r="Q4023" s="12" t="n"/>
      <c r="R4023" s="12" t="n"/>
      <c r="S4023" s="12" t="inlineStr">
        <is>
          <t>Duct bank</t>
        </is>
      </c>
      <c r="T4023" s="16" t="n">
        <v>336</v>
      </c>
      <c r="U4023" s="16" t="n">
        <v>32</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H-I-0065</t>
        </is>
      </c>
      <c r="B4024" s="12" t="inlineStr">
        <is>
          <t>H</t>
        </is>
      </c>
      <c r="C4024" s="12" t="inlineStr">
        <is>
          <t>BESS</t>
        </is>
      </c>
      <c r="D4024" s="12" t="inlineStr">
        <is>
          <t>Thermocouples</t>
        </is>
      </c>
      <c r="E4024" s="12" t="inlineStr"/>
      <c r="F4024" s="12" t="inlineStr">
        <is>
          <t>BESS EMS / SCADA and revenue metering</t>
        </is>
      </c>
      <c r="G4024" s="12" t="inlineStr">
        <is>
          <t>BESS</t>
        </is>
      </c>
      <c r="H4024" s="12" t="inlineStr">
        <is>
          <t>BESS blocks: 30 containers + 15 PCS / MV skids</t>
        </is>
      </c>
      <c r="I4024" s="12" t="inlineStr">
        <is>
          <t>Instrumentation</t>
        </is>
      </c>
      <c r="J4024" s="12" t="inlineStr">
        <is>
          <t>Thermocouple extension KX, #16 shielded pairs, PLTC</t>
        </is>
      </c>
      <c r="K4024" s="12" t="inlineStr">
        <is>
          <t>TCX|12 pr|16</t>
        </is>
      </c>
      <c r="L4024" s="12" t="inlineStr">
        <is>
          <t>12 pr</t>
        </is>
      </c>
      <c r="M4024" s="12" t="inlineStr">
        <is>
          <t>16</t>
        </is>
      </c>
      <c r="N4024" s="12" t="n">
        <v>1</v>
      </c>
      <c r="O4024" s="12" t="n">
        <v>1</v>
      </c>
      <c r="P4024" s="12" t="n"/>
      <c r="Q4024" s="12" t="n"/>
      <c r="R4024" s="12" t="n"/>
      <c r="S4024" s="12" t="inlineStr">
        <is>
          <t>Duct bank</t>
        </is>
      </c>
      <c r="T4024" s="16" t="n">
        <v>336</v>
      </c>
      <c r="U4024" s="16" t="n">
        <v>32</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H-I-0066</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Duct bank</t>
        </is>
      </c>
      <c r="T4025" s="16" t="n">
        <v>10</v>
      </c>
      <c r="U4025" s="16" t="n">
        <v>150</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H-I-0067</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160</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H-I-0068</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200</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H-I-0069</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200</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H-I-0070</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168</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H-I-0071</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168</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H-I-0072</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Duct bank</t>
        </is>
      </c>
      <c r="T4031" s="16" t="n">
        <v>10</v>
      </c>
      <c r="U4031" s="16" t="n">
        <v>266</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H-I-0073</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276</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H-I-0074</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316</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H-I-0075</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316</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H-I-0076</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284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H-I-0077</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284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H-I-0078</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290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H-I-0079</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290</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H-I-0080</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290</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H-I-0081</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290</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H-I-0082</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290</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H-I-0083</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290</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H-I-0084</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174</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H-I-0085</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174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H-I-0086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174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H-I-0087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174</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H-I-0088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6" t="n">
        <v>0</v>
      </c>
      <c r="U4047" s="16" t="n">
        <v>174</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H-I-0089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6" t="n">
        <v>0</v>
      </c>
      <c r="U4048" s="16" t="n">
        <v>174</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6" t="n">
        <v>0</v>
      </c>
      <c r="U4049" s="16" t="n">
        <v>62</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H-I-0091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6" t="n">
        <v>0</v>
      </c>
      <c r="U4050" s="16" t="n">
        <v>62</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H-I-0092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Tray</t>
        </is>
      </c>
      <c r="T4051" s="16" t="n">
        <v>0</v>
      </c>
      <c r="U4051" s="16" t="n">
        <v>62</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H-I-0093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6" t="n">
        <v>0</v>
      </c>
      <c r="U4052" s="16" t="n">
        <v>62</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H-I-0094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6" t="n">
        <v>0</v>
      </c>
      <c r="U4053" s="16" t="n">
        <v>62</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H-I-0095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6" t="n">
        <v>0</v>
      </c>
      <c r="U4054" s="16" t="n">
        <v>62</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H-I-0096</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H-I-0097</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300</v>
      </c>
      <c r="U4056" s="16" t="n">
        <v>89</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H-I-0098</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H-I-0099</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Duct bank</t>
        </is>
      </c>
      <c r="T4058" s="16" t="n">
        <v>160</v>
      </c>
      <c r="U4058" s="16" t="n">
        <v>169</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H-I-0100</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H-I-0101</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160</v>
      </c>
      <c r="U4060" s="16" t="n">
        <v>109</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H-I-0102</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H-I-0103</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70</v>
      </c>
      <c r="U4062" s="16" t="n">
        <v>139</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H-I-0104</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H-I-0105</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30</v>
      </c>
      <c r="U4064" s="16" t="n">
        <v>93</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H-I-0106</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H-I-0107</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Tray</t>
        </is>
      </c>
      <c r="T4066" s="16" t="n">
        <v>0</v>
      </c>
      <c r="U4066" s="16" t="n">
        <v>83</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H-I-0108</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H-I-0109</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300</v>
      </c>
      <c r="U4068" s="16" t="n">
        <v>147</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H-I-0110</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H-I-0111</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Duct bank</t>
        </is>
      </c>
      <c r="T4070" s="16" t="n">
        <v>160</v>
      </c>
      <c r="U4070" s="16" t="n">
        <v>227</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H-I-0112</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H-I-0113</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160</v>
      </c>
      <c r="U4072" s="16" t="n">
        <v>167</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H-I-0114</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H-I-0115</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v>
      </c>
      <c r="U4074" s="16" t="n">
        <v>211</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H-I-0116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H-I-0117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30</v>
      </c>
      <c r="U4076" s="16" t="n">
        <v>151</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H-I-0118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H-I-0119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Tray</t>
        </is>
      </c>
      <c r="T4078" s="16" t="n">
        <v>0</v>
      </c>
      <c r="U4078" s="16" t="n">
        <v>141</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300</v>
      </c>
      <c r="U4080" s="16" t="n">
        <v>205</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H-I-0122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H-I-0123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300</v>
      </c>
      <c r="U4082" s="16" t="n">
        <v>205</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H-I-0124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H-I-0125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160</v>
      </c>
      <c r="U4084" s="16" t="n">
        <v>225</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H-I-0126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H-I-0127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160</v>
      </c>
      <c r="U4086" s="16" t="n">
        <v>225</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H-I-0128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H-I-0129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30</v>
      </c>
      <c r="U4088" s="16" t="n">
        <v>209</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336</v>
      </c>
      <c r="U4090" s="16" t="n">
        <v>173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H-I-0132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H-I-0133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340</v>
      </c>
      <c r="U4092" s="16" t="n">
        <v>253</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H-I-0134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H-I-0135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300</v>
      </c>
      <c r="U4094" s="16" t="n">
        <v>263</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H-I-0136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H-I-0137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160</v>
      </c>
      <c r="U4096" s="16" t="n">
        <v>283</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H-I-0138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H-I-0139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160</v>
      </c>
      <c r="U4098" s="16" t="n">
        <v>283</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115</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H-I-0142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H-I-0143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H-I-0144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H-I-0145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602</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H-I-0146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H-I-0147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482</v>
      </c>
      <c r="U4106" s="16" t="n">
        <v>117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H-I-0148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53</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H-I-0149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336</v>
      </c>
      <c r="U4108" s="16" t="n">
        <v>177</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6" t="n">
        <v>53</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336</v>
      </c>
      <c r="U4110" s="16" t="n">
        <v>117</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H-I-0152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6" t="n">
        <v>53</v>
      </c>
      <c r="U4111" s="16" t="n">
        <v>10</v>
      </c>
      <c r="V4111" s="16">
        <f>ROUNDUP((T4111+U4111+2*'Read Me'!$B$13)*(1+'Read Me'!$B$12),-1)</f>
        <v/>
      </c>
      <c r="W4111" s="16">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H-I-0153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6" t="n">
        <v>336</v>
      </c>
      <c r="U4112" s="16" t="n">
        <v>57</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H-I-0154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6" t="n">
        <v>53</v>
      </c>
      <c r="U4113" s="16" t="n">
        <v>10</v>
      </c>
      <c r="V4113" s="16">
        <f>ROUNDUP((T4113+U4113+2*'Read Me'!$B$13)*(1+'Read Me'!$B$12),-1)</f>
        <v/>
      </c>
      <c r="W4113" s="16">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H-I-0155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6" t="n">
        <v>336</v>
      </c>
      <c r="U4114" s="16" t="n">
        <v>57</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H-I-0156</t>
        </is>
      </c>
      <c r="B4115" s="12" t="inlineStr">
        <is>
          <t>H</t>
        </is>
      </c>
      <c r="C4115" s="12" t="inlineStr">
        <is>
          <t>BESS</t>
        </is>
      </c>
      <c r="D4115" s="12" t="inlineStr">
        <is>
          <t>Analog instrument to JB JB-BESS MPT-AI01: 8 x 1 pr (field cables)</t>
        </is>
      </c>
      <c r="E4115" s="12" t="inlineStr">
        <is>
          <t>BESS MPT</t>
        </is>
      </c>
      <c r="F4115" s="12" t="inlineStr">
        <is>
          <t>BESS main power transformer 34.5/230 kV (to D4 upper)</t>
        </is>
      </c>
      <c r="G4115" s="12" t="inlineStr">
        <is>
          <t>JB-BESS MPT-AI01</t>
        </is>
      </c>
      <c r="H4115" s="12" t="inlineStr">
        <is>
          <t>BESS main power transformer 34.5/230 kV (to D4 upper)</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6" t="n">
        <v>77</v>
      </c>
      <c r="U4115" s="16" t="n">
        <v>10</v>
      </c>
      <c r="V4115" s="16">
        <f>ROUNDUP((T4115+U4115+2*'Read Me'!$B$13)*(1+'Read Me'!$B$12),-1)</f>
        <v/>
      </c>
      <c r="W4115" s="16">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H-I-0157</t>
        </is>
      </c>
      <c r="B4116" s="12" t="inlineStr">
        <is>
          <t>H</t>
        </is>
      </c>
      <c r="C4116" s="12" t="inlineStr">
        <is>
          <t>BESS</t>
        </is>
      </c>
      <c r="D4116" s="12" t="inlineStr">
        <is>
          <t>Home run JB-BESS MPT-AI01 to the control / marshalling room</t>
        </is>
      </c>
      <c r="E4116" s="12" t="inlineStr"/>
      <c r="F4116" s="12" t="inlineStr">
        <is>
          <t>BESS EMS / SCADA and revenue metering</t>
        </is>
      </c>
      <c r="G4116" s="12" t="inlineStr">
        <is>
          <t>JB-BESS MPT-AI01</t>
        </is>
      </c>
      <c r="H4116" s="12" t="inlineStr">
        <is>
          <t>BESS main power transformer 34.5/230 kV (to D4 upper)</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6" t="n">
        <v>162</v>
      </c>
      <c r="U4116" s="16" t="n">
        <v>32</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H-I-0158</t>
        </is>
      </c>
      <c r="B4117" s="12" t="inlineStr">
        <is>
          <t>H</t>
        </is>
      </c>
      <c r="C4117" s="12" t="inlineStr">
        <is>
          <t>BESS</t>
        </is>
      </c>
      <c r="D4117" s="12" t="inlineStr">
        <is>
          <t>Discrete device to JB JB-BESS MPT-DI01: 16 x 1 pr (field cables)</t>
        </is>
      </c>
      <c r="E4117" s="12" t="inlineStr">
        <is>
          <t>BESS MPT</t>
        </is>
      </c>
      <c r="F4117" s="12" t="inlineStr">
        <is>
          <t>BESS main power transformer 34.5/230 kV (to D4 upper)</t>
        </is>
      </c>
      <c r="G4117" s="12" t="inlineStr">
        <is>
          <t>JB-BESS MPT-DI01</t>
        </is>
      </c>
      <c r="H4117" s="12" t="inlineStr">
        <is>
          <t>BESS main power transformer 34.5/230 kV (to D4 upper)</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16</v>
      </c>
      <c r="O4117" s="12" t="n">
        <v>1</v>
      </c>
      <c r="P4117" s="12" t="n"/>
      <c r="Q4117" s="12" t="n"/>
      <c r="R4117" s="12" t="n"/>
      <c r="S4117" s="12" t="inlineStr">
        <is>
          <t>Tray / conduit</t>
        </is>
      </c>
      <c r="T4117" s="16" t="n">
        <v>77</v>
      </c>
      <c r="U4117" s="16" t="n">
        <v>10</v>
      </c>
      <c r="V4117" s="16">
        <f>ROUNDUP((T4117+U4117+2*'Read Me'!$B$13)*(1+'Read Me'!$B$12),-1)</f>
        <v/>
      </c>
      <c r="W4117" s="16">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H-I-0159</t>
        </is>
      </c>
      <c r="B4118" s="12" t="inlineStr">
        <is>
          <t>H</t>
        </is>
      </c>
      <c r="C4118" s="12" t="inlineStr">
        <is>
          <t>BESS</t>
        </is>
      </c>
      <c r="D4118" s="12" t="inlineStr">
        <is>
          <t>Home run JB-BESS MPT-DI01 to the control / marshalling room</t>
        </is>
      </c>
      <c r="E4118" s="12" t="inlineStr"/>
      <c r="F4118" s="12" t="inlineStr">
        <is>
          <t>BESS EMS / SCADA and revenue metering</t>
        </is>
      </c>
      <c r="G4118" s="12" t="inlineStr">
        <is>
          <t>JB-BESS MPT-DI01</t>
        </is>
      </c>
      <c r="H4118" s="12" t="inlineStr">
        <is>
          <t>BESS main power transformer 34.5/230 kV (to D4 upper)</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6" t="n">
        <v>162</v>
      </c>
      <c r="U4118" s="16" t="n">
        <v>32</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H-I-0160</t>
        </is>
      </c>
      <c r="B4119" s="12" t="inlineStr">
        <is>
          <t>H</t>
        </is>
      </c>
      <c r="C4119" s="12" t="inlineStr">
        <is>
          <t>BESS</t>
        </is>
      </c>
      <c r="D4119" s="12" t="inlineStr">
        <is>
          <t>Instrumentation</t>
        </is>
      </c>
      <c r="E4119" s="12" t="inlineStr"/>
      <c r="F4119" s="12" t="inlineStr">
        <is>
          <t>BESS EMS / SCADA and revenue metering</t>
        </is>
      </c>
      <c r="G4119" s="12" t="inlineStr"/>
      <c r="H4119" s="12" t="inlineStr">
        <is>
          <t>CONDITIONAL: grounding transformer</t>
        </is>
      </c>
      <c r="I4119" s="12" t="inlineStr">
        <is>
          <t>Instrumentation</t>
        </is>
      </c>
      <c r="J4119" s="12" t="inlineStr">
        <is>
          <t>Instrumentation PLTC / TC-ER 300 V, #18 twisted shielded pairs, overall shield</t>
        </is>
      </c>
      <c r="K4119" s="12" t="inlineStr">
        <is>
          <t>PLTC|4 pr|18</t>
        </is>
      </c>
      <c r="L4119" s="12" t="inlineStr">
        <is>
          <t>4 pr</t>
        </is>
      </c>
      <c r="M4119" s="12" t="inlineStr">
        <is>
          <t>18</t>
        </is>
      </c>
      <c r="N4119" s="12" t="n">
        <v>1</v>
      </c>
      <c r="O4119" s="12" t="n">
        <v>1</v>
      </c>
      <c r="P4119" s="12" t="n"/>
      <c r="Q4119" s="12" t="n"/>
      <c r="R4119" s="12" t="n"/>
      <c r="S4119" s="12" t="inlineStr">
        <is>
          <t>Duct bank</t>
        </is>
      </c>
      <c r="T4119" s="16" t="n">
        <v>280</v>
      </c>
      <c r="U4119" s="16" t="n">
        <v>87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H-P-0001</t>
        </is>
      </c>
      <c r="B4120" s="12" t="inlineStr">
        <is>
          <t>H</t>
        </is>
      </c>
      <c r="C4120" s="12" t="inlineStr">
        <is>
          <t>BESS</t>
        </is>
      </c>
      <c r="D4120" s="12" t="inlineStr">
        <is>
          <t>LV panel / distribution feeder</t>
        </is>
      </c>
      <c r="E4120" s="12" t="inlineStr"/>
      <c r="F4120" s="12" t="inlineStr">
        <is>
          <t>BESS auxiliary transformer</t>
        </is>
      </c>
      <c r="G4120" s="12" t="inlineStr"/>
      <c r="H4120" s="12" t="inlineStr">
        <is>
          <t>34.5 kV collector e-house (arc-resistant)</t>
        </is>
      </c>
      <c r="I4120" s="12" t="inlineStr">
        <is>
          <t>LV 600 V</t>
        </is>
      </c>
      <c r="J4120" s="12" t="inlineStr">
        <is>
          <t>Type TC-ER 600 V 3/C Cu XHHW-2 + ground, PVC jacket</t>
        </is>
      </c>
      <c r="K4120" s="12" t="inlineStr">
        <is>
          <t>LV|3/C+G|6</t>
        </is>
      </c>
      <c r="L4120" s="12" t="inlineStr">
        <is>
          <t>3/C+G</t>
        </is>
      </c>
      <c r="M4120" s="12" t="inlineStr">
        <is>
          <t>6</t>
        </is>
      </c>
      <c r="N4120" s="12" t="n">
        <v>1</v>
      </c>
      <c r="O4120" s="12" t="n">
        <v>1</v>
      </c>
      <c r="P4120" s="12" t="n">
        <v>480</v>
      </c>
      <c r="Q4120" s="12" t="n">
        <v>30</v>
      </c>
      <c r="R4120" s="12" t="n">
        <v>42.5</v>
      </c>
      <c r="S4120" s="12" t="inlineStr">
        <is>
          <t>Duct bank</t>
        </is>
      </c>
      <c r="T4120" s="16" t="n">
        <v>30</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is>
          <t>VD 0.6 %</t>
        </is>
      </c>
      <c r="AA4120" s="12">
        <f>N4120*O4120</f>
        <v/>
      </c>
    </row>
    <row r="4121">
      <c r="A4121" s="12" t="inlineStr">
        <is>
          <t>H-P-0002</t>
        </is>
      </c>
      <c r="B4121" s="12" t="inlineStr">
        <is>
          <t>H</t>
        </is>
      </c>
      <c r="C4121" s="12" t="inlineStr">
        <is>
          <t>BESS</t>
        </is>
      </c>
      <c r="D4121" s="12" t="inlineStr">
        <is>
          <t>LV panel / distribution feeder</t>
        </is>
      </c>
      <c r="E4121" s="12" t="inlineStr"/>
      <c r="F4121" s="12" t="inlineStr">
        <is>
          <t>BESS auxiliary transformer</t>
        </is>
      </c>
      <c r="G4121" s="12" t="inlineStr"/>
      <c r="H4121" s="12" t="inlineStr">
        <is>
          <t>BESS EMS / SCADA and revenue metering</t>
        </is>
      </c>
      <c r="I4121" s="12" t="inlineStr">
        <is>
          <t>LV 600 V</t>
        </is>
      </c>
      <c r="J4121" s="12" t="inlineStr">
        <is>
          <t>ARMOR-X MC-HL 600 V 3/C Cu XHHW-2 + ground, CWA, black PVC (Class I Div 2)</t>
        </is>
      </c>
      <c r="K4121" s="12" t="inlineStr">
        <is>
          <t>LVAX|3/C+G|6</t>
        </is>
      </c>
      <c r="L4121" s="12" t="inlineStr">
        <is>
          <t>3/C+G</t>
        </is>
      </c>
      <c r="M4121" s="12" t="inlineStr">
        <is>
          <t>6</t>
        </is>
      </c>
      <c r="N4121" s="12" t="n">
        <v>1</v>
      </c>
      <c r="O4121" s="12" t="n">
        <v>1</v>
      </c>
      <c r="P4121" s="12" t="n">
        <v>480</v>
      </c>
      <c r="Q4121" s="12" t="n">
        <v>30</v>
      </c>
      <c r="R4121" s="12" t="n">
        <v>42.5</v>
      </c>
      <c r="S4121" s="12" t="inlineStr">
        <is>
          <t>Tray</t>
        </is>
      </c>
      <c r="T4121" s="16" t="n">
        <v>0</v>
      </c>
      <c r="U4121" s="16" t="n">
        <v>70</v>
      </c>
      <c r="V4121" s="16">
        <f>ROUNDUP((T4121+U4121+2*'Read Me'!$B$13)*(1+'Read Me'!$B$12),-1)</f>
        <v/>
      </c>
      <c r="W4121" s="16">
        <f>V4121*N4121*O4121</f>
        <v/>
      </c>
      <c r="X4121" s="12">
        <f>IF(LEFT(I4121,2)="MV",2*N4121*IF(L4121="1/C",O4121,1),0)</f>
        <v/>
      </c>
      <c r="Y4121" s="12">
        <f>IF(OR(LEFT(K4121,4)="LVAX",LEFT(K4121,6)="MV15AX",LEFT(K4121,4)="CTAX",LEFT(K4121,2)="W|"),2*N4121*O4121,0)</f>
        <v/>
      </c>
      <c r="Z4121" s="12" t="inlineStr">
        <is>
          <t>VD 0.6 %</t>
        </is>
      </c>
      <c r="AA4121" s="12">
        <f>N4121*O4121</f>
        <v/>
      </c>
    </row>
    <row r="4122">
      <c r="A4122" s="12" t="inlineStr">
        <is>
          <t>H-P-0003</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318</v>
      </c>
      <c r="U4122" s="16" t="n">
        <v>103</v>
      </c>
      <c r="V4122" s="16">
        <f>ROUNDUP((T4122+U4122+2*'Read Me'!$B$13)*(1+'Read Me'!$B$12),-1)</f>
        <v/>
      </c>
      <c r="W4122" s="16">
        <f>V4122*N4122*O4122</f>
        <v/>
      </c>
      <c r="X4122" s="12">
        <f>IF(LEFT(I4122,2)="MV",2*N4122*IF(L4122="1/C",O4122,1),0)</f>
        <v/>
      </c>
      <c r="Y4122" s="12">
        <f>IF(OR(LEFT(K4122,4)="LVAX",LEFT(K4122,6)="MV15AX",LEFT(K4122,4)="CTAX",LEFT(K4122,2)="W|"),2*N4122*O4122,0)</f>
        <v/>
      </c>
      <c r="Z4122" s="12" t="inlineStr">
        <is>
          <t>VD 2.0 %</t>
        </is>
      </c>
      <c r="AA4122" s="12">
        <f>N4122*O4122</f>
        <v/>
      </c>
    </row>
    <row r="4123">
      <c r="A4123" s="12" t="inlineStr">
        <is>
          <t>H-P-0004</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318</v>
      </c>
      <c r="U4123" s="16" t="n">
        <v>103</v>
      </c>
      <c r="V4123" s="16">
        <f>ROUNDUP((T4123+U4123+2*'Read Me'!$B$13)*(1+'Read Me'!$B$12),-1)</f>
        <v/>
      </c>
      <c r="W4123" s="16">
        <f>V4123*N4123*O4123</f>
        <v/>
      </c>
      <c r="X4123" s="12">
        <f>IF(LEFT(I4123,2)="MV",2*N4123*IF(L4123="1/C",O4123,1),0)</f>
        <v/>
      </c>
      <c r="Y4123" s="12">
        <f>IF(OR(LEFT(K4123,4)="LVAX",LEFT(K4123,6)="MV15AX",LEFT(K4123,4)="CTAX",LEFT(K4123,2)="W|"),2*N4123*O4123,0)</f>
        <v/>
      </c>
      <c r="Z4123" s="12" t="inlineStr">
        <is>
          <t>VD 2.0 %</t>
        </is>
      </c>
      <c r="AA4123" s="12">
        <f>N4123*O4123</f>
        <v/>
      </c>
    </row>
    <row r="4124">
      <c r="A4124" s="12" t="inlineStr">
        <is>
          <t>H-P-0005</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178</v>
      </c>
      <c r="U4124" s="16" t="n">
        <v>123</v>
      </c>
      <c r="V4124" s="16">
        <f>ROUNDUP((T4124+U4124+2*'Read Me'!$B$13)*(1+'Read Me'!$B$12),-1)</f>
        <v/>
      </c>
      <c r="W4124" s="16">
        <f>V4124*N4124*O4124</f>
        <v/>
      </c>
      <c r="X4124" s="12">
        <f>IF(LEFT(I4124,2)="MV",2*N4124*IF(L4124="1/C",O4124,1),0)</f>
        <v/>
      </c>
      <c r="Y4124" s="12">
        <f>IF(OR(LEFT(K4124,4)="LVAX",LEFT(K4124,6)="MV15AX",LEFT(K4124,4)="CTAX",LEFT(K4124,2)="W|"),2*N4124*O4124,0)</f>
        <v/>
      </c>
      <c r="Z4124" s="12" t="inlineStr">
        <is>
          <t>VD 1.4 %</t>
        </is>
      </c>
      <c r="AA4124" s="12">
        <f>N4124*O4124</f>
        <v/>
      </c>
    </row>
    <row r="4125">
      <c r="A4125" s="12" t="inlineStr">
        <is>
          <t>H-P-0006</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178</v>
      </c>
      <c r="U4125" s="16" t="n">
        <v>123</v>
      </c>
      <c r="V4125" s="16">
        <f>ROUNDUP((T4125+U4125+2*'Read Me'!$B$13)*(1+'Read Me'!$B$12),-1)</f>
        <v/>
      </c>
      <c r="W4125" s="16">
        <f>V4125*N4125*O4125</f>
        <v/>
      </c>
      <c r="X4125" s="12">
        <f>IF(LEFT(I4125,2)="MV",2*N4125*IF(L4125="1/C",O4125,1),0)</f>
        <v/>
      </c>
      <c r="Y4125" s="12">
        <f>IF(OR(LEFT(K4125,4)="LVAX",LEFT(K4125,6)="MV15AX",LEFT(K4125,4)="CTAX",LEFT(K4125,2)="W|"),2*N4125*O4125,0)</f>
        <v/>
      </c>
      <c r="Z4125" s="12" t="inlineStr">
        <is>
          <t>VD 1.4 %</t>
        </is>
      </c>
      <c r="AA4125" s="12">
        <f>N4125*O4125</f>
        <v/>
      </c>
    </row>
    <row r="4126">
      <c r="A4126" s="12" t="inlineStr">
        <is>
          <t>H-P-0007</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74</v>
      </c>
      <c r="U4126" s="16" t="n">
        <v>107</v>
      </c>
      <c r="V4126" s="16">
        <f>ROUNDUP((T4126+U4126+2*'Read Me'!$B$13)*(1+'Read Me'!$B$12),-1)</f>
        <v/>
      </c>
      <c r="W4126" s="16">
        <f>V4126*N4126*O4126</f>
        <v/>
      </c>
      <c r="X4126" s="12">
        <f>IF(LEFT(I4126,2)="MV",2*N4126*IF(L4126="1/C",O4126,1),0)</f>
        <v/>
      </c>
      <c r="Y4126" s="12">
        <f>IF(OR(LEFT(K4126,4)="LVAX",LEFT(K4126,6)="MV15AX",LEFT(K4126,4)="CTAX",LEFT(K4126,2)="W|"),2*N4126*O4126,0)</f>
        <v/>
      </c>
      <c r="Z4126" s="12" t="inlineStr">
        <is>
          <t>VD 0.9 %</t>
        </is>
      </c>
      <c r="AA4126" s="12">
        <f>N4126*O4126</f>
        <v/>
      </c>
    </row>
    <row r="4127">
      <c r="A4127" s="12" t="inlineStr">
        <is>
          <t>H-P-0008</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74</v>
      </c>
      <c r="U4127" s="16" t="n">
        <v>107</v>
      </c>
      <c r="V4127" s="16">
        <f>ROUNDUP((T4127+U4127+2*'Read Me'!$B$13)*(1+'Read Me'!$B$12),-1)</f>
        <v/>
      </c>
      <c r="W4127" s="16">
        <f>V4127*N4127*O4127</f>
        <v/>
      </c>
      <c r="X4127" s="12">
        <f>IF(LEFT(I4127,2)="MV",2*N4127*IF(L4127="1/C",O4127,1),0)</f>
        <v/>
      </c>
      <c r="Y4127" s="12">
        <f>IF(OR(LEFT(K4127,4)="LVAX",LEFT(K4127,6)="MV15AX",LEFT(K4127,4)="CTAX",LEFT(K4127,2)="W|"),2*N4127*O4127,0)</f>
        <v/>
      </c>
      <c r="Z4127" s="12" t="inlineStr">
        <is>
          <t>VD 0.9 %</t>
        </is>
      </c>
      <c r="AA4127" s="12">
        <f>N4127*O4127</f>
        <v/>
      </c>
    </row>
    <row r="4128">
      <c r="A4128" s="12" t="inlineStr">
        <is>
          <t>H-P-0009</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318</v>
      </c>
      <c r="U4128" s="16" t="n">
        <v>161</v>
      </c>
      <c r="V4128" s="16">
        <f>ROUNDUP((T4128+U4128+2*'Read Me'!$B$13)*(1+'Read Me'!$B$12),-1)</f>
        <v/>
      </c>
      <c r="W4128" s="16">
        <f>V4128*N4128*O4128</f>
        <v/>
      </c>
      <c r="X4128" s="12">
        <f>IF(LEFT(I4128,2)="MV",2*N4128*IF(L4128="1/C",O4128,1),0)</f>
        <v/>
      </c>
      <c r="Y4128" s="12">
        <f>IF(OR(LEFT(K4128,4)="LVAX",LEFT(K4128,6)="MV15AX",LEFT(K4128,4)="CTAX",LEFT(K4128,2)="W|"),2*N4128*O4128,0)</f>
        <v/>
      </c>
      <c r="Z4128" s="12" t="inlineStr">
        <is>
          <t>VD 2.3 %</t>
        </is>
      </c>
      <c r="AA4128" s="12">
        <f>N4128*O4128</f>
        <v/>
      </c>
    </row>
    <row r="4129">
      <c r="A4129" s="12" t="inlineStr">
        <is>
          <t>H-P-0010</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318</v>
      </c>
      <c r="U4129" s="16" t="n">
        <v>161</v>
      </c>
      <c r="V4129" s="16">
        <f>ROUNDUP((T4129+U4129+2*'Read Me'!$B$13)*(1+'Read Me'!$B$12),-1)</f>
        <v/>
      </c>
      <c r="W4129" s="16">
        <f>V4129*N4129*O4129</f>
        <v/>
      </c>
      <c r="X4129" s="12">
        <f>IF(LEFT(I4129,2)="MV",2*N4129*IF(L4129="1/C",O4129,1),0)</f>
        <v/>
      </c>
      <c r="Y4129" s="12">
        <f>IF(OR(LEFT(K4129,4)="LVAX",LEFT(K4129,6)="MV15AX",LEFT(K4129,4)="CTAX",LEFT(K4129,2)="W|"),2*N4129*O4129,0)</f>
        <v/>
      </c>
      <c r="Z4129" s="12" t="inlineStr">
        <is>
          <t>VD 2.3 %</t>
        </is>
      </c>
      <c r="AA4129" s="12">
        <f>N4129*O4129</f>
        <v/>
      </c>
    </row>
    <row r="4130">
      <c r="A4130" s="12" t="inlineStr">
        <is>
          <t>H-P-0011</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178</v>
      </c>
      <c r="U4130" s="16" t="n">
        <v>181</v>
      </c>
      <c r="V4130" s="16">
        <f>ROUNDUP((T4130+U4130+2*'Read Me'!$B$13)*(1+'Read Me'!$B$12),-1)</f>
        <v/>
      </c>
      <c r="W4130" s="16">
        <f>V4130*N4130*O4130</f>
        <v/>
      </c>
      <c r="X4130" s="12">
        <f>IF(LEFT(I4130,2)="MV",2*N4130*IF(L4130="1/C",O4130,1),0)</f>
        <v/>
      </c>
      <c r="Y4130" s="12">
        <f>IF(OR(LEFT(K4130,4)="LVAX",LEFT(K4130,6)="MV15AX",LEFT(K4130,4)="CTAX",LEFT(K4130,2)="W|"),2*N4130*O4130,0)</f>
        <v/>
      </c>
      <c r="Z4130" s="12" t="inlineStr">
        <is>
          <t>VD 1.7 %</t>
        </is>
      </c>
      <c r="AA4130" s="12">
        <f>N4130*O4130</f>
        <v/>
      </c>
    </row>
    <row r="4131">
      <c r="A4131" s="12" t="inlineStr">
        <is>
          <t>H-P-0012</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178</v>
      </c>
      <c r="U4131" s="16" t="n">
        <v>181</v>
      </c>
      <c r="V4131" s="16">
        <f>ROUNDUP((T4131+U4131+2*'Read Me'!$B$13)*(1+'Read Me'!$B$12),-1)</f>
        <v/>
      </c>
      <c r="W4131" s="16">
        <f>V4131*N4131*O4131</f>
        <v/>
      </c>
      <c r="X4131" s="12">
        <f>IF(LEFT(I4131,2)="MV",2*N4131*IF(L4131="1/C",O4131,1),0)</f>
        <v/>
      </c>
      <c r="Y4131" s="12">
        <f>IF(OR(LEFT(K4131,4)="LVAX",LEFT(K4131,6)="MV15AX",LEFT(K4131,4)="CTAX",LEFT(K4131,2)="W|"),2*N4131*O4131,0)</f>
        <v/>
      </c>
      <c r="Z4131" s="12" t="inlineStr">
        <is>
          <t>VD 1.7 %</t>
        </is>
      </c>
      <c r="AA4131" s="12">
        <f>N4131*O4131</f>
        <v/>
      </c>
    </row>
    <row r="4132">
      <c r="A4132" s="12" t="inlineStr">
        <is>
          <t>H-P-0013</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LV|3/C+G|10</t>
        </is>
      </c>
      <c r="L4132" s="12" t="inlineStr">
        <is>
          <t>3/C+G</t>
        </is>
      </c>
      <c r="M4132" s="12" t="inlineStr">
        <is>
          <t>10</t>
        </is>
      </c>
      <c r="N4132" s="12" t="n">
        <v>1</v>
      </c>
      <c r="O4132" s="12" t="n">
        <v>1</v>
      </c>
      <c r="P4132" s="12" t="n">
        <v>480</v>
      </c>
      <c r="Q4132" s="12" t="n">
        <v>7</v>
      </c>
      <c r="R4132" s="12" t="n">
        <v>9.9</v>
      </c>
      <c r="S4132" s="12" t="inlineStr">
        <is>
          <t>Duct bank</t>
        </is>
      </c>
      <c r="T4132" s="16" t="n">
        <v>74</v>
      </c>
      <c r="U4132" s="16" t="n">
        <v>165</v>
      </c>
      <c r="V4132" s="16">
        <f>ROUNDUP((T4132+U4132+2*'Read Me'!$B$13)*(1+'Read Me'!$B$12),-1)</f>
        <v/>
      </c>
      <c r="W4132" s="16">
        <f>V4132*N4132*O4132</f>
        <v/>
      </c>
      <c r="X4132" s="12">
        <f>IF(LEFT(I4132,2)="MV",2*N4132*IF(L4132="1/C",O4132,1),0)</f>
        <v/>
      </c>
      <c r="Y4132" s="12">
        <f>IF(OR(LEFT(K4132,4)="LVAX",LEFT(K4132,6)="MV15AX",LEFT(K4132,4)="CTAX",LEFT(K4132,2)="W|"),2*N4132*O4132,0)</f>
        <v/>
      </c>
      <c r="Z4132" s="12" t="inlineStr">
        <is>
          <t>VD 1.1 %</t>
        </is>
      </c>
      <c r="AA4132" s="12">
        <f>N4132*O4132</f>
        <v/>
      </c>
    </row>
    <row r="4133">
      <c r="A4133" s="12" t="inlineStr">
        <is>
          <t>H-P-0014</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LV|3/C+G|10</t>
        </is>
      </c>
      <c r="L4133" s="12" t="inlineStr">
        <is>
          <t>3/C+G</t>
        </is>
      </c>
      <c r="M4133" s="12" t="inlineStr">
        <is>
          <t>10</t>
        </is>
      </c>
      <c r="N4133" s="12" t="n">
        <v>1</v>
      </c>
      <c r="O4133" s="12" t="n">
        <v>1</v>
      </c>
      <c r="P4133" s="12" t="n">
        <v>480</v>
      </c>
      <c r="Q4133" s="12" t="n">
        <v>7</v>
      </c>
      <c r="R4133" s="12" t="n">
        <v>9.9</v>
      </c>
      <c r="S4133" s="12" t="inlineStr">
        <is>
          <t>Duct bank</t>
        </is>
      </c>
      <c r="T4133" s="16" t="n">
        <v>74</v>
      </c>
      <c r="U4133" s="16" t="n">
        <v>165</v>
      </c>
      <c r="V4133" s="16">
        <f>ROUNDUP((T4133+U4133+2*'Read Me'!$B$13)*(1+'Read Me'!$B$12),-1)</f>
        <v/>
      </c>
      <c r="W4133" s="16">
        <f>V4133*N4133*O4133</f>
        <v/>
      </c>
      <c r="X4133" s="12">
        <f>IF(LEFT(I4133,2)="MV",2*N4133*IF(L4133="1/C",O4133,1),0)</f>
        <v/>
      </c>
      <c r="Y4133" s="12">
        <f>IF(OR(LEFT(K4133,4)="LVAX",LEFT(K4133,6)="MV15AX",LEFT(K4133,4)="CTAX",LEFT(K4133,2)="W|"),2*N4133*O4133,0)</f>
        <v/>
      </c>
      <c r="Z4133" s="12" t="inlineStr">
        <is>
          <t>VD 1.1 %</t>
        </is>
      </c>
      <c r="AA4133" s="12">
        <f>N4133*O4133</f>
        <v/>
      </c>
    </row>
    <row r="4134">
      <c r="A4134" s="12" t="inlineStr">
        <is>
          <t>H-P-0015</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318</v>
      </c>
      <c r="U4134" s="16" t="n">
        <v>219</v>
      </c>
      <c r="V4134" s="16">
        <f>ROUNDUP((T4134+U4134+2*'Read Me'!$B$13)*(1+'Read Me'!$B$12),-1)</f>
        <v/>
      </c>
      <c r="W4134" s="16">
        <f>V4134*N4134*O4134</f>
        <v/>
      </c>
      <c r="X4134" s="12">
        <f>IF(LEFT(I4134,2)="MV",2*N4134*IF(L4134="1/C",O4134,1),0)</f>
        <v/>
      </c>
      <c r="Y4134" s="12">
        <f>IF(OR(LEFT(K4134,4)="LVAX",LEFT(K4134,6)="MV15AX",LEFT(K4134,4)="CTAX",LEFT(K4134,2)="W|"),2*N4134*O4134,0)</f>
        <v/>
      </c>
      <c r="Z4134" s="12" t="inlineStr">
        <is>
          <t>VD 2.6 %</t>
        </is>
      </c>
      <c r="AA4134" s="12">
        <f>N4134*O4134</f>
        <v/>
      </c>
    </row>
    <row r="4135">
      <c r="A4135" s="12" t="inlineStr">
        <is>
          <t>H-P-0016</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318</v>
      </c>
      <c r="U4135" s="16" t="n">
        <v>219</v>
      </c>
      <c r="V4135" s="16">
        <f>ROUNDUP((T4135+U4135+2*'Read Me'!$B$13)*(1+'Read Me'!$B$12),-1)</f>
        <v/>
      </c>
      <c r="W4135" s="16">
        <f>V4135*N4135*O4135</f>
        <v/>
      </c>
      <c r="X4135" s="12">
        <f>IF(LEFT(I4135,2)="MV",2*N4135*IF(L4135="1/C",O4135,1),0)</f>
        <v/>
      </c>
      <c r="Y4135" s="12">
        <f>IF(OR(LEFT(K4135,4)="LVAX",LEFT(K4135,6)="MV15AX",LEFT(K4135,4)="CTAX",LEFT(K4135,2)="W|"),2*N4135*O4135,0)</f>
        <v/>
      </c>
      <c r="Z4135" s="12" t="inlineStr">
        <is>
          <t>VD 2.6 %</t>
        </is>
      </c>
      <c r="AA4135" s="12">
        <f>N4135*O4135</f>
        <v/>
      </c>
    </row>
    <row r="4136">
      <c r="A4136" s="12" t="inlineStr">
        <is>
          <t>H-P-0017</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178</v>
      </c>
      <c r="U4136" s="16" t="n">
        <v>239</v>
      </c>
      <c r="V4136" s="16">
        <f>ROUNDUP((T4136+U4136+2*'Read Me'!$B$13)*(1+'Read Me'!$B$12),-1)</f>
        <v/>
      </c>
      <c r="W4136" s="16">
        <f>V4136*N4136*O4136</f>
        <v/>
      </c>
      <c r="X4136" s="12">
        <f>IF(LEFT(I4136,2)="MV",2*N4136*IF(L4136="1/C",O4136,1),0)</f>
        <v/>
      </c>
      <c r="Y4136" s="12">
        <f>IF(OR(LEFT(K4136,4)="LVAX",LEFT(K4136,6)="MV15AX",LEFT(K4136,4)="CTAX",LEFT(K4136,2)="W|"),2*N4136*O4136,0)</f>
        <v/>
      </c>
      <c r="Z4136" s="12" t="inlineStr">
        <is>
          <t>VD 2.0 %</t>
        </is>
      </c>
      <c r="AA4136" s="12">
        <f>N4136*O4136</f>
        <v/>
      </c>
    </row>
    <row r="4137">
      <c r="A4137" s="12" t="inlineStr">
        <is>
          <t>H-P-0018</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178</v>
      </c>
      <c r="U4137" s="16" t="n">
        <v>239</v>
      </c>
      <c r="V4137" s="16">
        <f>ROUNDUP((T4137+U4137+2*'Read Me'!$B$13)*(1+'Read Me'!$B$12),-1)</f>
        <v/>
      </c>
      <c r="W4137" s="16">
        <f>V4137*N4137*O4137</f>
        <v/>
      </c>
      <c r="X4137" s="12">
        <f>IF(LEFT(I4137,2)="MV",2*N4137*IF(L4137="1/C",O4137,1),0)</f>
        <v/>
      </c>
      <c r="Y4137" s="12">
        <f>IF(OR(LEFT(K4137,4)="LVAX",LEFT(K4137,6)="MV15AX",LEFT(K4137,4)="CTAX",LEFT(K4137,2)="W|"),2*N4137*O4137,0)</f>
        <v/>
      </c>
      <c r="Z4137" s="12" t="inlineStr">
        <is>
          <t>VD 2.0 %</t>
        </is>
      </c>
      <c r="AA4137" s="12">
        <f>N4137*O4137</f>
        <v/>
      </c>
    </row>
    <row r="4138">
      <c r="A4138" s="12" t="inlineStr">
        <is>
          <t>H-P-0019</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LV|3/C+G|10</t>
        </is>
      </c>
      <c r="L4138" s="12" t="inlineStr">
        <is>
          <t>3/C+G</t>
        </is>
      </c>
      <c r="M4138" s="12" t="inlineStr">
        <is>
          <t>10</t>
        </is>
      </c>
      <c r="N4138" s="12" t="n">
        <v>1</v>
      </c>
      <c r="O4138" s="12" t="n">
        <v>1</v>
      </c>
      <c r="P4138" s="12" t="n">
        <v>480</v>
      </c>
      <c r="Q4138" s="12" t="n">
        <v>7</v>
      </c>
      <c r="R4138" s="12" t="n">
        <v>9.9</v>
      </c>
      <c r="S4138" s="12" t="inlineStr">
        <is>
          <t>Duct bank</t>
        </is>
      </c>
      <c r="T4138" s="16" t="n">
        <v>380</v>
      </c>
      <c r="U4138" s="16" t="n">
        <v>149</v>
      </c>
      <c r="V4138" s="16">
        <f>ROUNDUP((T4138+U4138+2*'Read Me'!$B$13)*(1+'Read Me'!$B$12),-1)</f>
        <v/>
      </c>
      <c r="W4138" s="16">
        <f>V4138*N4138*O4138</f>
        <v/>
      </c>
      <c r="X4138" s="12">
        <f>IF(LEFT(I4138,2)="MV",2*N4138*IF(L4138="1/C",O4138,1),0)</f>
        <v/>
      </c>
      <c r="Y4138" s="12">
        <f>IF(OR(LEFT(K4138,4)="LVAX",LEFT(K4138,6)="MV15AX",LEFT(K4138,4)="CTAX",LEFT(K4138,2)="W|"),2*N4138*O4138,0)</f>
        <v/>
      </c>
      <c r="Z4138" s="12" t="inlineStr">
        <is>
          <t>VD 2.5 %</t>
        </is>
      </c>
      <c r="AA4138" s="12">
        <f>N4138*O4138</f>
        <v/>
      </c>
    </row>
    <row r="4139">
      <c r="A4139" s="12" t="inlineStr">
        <is>
          <t>H-P-0020</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LV|3/C+G|10</t>
        </is>
      </c>
      <c r="L4139" s="12" t="inlineStr">
        <is>
          <t>3/C+G</t>
        </is>
      </c>
      <c r="M4139" s="12" t="inlineStr">
        <is>
          <t>10</t>
        </is>
      </c>
      <c r="N4139" s="12" t="n">
        <v>1</v>
      </c>
      <c r="O4139" s="12" t="n">
        <v>1</v>
      </c>
      <c r="P4139" s="12" t="n">
        <v>480</v>
      </c>
      <c r="Q4139" s="12" t="n">
        <v>7</v>
      </c>
      <c r="R4139" s="12" t="n">
        <v>9.9</v>
      </c>
      <c r="S4139" s="12" t="inlineStr">
        <is>
          <t>Duct bank</t>
        </is>
      </c>
      <c r="T4139" s="16" t="n">
        <v>380</v>
      </c>
      <c r="U4139" s="16" t="n">
        <v>149</v>
      </c>
      <c r="V4139" s="16">
        <f>ROUNDUP((T4139+U4139+2*'Read Me'!$B$13)*(1+'Read Me'!$B$12),-1)</f>
        <v/>
      </c>
      <c r="W4139" s="16">
        <f>V4139*N4139*O4139</f>
        <v/>
      </c>
      <c r="X4139" s="12">
        <f>IF(LEFT(I4139,2)="MV",2*N4139*IF(L4139="1/C",O4139,1),0)</f>
        <v/>
      </c>
      <c r="Y4139" s="12">
        <f>IF(OR(LEFT(K4139,4)="LVAX",LEFT(K4139,6)="MV15AX",LEFT(K4139,4)="CTAX",LEFT(K4139,2)="W|"),2*N4139*O4139,0)</f>
        <v/>
      </c>
      <c r="Z4139" s="12" t="inlineStr">
        <is>
          <t>VD 2.5 %</t>
        </is>
      </c>
      <c r="AA4139" s="12">
        <f>N4139*O4139</f>
        <v/>
      </c>
    </row>
    <row r="4140">
      <c r="A4140" s="12" t="inlineStr">
        <is>
          <t>H-P-0021</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LV|3/C+G|8</t>
        </is>
      </c>
      <c r="L4140" s="12" t="inlineStr">
        <is>
          <t>3/C+G</t>
        </is>
      </c>
      <c r="M4140" s="12" t="inlineStr">
        <is>
          <t>8</t>
        </is>
      </c>
      <c r="N4140" s="12" t="n">
        <v>1</v>
      </c>
      <c r="O4140" s="12" t="n">
        <v>1</v>
      </c>
      <c r="P4140" s="12" t="n">
        <v>480</v>
      </c>
      <c r="Q4140" s="12" t="n">
        <v>7</v>
      </c>
      <c r="R4140" s="12" t="n">
        <v>9.9</v>
      </c>
      <c r="S4140" s="12" t="inlineStr">
        <is>
          <t>Duct bank</t>
        </is>
      </c>
      <c r="T4140" s="16" t="n">
        <v>620</v>
      </c>
      <c r="U4140" s="16" t="n">
        <v>91</v>
      </c>
      <c r="V4140" s="16">
        <f>ROUNDUP((T4140+U4140+2*'Read Me'!$B$13)*(1+'Read Me'!$B$12),-1)</f>
        <v/>
      </c>
      <c r="W4140" s="16">
        <f>V4140*N4140*O4140</f>
        <v/>
      </c>
      <c r="X4140" s="12">
        <f>IF(LEFT(I4140,2)="MV",2*N4140*IF(L4140="1/C",O4140,1),0)</f>
        <v/>
      </c>
      <c r="Y4140" s="12">
        <f>IF(OR(LEFT(K4140,4)="LVAX",LEFT(K4140,6)="MV15AX",LEFT(K4140,4)="CTAX",LEFT(K4140,2)="W|"),2*N4140*O4140,0)</f>
        <v/>
      </c>
      <c r="Z4140" s="12" t="inlineStr">
        <is>
          <t>VD 2.1 %</t>
        </is>
      </c>
      <c r="AA4140" s="12">
        <f>N4140*O4140</f>
        <v/>
      </c>
    </row>
    <row r="4141">
      <c r="A4141" s="12" t="inlineStr">
        <is>
          <t>H-P-0022</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LV|3/C+G|8</t>
        </is>
      </c>
      <c r="L4141" s="12" t="inlineStr">
        <is>
          <t>3/C+G</t>
        </is>
      </c>
      <c r="M4141" s="12" t="inlineStr">
        <is>
          <t>8</t>
        </is>
      </c>
      <c r="N4141" s="12" t="n">
        <v>1</v>
      </c>
      <c r="O4141" s="12" t="n">
        <v>1</v>
      </c>
      <c r="P4141" s="12" t="n">
        <v>480</v>
      </c>
      <c r="Q4141" s="12" t="n">
        <v>7</v>
      </c>
      <c r="R4141" s="12" t="n">
        <v>9.9</v>
      </c>
      <c r="S4141" s="12" t="inlineStr">
        <is>
          <t>Duct bank</t>
        </is>
      </c>
      <c r="T4141" s="16" t="n">
        <v>620</v>
      </c>
      <c r="U4141" s="16" t="n">
        <v>91</v>
      </c>
      <c r="V4141" s="16">
        <f>ROUNDUP((T4141+U4141+2*'Read Me'!$B$13)*(1+'Read Me'!$B$12),-1)</f>
        <v/>
      </c>
      <c r="W4141" s="16">
        <f>V4141*N4141*O4141</f>
        <v/>
      </c>
      <c r="X4141" s="12">
        <f>IF(LEFT(I4141,2)="MV",2*N4141*IF(L4141="1/C",O4141,1),0)</f>
        <v/>
      </c>
      <c r="Y4141" s="12">
        <f>IF(OR(LEFT(K4141,4)="LVAX",LEFT(K4141,6)="MV15AX",LEFT(K4141,4)="CTAX",LEFT(K4141,2)="W|"),2*N4141*O4141,0)</f>
        <v/>
      </c>
      <c r="Z4141" s="12" t="inlineStr">
        <is>
          <t>VD 2.1 %</t>
        </is>
      </c>
      <c r="AA4141" s="12">
        <f>N4141*O4141</f>
        <v/>
      </c>
    </row>
    <row r="4142">
      <c r="A4142" s="12" t="inlineStr">
        <is>
          <t>H-P-0023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500</v>
      </c>
      <c r="U4142" s="16" t="n">
        <v>91</v>
      </c>
      <c r="V4142" s="16">
        <f>ROUNDUP((T4142+U4142+2*'Read Me'!$B$13)*(1+'Read Me'!$B$12),-1)</f>
        <v/>
      </c>
      <c r="W4142" s="16">
        <f>V4142*N4142*O4142</f>
        <v/>
      </c>
      <c r="X4142" s="12">
        <f>IF(LEFT(I4142,2)="MV",2*N4142*IF(L4142="1/C",O4142,1),0)</f>
        <v/>
      </c>
      <c r="Y4142" s="12">
        <f>IF(OR(LEFT(K4142,4)="LVAX",LEFT(K4142,6)="MV15AX",LEFT(K4142,4)="CTAX",LEFT(K4142,2)="W|"),2*N4142*O4142,0)</f>
        <v/>
      </c>
      <c r="Z4142" s="12" t="inlineStr">
        <is>
          <t>VD 2.8 %</t>
        </is>
      </c>
      <c r="AA4142" s="12">
        <f>N4142*O4142</f>
        <v/>
      </c>
    </row>
    <row r="4143">
      <c r="A4143" s="12" t="inlineStr">
        <is>
          <t>H-P-0024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500</v>
      </c>
      <c r="U4143" s="16" t="n">
        <v>91</v>
      </c>
      <c r="V4143" s="16">
        <f>ROUNDUP((T4143+U4143+2*'Read Me'!$B$13)*(1+'Read Me'!$B$12),-1)</f>
        <v/>
      </c>
      <c r="W4143" s="16">
        <f>V4143*N4143*O4143</f>
        <v/>
      </c>
      <c r="X4143" s="12">
        <f>IF(LEFT(I4143,2)="MV",2*N4143*IF(L4143="1/C",O4143,1),0)</f>
        <v/>
      </c>
      <c r="Y4143" s="12">
        <f>IF(OR(LEFT(K4143,4)="LVAX",LEFT(K4143,6)="MV15AX",LEFT(K4143,4)="CTAX",LEFT(K4143,2)="W|"),2*N4143*O4143,0)</f>
        <v/>
      </c>
      <c r="Z4143" s="12" t="inlineStr">
        <is>
          <t>VD 2.8 %</t>
        </is>
      </c>
      <c r="AA4143" s="12">
        <f>N4143*O4143</f>
        <v/>
      </c>
    </row>
    <row r="4144">
      <c r="A4144" s="12" t="inlineStr">
        <is>
          <t>H-P-0025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6" t="n">
        <v>380</v>
      </c>
      <c r="U4144" s="16" t="n">
        <v>91</v>
      </c>
      <c r="V4144" s="16">
        <f>ROUNDUP((T4144+U4144+2*'Read Me'!$B$13)*(1+'Read Me'!$B$12),-1)</f>
        <v/>
      </c>
      <c r="W4144" s="16">
        <f>V4144*N4144*O4144</f>
        <v/>
      </c>
      <c r="X4144" s="12">
        <f>IF(LEFT(I4144,2)="MV",2*N4144*IF(L4144="1/C",O4144,1),0)</f>
        <v/>
      </c>
      <c r="Y4144" s="12">
        <f>IF(OR(LEFT(K4144,4)="LVAX",LEFT(K4144,6)="MV15AX",LEFT(K4144,4)="CTAX",LEFT(K4144,2)="W|"),2*N4144*O4144,0)</f>
        <v/>
      </c>
      <c r="Z4144" s="12" t="inlineStr">
        <is>
          <t>VD 2.2 %</t>
        </is>
      </c>
      <c r="AA4144" s="12">
        <f>N4144*O4144</f>
        <v/>
      </c>
    </row>
    <row r="4145">
      <c r="A4145" s="12" t="inlineStr">
        <is>
          <t>H-P-0026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6" t="n">
        <v>380</v>
      </c>
      <c r="U4145" s="16" t="n">
        <v>91</v>
      </c>
      <c r="V4145" s="16">
        <f>ROUNDUP((T4145+U4145+2*'Read Me'!$B$13)*(1+'Read Me'!$B$12),-1)</f>
        <v/>
      </c>
      <c r="W4145" s="16">
        <f>V4145*N4145*O4145</f>
        <v/>
      </c>
      <c r="X4145" s="12">
        <f>IF(LEFT(I4145,2)="MV",2*N4145*IF(L4145="1/C",O4145,1),0)</f>
        <v/>
      </c>
      <c r="Y4145" s="12">
        <f>IF(OR(LEFT(K4145,4)="LVAX",LEFT(K4145,6)="MV15AX",LEFT(K4145,4)="CTAX",LEFT(K4145,2)="W|"),2*N4145*O4145,0)</f>
        <v/>
      </c>
      <c r="Z4145" s="12" t="inlineStr">
        <is>
          <t>VD 2.2 %</t>
        </is>
      </c>
      <c r="AA4145" s="12">
        <f>N4145*O4145</f>
        <v/>
      </c>
    </row>
    <row r="4146">
      <c r="A4146" s="12" t="inlineStr">
        <is>
          <t>H-P-0027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LV|3/C+G|8</t>
        </is>
      </c>
      <c r="L4146" s="12" t="inlineStr">
        <is>
          <t>3/C+G</t>
        </is>
      </c>
      <c r="M4146" s="12" t="inlineStr">
        <is>
          <t>8</t>
        </is>
      </c>
      <c r="N4146" s="12" t="n">
        <v>1</v>
      </c>
      <c r="O4146" s="12" t="n">
        <v>1</v>
      </c>
      <c r="P4146" s="12" t="n">
        <v>480</v>
      </c>
      <c r="Q4146" s="12" t="n">
        <v>7</v>
      </c>
      <c r="R4146" s="12" t="n">
        <v>9.9</v>
      </c>
      <c r="S4146" s="12" t="inlineStr">
        <is>
          <t>Duct bank</t>
        </is>
      </c>
      <c r="T4146" s="16" t="n">
        <v>620</v>
      </c>
      <c r="U4146" s="16" t="n">
        <v>37</v>
      </c>
      <c r="V4146" s="16">
        <f>ROUNDUP((T4146+U4146+2*'Read Me'!$B$13)*(1+'Read Me'!$B$12),-1)</f>
        <v/>
      </c>
      <c r="W4146" s="16">
        <f>V4146*N4146*O4146</f>
        <v/>
      </c>
      <c r="X4146" s="12">
        <f>IF(LEFT(I4146,2)="MV",2*N4146*IF(L4146="1/C",O4146,1),0)</f>
        <v/>
      </c>
      <c r="Y4146" s="12">
        <f>IF(OR(LEFT(K4146,4)="LVAX",LEFT(K4146,6)="MV15AX",LEFT(K4146,4)="CTAX",LEFT(K4146,2)="W|"),2*N4146*O4146,0)</f>
        <v/>
      </c>
      <c r="Z4146" s="12" t="inlineStr">
        <is>
          <t>VD 2.0 %</t>
        </is>
      </c>
      <c r="AA4146" s="12">
        <f>N4146*O4146</f>
        <v/>
      </c>
    </row>
    <row r="4147">
      <c r="A4147" s="12" t="inlineStr">
        <is>
          <t>H-P-0028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LV|3/C+G|8</t>
        </is>
      </c>
      <c r="L4147" s="12" t="inlineStr">
        <is>
          <t>3/C+G</t>
        </is>
      </c>
      <c r="M4147" s="12" t="inlineStr">
        <is>
          <t>8</t>
        </is>
      </c>
      <c r="N4147" s="12" t="n">
        <v>1</v>
      </c>
      <c r="O4147" s="12" t="n">
        <v>1</v>
      </c>
      <c r="P4147" s="12" t="n">
        <v>480</v>
      </c>
      <c r="Q4147" s="12" t="n">
        <v>7</v>
      </c>
      <c r="R4147" s="12" t="n">
        <v>9.9</v>
      </c>
      <c r="S4147" s="12" t="inlineStr">
        <is>
          <t>Duct bank</t>
        </is>
      </c>
      <c r="T4147" s="16" t="n">
        <v>620</v>
      </c>
      <c r="U4147" s="16" t="n">
        <v>37</v>
      </c>
      <c r="V4147" s="16">
        <f>ROUNDUP((T4147+U4147+2*'Read Me'!$B$13)*(1+'Read Me'!$B$12),-1)</f>
        <v/>
      </c>
      <c r="W4147" s="16">
        <f>V4147*N4147*O4147</f>
        <v/>
      </c>
      <c r="X4147" s="12">
        <f>IF(LEFT(I4147,2)="MV",2*N4147*IF(L4147="1/C",O4147,1),0)</f>
        <v/>
      </c>
      <c r="Y4147" s="12">
        <f>IF(OR(LEFT(K4147,4)="LVAX",LEFT(K4147,6)="MV15AX",LEFT(K4147,4)="CTAX",LEFT(K4147,2)="W|"),2*N4147*O4147,0)</f>
        <v/>
      </c>
      <c r="Z4147" s="12" t="inlineStr">
        <is>
          <t>VD 2.0 %</t>
        </is>
      </c>
      <c r="AA4147" s="12">
        <f>N4147*O4147</f>
        <v/>
      </c>
    </row>
    <row r="4148">
      <c r="A4148" s="12" t="inlineStr">
        <is>
          <t>H-P-0029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6" t="n">
        <v>500</v>
      </c>
      <c r="U4148" s="16" t="n">
        <v>37</v>
      </c>
      <c r="V4148" s="16">
        <f>ROUNDUP((T4148+U4148+2*'Read Me'!$B$13)*(1+'Read Me'!$B$12),-1)</f>
        <v/>
      </c>
      <c r="W4148" s="16">
        <f>V4148*N4148*O4148</f>
        <v/>
      </c>
      <c r="X4148" s="12">
        <f>IF(LEFT(I4148,2)="MV",2*N4148*IF(L4148="1/C",O4148,1),0)</f>
        <v/>
      </c>
      <c r="Y4148" s="12">
        <f>IF(OR(LEFT(K4148,4)="LVAX",LEFT(K4148,6)="MV15AX",LEFT(K4148,4)="CTAX",LEFT(K4148,2)="W|"),2*N4148*O4148,0)</f>
        <v/>
      </c>
      <c r="Z4148" s="12" t="inlineStr">
        <is>
          <t>VD 2.6 %</t>
        </is>
      </c>
      <c r="AA4148" s="12">
        <f>N4148*O4148</f>
        <v/>
      </c>
    </row>
    <row r="4149">
      <c r="A4149" s="12" t="inlineStr">
        <is>
          <t>H-P-0030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6" t="n">
        <v>500</v>
      </c>
      <c r="U4149" s="16" t="n">
        <v>37</v>
      </c>
      <c r="V4149" s="16">
        <f>ROUNDUP((T4149+U4149+2*'Read Me'!$B$13)*(1+'Read Me'!$B$12),-1)</f>
        <v/>
      </c>
      <c r="W4149" s="16">
        <f>V4149*N4149*O4149</f>
        <v/>
      </c>
      <c r="X4149" s="12">
        <f>IF(LEFT(I4149,2)="MV",2*N4149*IF(L4149="1/C",O4149,1),0)</f>
        <v/>
      </c>
      <c r="Y4149" s="12">
        <f>IF(OR(LEFT(K4149,4)="LVAX",LEFT(K4149,6)="MV15AX",LEFT(K4149,4)="CTAX",LEFT(K4149,2)="W|"),2*N4149*O4149,0)</f>
        <v/>
      </c>
      <c r="Z4149" s="12" t="inlineStr">
        <is>
          <t>VD 2.6 %</t>
        </is>
      </c>
      <c r="AA4149" s="12">
        <f>N4149*O4149</f>
        <v/>
      </c>
    </row>
    <row r="4150">
      <c r="A4150" s="12" t="inlineStr">
        <is>
          <t>H-P-0031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6" t="n">
        <v>380</v>
      </c>
      <c r="U4150" s="16" t="n">
        <v>37</v>
      </c>
      <c r="V4150" s="16">
        <f>ROUNDUP((T4150+U4150+2*'Read Me'!$B$13)*(1+'Read Me'!$B$12),-1)</f>
        <v/>
      </c>
      <c r="W4150" s="16">
        <f>V4150*N4150*O4150</f>
        <v/>
      </c>
      <c r="X4150" s="12">
        <f>IF(LEFT(I4150,2)="MV",2*N4150*IF(L4150="1/C",O4150,1),0)</f>
        <v/>
      </c>
      <c r="Y4150" s="12">
        <f>IF(OR(LEFT(K4150,4)="LVAX",LEFT(K4150,6)="MV15AX",LEFT(K4150,4)="CTAX",LEFT(K4150,2)="W|"),2*N4150*O4150,0)</f>
        <v/>
      </c>
      <c r="Z4150" s="12" t="inlineStr">
        <is>
          <t>VD 2.0 %</t>
        </is>
      </c>
      <c r="AA4150" s="12">
        <f>N4150*O4150</f>
        <v/>
      </c>
    </row>
    <row r="4151">
      <c r="A4151" s="12" t="inlineStr">
        <is>
          <t>H-P-0032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6" t="n">
        <v>380</v>
      </c>
      <c r="U4151" s="16" t="n">
        <v>37</v>
      </c>
      <c r="V4151" s="16">
        <f>ROUNDUP((T4151+U4151+2*'Read Me'!$B$13)*(1+'Read Me'!$B$12),-1)</f>
        <v/>
      </c>
      <c r="W4151" s="16">
        <f>V4151*N4151*O4151</f>
        <v/>
      </c>
      <c r="X4151" s="12">
        <f>IF(LEFT(I4151,2)="MV",2*N4151*IF(L4151="1/C",O4151,1),0)</f>
        <v/>
      </c>
      <c r="Y4151" s="12">
        <f>IF(OR(LEFT(K4151,4)="LVAX",LEFT(K4151,6)="MV15AX",LEFT(K4151,4)="CTAX",LEFT(K4151,2)="W|"),2*N4151*O4151,0)</f>
        <v/>
      </c>
      <c r="Z4151" s="12" t="inlineStr">
        <is>
          <t>VD 2.0 %</t>
        </is>
      </c>
      <c r="AA4151" s="12">
        <f>N4151*O4151</f>
        <v/>
      </c>
    </row>
    <row r="4152">
      <c r="A4152" s="12" t="inlineStr">
        <is>
          <t>H-P-0033</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Duct bank</t>
        </is>
      </c>
      <c r="T4152" s="16" t="n">
        <v>10</v>
      </c>
      <c r="U4152" s="16" t="n">
        <v>150</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H-P-0034</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160</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H-P-0035</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200</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H-P-0036</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200</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H-P-0037</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168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H-P-0038</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168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H-P-0039</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Duct bank</t>
        </is>
      </c>
      <c r="T4158" s="16" t="n">
        <v>10</v>
      </c>
      <c r="U4158" s="16" t="n">
        <v>266</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H-P-0040</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276</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H-P-0041</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316</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H-P-0042</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316</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H-P-0043</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284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H-P-0044</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284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H-P-0045</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290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H-P-0046</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290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H-P-0047</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290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H-P-0048</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290</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H-P-0049</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290</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H-P-0050</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290</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H-P-0051</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174</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H-P-0052</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174</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H-P-0053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174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H-P-0054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174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H-P-0055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6" t="n">
        <v>0</v>
      </c>
      <c r="U4174" s="16" t="n">
        <v>174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H-P-0056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6" t="n">
        <v>0</v>
      </c>
      <c r="U4175" s="16" t="n">
        <v>174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H-P-0057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6" t="n">
        <v>0</v>
      </c>
      <c r="U4176" s="16" t="n">
        <v>62</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H-P-0058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6" t="n">
        <v>0</v>
      </c>
      <c r="U4177" s="16" t="n">
        <v>62</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H-P-0059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Tray</t>
        </is>
      </c>
      <c r="T4178" s="16" t="n">
        <v>0</v>
      </c>
      <c r="U4178" s="16" t="n">
        <v>62</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H-P-0060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6" t="n">
        <v>0</v>
      </c>
      <c r="U4179" s="16" t="n">
        <v>62</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H-P-0061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6" t="n">
        <v>0</v>
      </c>
      <c r="U4180" s="16" t="n">
        <v>62</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H-P-0062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6" t="n">
        <v>0</v>
      </c>
      <c r="U4181" s="16" t="n">
        <v>62</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H-P-0063</t>
        </is>
      </c>
      <c r="B4182" s="12" t="inlineStr">
        <is>
          <t>H</t>
        </is>
      </c>
      <c r="C4182" s="12" t="inlineStr">
        <is>
          <t>BESS</t>
        </is>
      </c>
      <c r="D4182" s="12" t="inlineStr">
        <is>
          <t>Motor 1 of 6, 2 kW</t>
        </is>
      </c>
      <c r="E4182" s="12" t="inlineStr"/>
      <c r="F4182" s="12" t="inlineStr">
        <is>
          <t>BESS auxiliary transformer</t>
        </is>
      </c>
      <c r="G4182" s="12" t="inlineStr">
        <is>
          <t>BESS MPT</t>
        </is>
      </c>
      <c r="H4182" s="12" t="inlineStr">
        <is>
          <t>BESS main power transformer 34.5/230 kV (to D4 upper)</t>
        </is>
      </c>
      <c r="I4182" s="12" t="inlineStr">
        <is>
          <t>LV 600 V</t>
        </is>
      </c>
      <c r="J4182" s="12" t="inlineStr">
        <is>
          <t>Type TC-ER 600 V 3/C Cu XHHW-2 + ground, PVC jacket</t>
        </is>
      </c>
      <c r="K4182" s="12" t="inlineStr">
        <is>
          <t>LV|3/C+G|10</t>
        </is>
      </c>
      <c r="L4182" s="12" t="inlineStr">
        <is>
          <t>3/C+G</t>
        </is>
      </c>
      <c r="M4182" s="12" t="inlineStr">
        <is>
          <t>10</t>
        </is>
      </c>
      <c r="N4182" s="12" t="n">
        <v>1</v>
      </c>
      <c r="O4182" s="12" t="n">
        <v>1</v>
      </c>
      <c r="P4182" s="12" t="n">
        <v>480</v>
      </c>
      <c r="Q4182" s="12" t="n">
        <v>2</v>
      </c>
      <c r="R4182" s="12" t="n">
        <v>2.8</v>
      </c>
      <c r="S4182" s="12" t="inlineStr">
        <is>
          <t>Duct bank</t>
        </is>
      </c>
      <c r="T4182" s="16" t="n">
        <v>180</v>
      </c>
      <c r="U4182" s="16" t="n">
        <v>32</v>
      </c>
      <c r="V4182" s="16">
        <f>ROUNDUP((T4182+U4182+2*'Read Me'!$B$13)*(1+'Read Me'!$B$12),-1)</f>
        <v/>
      </c>
      <c r="W4182" s="16">
        <f>V4182*N4182*O4182</f>
        <v/>
      </c>
      <c r="X4182" s="12">
        <f>IF(LEFT(I4182,2)="MV",2*N4182*IF(L4182="1/C",O4182,1),0)</f>
        <v/>
      </c>
      <c r="Y4182" s="12">
        <f>IF(OR(LEFT(K4182,4)="LVAX",LEFT(K4182,6)="MV15AX",LEFT(K4182,4)="CTAX",LEFT(K4182,2)="W|"),2*N4182*O4182,0)</f>
        <v/>
      </c>
      <c r="Z4182" s="12" t="inlineStr">
        <is>
          <t>VD 0.3 %</t>
        </is>
      </c>
      <c r="AA4182" s="12">
        <f>N4182*O4182</f>
        <v/>
      </c>
    </row>
    <row r="4183">
      <c r="A4183" s="12" t="inlineStr">
        <is>
          <t>H-P-0064</t>
        </is>
      </c>
      <c r="B4183" s="12" t="inlineStr">
        <is>
          <t>H</t>
        </is>
      </c>
      <c r="C4183" s="12" t="inlineStr">
        <is>
          <t>BESS</t>
        </is>
      </c>
      <c r="D4183" s="12" t="inlineStr">
        <is>
          <t>Motor 2 of 6, 2 kW</t>
        </is>
      </c>
      <c r="E4183" s="12" t="inlineStr"/>
      <c r="F4183" s="12" t="inlineStr">
        <is>
          <t>BESS auxiliary transformer</t>
        </is>
      </c>
      <c r="G4183" s="12" t="inlineStr">
        <is>
          <t>BESS MPT</t>
        </is>
      </c>
      <c r="H4183" s="12" t="inlineStr">
        <is>
          <t>BESS main power transformer 34.5/230 kV (to D4 upper)</t>
        </is>
      </c>
      <c r="I4183" s="12" t="inlineStr">
        <is>
          <t>LV 600 V</t>
        </is>
      </c>
      <c r="J4183" s="12" t="inlineStr">
        <is>
          <t>Type TC-ER 600 V 3/C Cu XHHW-2 + ground, PVC jacket</t>
        </is>
      </c>
      <c r="K4183" s="12" t="inlineStr">
        <is>
          <t>LV|3/C+G|10</t>
        </is>
      </c>
      <c r="L4183" s="12" t="inlineStr">
        <is>
          <t>3/C+G</t>
        </is>
      </c>
      <c r="M4183" s="12" t="inlineStr">
        <is>
          <t>10</t>
        </is>
      </c>
      <c r="N4183" s="12" t="n">
        <v>1</v>
      </c>
      <c r="O4183" s="12" t="n">
        <v>1</v>
      </c>
      <c r="P4183" s="12" t="n">
        <v>480</v>
      </c>
      <c r="Q4183" s="12" t="n">
        <v>2</v>
      </c>
      <c r="R4183" s="12" t="n">
        <v>2.8</v>
      </c>
      <c r="S4183" s="12" t="inlineStr">
        <is>
          <t>Duct bank</t>
        </is>
      </c>
      <c r="T4183" s="16" t="n">
        <v>180</v>
      </c>
      <c r="U4183" s="16" t="n">
        <v>32</v>
      </c>
      <c r="V4183" s="16">
        <f>ROUNDUP((T4183+U4183+2*'Read Me'!$B$13)*(1+'Read Me'!$B$12),-1)</f>
        <v/>
      </c>
      <c r="W4183" s="16">
        <f>V4183*N4183*O4183</f>
        <v/>
      </c>
      <c r="X4183" s="12">
        <f>IF(LEFT(I4183,2)="MV",2*N4183*IF(L4183="1/C",O4183,1),0)</f>
        <v/>
      </c>
      <c r="Y4183" s="12">
        <f>IF(OR(LEFT(K4183,4)="LVAX",LEFT(K4183,6)="MV15AX",LEFT(K4183,4)="CTAX",LEFT(K4183,2)="W|"),2*N4183*O4183,0)</f>
        <v/>
      </c>
      <c r="Z4183" s="12" t="inlineStr">
        <is>
          <t>VD 0.3 %</t>
        </is>
      </c>
      <c r="AA4183" s="12">
        <f>N4183*O4183</f>
        <v/>
      </c>
    </row>
    <row r="4184">
      <c r="A4184" s="12" t="inlineStr">
        <is>
          <t>H-P-0065</t>
        </is>
      </c>
      <c r="B4184" s="12" t="inlineStr">
        <is>
          <t>H</t>
        </is>
      </c>
      <c r="C4184" s="12" t="inlineStr">
        <is>
          <t>BESS</t>
        </is>
      </c>
      <c r="D4184" s="12" t="inlineStr">
        <is>
          <t>Motor 3 of 6, 2 kW</t>
        </is>
      </c>
      <c r="E4184" s="12" t="inlineStr"/>
      <c r="F4184" s="12" t="inlineStr">
        <is>
          <t>BESS auxiliary transformer</t>
        </is>
      </c>
      <c r="G4184" s="12" t="inlineStr">
        <is>
          <t>BESS MPT</t>
        </is>
      </c>
      <c r="H4184" s="12" t="inlineStr">
        <is>
          <t>BESS main power transformer 34.5/230 kV (to D4 upper)</t>
        </is>
      </c>
      <c r="I4184" s="12" t="inlineStr">
        <is>
          <t>LV 600 V</t>
        </is>
      </c>
      <c r="J4184" s="12" t="inlineStr">
        <is>
          <t>Type TC-ER 600 V 3/C Cu XHHW-2 + ground, PVC jacket</t>
        </is>
      </c>
      <c r="K4184" s="12" t="inlineStr">
        <is>
          <t>LV|3/C+G|10</t>
        </is>
      </c>
      <c r="L4184" s="12" t="inlineStr">
        <is>
          <t>3/C+G</t>
        </is>
      </c>
      <c r="M4184" s="12" t="inlineStr">
        <is>
          <t>10</t>
        </is>
      </c>
      <c r="N4184" s="12" t="n">
        <v>1</v>
      </c>
      <c r="O4184" s="12" t="n">
        <v>1</v>
      </c>
      <c r="P4184" s="12" t="n">
        <v>480</v>
      </c>
      <c r="Q4184" s="12" t="n">
        <v>2</v>
      </c>
      <c r="R4184" s="12" t="n">
        <v>2.8</v>
      </c>
      <c r="S4184" s="12" t="inlineStr">
        <is>
          <t>Duct bank</t>
        </is>
      </c>
      <c r="T4184" s="16" t="n">
        <v>180</v>
      </c>
      <c r="U4184" s="16" t="n">
        <v>32</v>
      </c>
      <c r="V4184" s="16">
        <f>ROUNDUP((T4184+U4184+2*'Read Me'!$B$13)*(1+'Read Me'!$B$12),-1)</f>
        <v/>
      </c>
      <c r="W4184" s="16">
        <f>V4184*N4184*O4184</f>
        <v/>
      </c>
      <c r="X4184" s="12">
        <f>IF(LEFT(I4184,2)="MV",2*N4184*IF(L4184="1/C",O4184,1),0)</f>
        <v/>
      </c>
      <c r="Y4184" s="12">
        <f>IF(OR(LEFT(K4184,4)="LVAX",LEFT(K4184,6)="MV15AX",LEFT(K4184,4)="CTAX",LEFT(K4184,2)="W|"),2*N4184*O4184,0)</f>
        <v/>
      </c>
      <c r="Z4184" s="12" t="inlineStr">
        <is>
          <t>VD 0.3 %</t>
        </is>
      </c>
      <c r="AA4184" s="12">
        <f>N4184*O4184</f>
        <v/>
      </c>
    </row>
    <row r="4185">
      <c r="A4185" s="12" t="inlineStr">
        <is>
          <t>H-P-0066</t>
        </is>
      </c>
      <c r="B4185" s="12" t="inlineStr">
        <is>
          <t>H</t>
        </is>
      </c>
      <c r="C4185" s="12" t="inlineStr">
        <is>
          <t>BESS</t>
        </is>
      </c>
      <c r="D4185" s="12" t="inlineStr">
        <is>
          <t>Motor 4 of 6, 2 kW</t>
        </is>
      </c>
      <c r="E4185" s="12" t="inlineStr"/>
      <c r="F4185" s="12" t="inlineStr">
        <is>
          <t>BESS auxiliary transformer</t>
        </is>
      </c>
      <c r="G4185" s="12" t="inlineStr">
        <is>
          <t>BESS MPT</t>
        </is>
      </c>
      <c r="H4185" s="12" t="inlineStr">
        <is>
          <t>BESS main power transformer 34.5/230 kV (to D4 upper)</t>
        </is>
      </c>
      <c r="I4185" s="12" t="inlineStr">
        <is>
          <t>LV 600 V</t>
        </is>
      </c>
      <c r="J4185" s="12" t="inlineStr">
        <is>
          <t>Type TC-ER 600 V 3/C Cu XHHW-2 + ground, PVC jacket</t>
        </is>
      </c>
      <c r="K4185" s="12" t="inlineStr">
        <is>
          <t>LV|3/C+G|10</t>
        </is>
      </c>
      <c r="L4185" s="12" t="inlineStr">
        <is>
          <t>3/C+G</t>
        </is>
      </c>
      <c r="M4185" s="12" t="inlineStr">
        <is>
          <t>10</t>
        </is>
      </c>
      <c r="N4185" s="12" t="n">
        <v>1</v>
      </c>
      <c r="O4185" s="12" t="n">
        <v>1</v>
      </c>
      <c r="P4185" s="12" t="n">
        <v>480</v>
      </c>
      <c r="Q4185" s="12" t="n">
        <v>2</v>
      </c>
      <c r="R4185" s="12" t="n">
        <v>2.8</v>
      </c>
      <c r="S4185" s="12" t="inlineStr">
        <is>
          <t>Duct bank</t>
        </is>
      </c>
      <c r="T4185" s="16" t="n">
        <v>180</v>
      </c>
      <c r="U4185" s="16" t="n">
        <v>32</v>
      </c>
      <c r="V4185" s="16">
        <f>ROUNDUP((T4185+U4185+2*'Read Me'!$B$13)*(1+'Read Me'!$B$12),-1)</f>
        <v/>
      </c>
      <c r="W4185" s="16">
        <f>V4185*N4185*O4185</f>
        <v/>
      </c>
      <c r="X4185" s="12">
        <f>IF(LEFT(I4185,2)="MV",2*N4185*IF(L4185="1/C",O4185,1),0)</f>
        <v/>
      </c>
      <c r="Y4185" s="12">
        <f>IF(OR(LEFT(K4185,4)="LVAX",LEFT(K4185,6)="MV15AX",LEFT(K4185,4)="CTAX",LEFT(K4185,2)="W|"),2*N4185*O4185,0)</f>
        <v/>
      </c>
      <c r="Z4185" s="12" t="inlineStr">
        <is>
          <t>VD 0.3 %</t>
        </is>
      </c>
      <c r="AA4185" s="12">
        <f>N4185*O4185</f>
        <v/>
      </c>
    </row>
    <row r="4186">
      <c r="A4186" s="12" t="inlineStr">
        <is>
          <t>H-P-0067</t>
        </is>
      </c>
      <c r="B4186" s="12" t="inlineStr">
        <is>
          <t>H</t>
        </is>
      </c>
      <c r="C4186" s="12" t="inlineStr">
        <is>
          <t>BESS</t>
        </is>
      </c>
      <c r="D4186" s="12" t="inlineStr">
        <is>
          <t>Motor 5 of 6, 2 kW</t>
        </is>
      </c>
      <c r="E4186" s="12" t="inlineStr"/>
      <c r="F4186" s="12" t="inlineStr">
        <is>
          <t>BESS auxiliary transformer</t>
        </is>
      </c>
      <c r="G4186" s="12" t="inlineStr">
        <is>
          <t>BESS MPT</t>
        </is>
      </c>
      <c r="H4186" s="12" t="inlineStr">
        <is>
          <t>BESS main power transformer 34.5/230 kV (to D4 upper)</t>
        </is>
      </c>
      <c r="I4186" s="12" t="inlineStr">
        <is>
          <t>LV 600 V</t>
        </is>
      </c>
      <c r="J4186" s="12" t="inlineStr">
        <is>
          <t>Type TC-ER 600 V 3/C Cu XHHW-2 + ground, PVC jacket</t>
        </is>
      </c>
      <c r="K4186" s="12" t="inlineStr">
        <is>
          <t>LV|3/C+G|10</t>
        </is>
      </c>
      <c r="L4186" s="12" t="inlineStr">
        <is>
          <t>3/C+G</t>
        </is>
      </c>
      <c r="M4186" s="12" t="inlineStr">
        <is>
          <t>10</t>
        </is>
      </c>
      <c r="N4186" s="12" t="n">
        <v>1</v>
      </c>
      <c r="O4186" s="12" t="n">
        <v>1</v>
      </c>
      <c r="P4186" s="12" t="n">
        <v>480</v>
      </c>
      <c r="Q4186" s="12" t="n">
        <v>2</v>
      </c>
      <c r="R4186" s="12" t="n">
        <v>2.8</v>
      </c>
      <c r="S4186" s="12" t="inlineStr">
        <is>
          <t>Duct bank</t>
        </is>
      </c>
      <c r="T4186" s="16" t="n">
        <v>180</v>
      </c>
      <c r="U4186" s="16" t="n">
        <v>32</v>
      </c>
      <c r="V4186" s="16">
        <f>ROUNDUP((T4186+U4186+2*'Read Me'!$B$13)*(1+'Read Me'!$B$12),-1)</f>
        <v/>
      </c>
      <c r="W4186" s="16">
        <f>V4186*N4186*O4186</f>
        <v/>
      </c>
      <c r="X4186" s="12">
        <f>IF(LEFT(I4186,2)="MV",2*N4186*IF(L4186="1/C",O4186,1),0)</f>
        <v/>
      </c>
      <c r="Y4186" s="12">
        <f>IF(OR(LEFT(K4186,4)="LVAX",LEFT(K4186,6)="MV15AX",LEFT(K4186,4)="CTAX",LEFT(K4186,2)="W|"),2*N4186*O4186,0)</f>
        <v/>
      </c>
      <c r="Z4186" s="12" t="inlineStr">
        <is>
          <t>VD 0.3 %</t>
        </is>
      </c>
      <c r="AA4186" s="12">
        <f>N4186*O4186</f>
        <v/>
      </c>
    </row>
    <row r="4187">
      <c r="A4187" s="12" t="inlineStr">
        <is>
          <t>H-P-0068</t>
        </is>
      </c>
      <c r="B4187" s="12" t="inlineStr">
        <is>
          <t>H</t>
        </is>
      </c>
      <c r="C4187" s="12" t="inlineStr">
        <is>
          <t>BESS</t>
        </is>
      </c>
      <c r="D4187" s="12" t="inlineStr">
        <is>
          <t>Motor 6 of 6, 2 kW</t>
        </is>
      </c>
      <c r="E4187" s="12" t="inlineStr"/>
      <c r="F4187" s="12" t="inlineStr">
        <is>
          <t>BESS auxiliary transformer</t>
        </is>
      </c>
      <c r="G4187" s="12" t="inlineStr">
        <is>
          <t>BESS MPT</t>
        </is>
      </c>
      <c r="H4187" s="12" t="inlineStr">
        <is>
          <t>BESS main power transformer 34.5/230 kV (to D4 upper)</t>
        </is>
      </c>
      <c r="I4187" s="12" t="inlineStr">
        <is>
          <t>LV 600 V</t>
        </is>
      </c>
      <c r="J4187" s="12" t="inlineStr">
        <is>
          <t>Type TC-ER 600 V 3/C Cu XHHW-2 + ground, PVC jacket</t>
        </is>
      </c>
      <c r="K4187" s="12" t="inlineStr">
        <is>
          <t>LV|3/C+G|10</t>
        </is>
      </c>
      <c r="L4187" s="12" t="inlineStr">
        <is>
          <t>3/C+G</t>
        </is>
      </c>
      <c r="M4187" s="12" t="inlineStr">
        <is>
          <t>10</t>
        </is>
      </c>
      <c r="N4187" s="12" t="n">
        <v>1</v>
      </c>
      <c r="O4187" s="12" t="n">
        <v>1</v>
      </c>
      <c r="P4187" s="12" t="n">
        <v>480</v>
      </c>
      <c r="Q4187" s="12" t="n">
        <v>2</v>
      </c>
      <c r="R4187" s="12" t="n">
        <v>2.8</v>
      </c>
      <c r="S4187" s="12" t="inlineStr">
        <is>
          <t>Duct bank</t>
        </is>
      </c>
      <c r="T4187" s="16" t="n">
        <v>180</v>
      </c>
      <c r="U4187" s="16" t="n">
        <v>32</v>
      </c>
      <c r="V4187" s="16">
        <f>ROUNDUP((T4187+U4187+2*'Read Me'!$B$13)*(1+'Read Me'!$B$12),-1)</f>
        <v/>
      </c>
      <c r="W4187" s="16">
        <f>V4187*N4187*O4187</f>
        <v/>
      </c>
      <c r="X4187" s="12">
        <f>IF(LEFT(I4187,2)="MV",2*N4187*IF(L4187="1/C",O4187,1),0)</f>
        <v/>
      </c>
      <c r="Y4187" s="12">
        <f>IF(OR(LEFT(K4187,4)="LVAX",LEFT(K4187,6)="MV15AX",LEFT(K4187,4)="CTAX",LEFT(K4187,2)="W|"),2*N4187*O4187,0)</f>
        <v/>
      </c>
      <c r="Z4187" s="12" t="inlineStr">
        <is>
          <t>VD 0.3 %</t>
        </is>
      </c>
      <c r="AA4187" s="12">
        <f>N4187*O4187</f>
        <v/>
      </c>
    </row>
    <row r="4188">
      <c r="A4188" s="12" t="inlineStr">
        <is>
          <t>H-P-0069</t>
        </is>
      </c>
      <c r="B4188" s="12" t="inlineStr">
        <is>
          <t>H</t>
        </is>
      </c>
      <c r="C4188" s="12" t="inlineStr">
        <is>
          <t>BESS</t>
        </is>
      </c>
      <c r="D4188" s="12" t="inlineStr">
        <is>
          <t>Yard lighting circuit 1 (10 floodlights)</t>
        </is>
      </c>
      <c r="E4188" s="12" t="inlineStr"/>
      <c r="F4188" s="12" t="inlineStr">
        <is>
          <t>BESS auxiliary transformer</t>
        </is>
      </c>
      <c r="G4188" s="12" t="inlineStr"/>
      <c r="H4188" s="12" t="inlineStr">
        <is>
          <t>BESS yard: surfacing, fence, gate, signage, lighting</t>
        </is>
      </c>
      <c r="I4188" s="12" t="inlineStr">
        <is>
          <t>LV 600 V</t>
        </is>
      </c>
      <c r="J4188" s="12" t="inlineStr">
        <is>
          <t>Type TC-ER 600 V 3/C Cu XHHW-2 + ground, PVC jacket</t>
        </is>
      </c>
      <c r="K4188" s="12" t="inlineStr">
        <is>
          <t>LV|3/C+G|8</t>
        </is>
      </c>
      <c r="L4188" s="12" t="inlineStr">
        <is>
          <t>3/C+G</t>
        </is>
      </c>
      <c r="M4188" s="12" t="inlineStr">
        <is>
          <t>8</t>
        </is>
      </c>
      <c r="N4188" s="12" t="n">
        <v>1</v>
      </c>
      <c r="O4188" s="12" t="n">
        <v>1</v>
      </c>
      <c r="P4188" s="12" t="n">
        <v>480</v>
      </c>
      <c r="Q4188" s="12" t="n">
        <v>4</v>
      </c>
      <c r="R4188" s="12" t="n">
        <v>6</v>
      </c>
      <c r="S4188" s="12" t="inlineStr">
        <is>
          <t>Buried</t>
        </is>
      </c>
      <c r="T4188" s="16" t="n">
        <v>900</v>
      </c>
      <c r="U4188" s="16" t="n">
        <v>30</v>
      </c>
      <c r="V4188" s="16">
        <f>ROUNDUP((T4188+U4188+2*'Read Me'!$B$13)*(1+'Read Me'!$B$12),-1)</f>
        <v/>
      </c>
      <c r="W4188" s="16">
        <f>V4188*N4188*O4188</f>
        <v/>
      </c>
      <c r="X4188" s="12">
        <f>IF(LEFT(I4188,2)="MV",2*N4188*IF(L4188="1/C",O4188,1),0)</f>
        <v/>
      </c>
      <c r="Y4188" s="12">
        <f>IF(OR(LEFT(K4188,4)="LVAX",LEFT(K4188,6)="MV15AX",LEFT(K4188,4)="CTAX",LEFT(K4188,2)="W|"),2*N4188*O4188,0)</f>
        <v/>
      </c>
      <c r="Z4188" s="12" t="inlineStr">
        <is>
          <t>pole to pole, buried</t>
        </is>
      </c>
      <c r="AA4188" s="12">
        <f>N4188*O4188</f>
        <v/>
      </c>
    </row>
    <row r="4189">
      <c r="A4189" s="12" t="inlineStr">
        <is>
          <t>H-P-0070</t>
        </is>
      </c>
      <c r="B4189" s="12" t="inlineStr">
        <is>
          <t>H</t>
        </is>
      </c>
      <c r="C4189" s="12" t="inlineStr">
        <is>
          <t>BESS</t>
        </is>
      </c>
      <c r="D4189" s="12" t="inlineStr">
        <is>
          <t>Yard lighting circuit 2 (10 floodlights)</t>
        </is>
      </c>
      <c r="E4189" s="12" t="inlineStr"/>
      <c r="F4189" s="12" t="inlineStr">
        <is>
          <t>BESS auxiliary transformer</t>
        </is>
      </c>
      <c r="G4189" s="12" t="inlineStr"/>
      <c r="H4189" s="12" t="inlineStr">
        <is>
          <t>BESS yard: surfacing, fence, gate, signage, lighting</t>
        </is>
      </c>
      <c r="I4189" s="12" t="inlineStr">
        <is>
          <t>LV 600 V</t>
        </is>
      </c>
      <c r="J4189" s="12" t="inlineStr">
        <is>
          <t>Type TC-ER 600 V 3/C Cu XHHW-2 + ground, PVC jacket</t>
        </is>
      </c>
      <c r="K4189" s="12" t="inlineStr">
        <is>
          <t>LV|3/C+G|8</t>
        </is>
      </c>
      <c r="L4189" s="12" t="inlineStr">
        <is>
          <t>3/C+G</t>
        </is>
      </c>
      <c r="M4189" s="12" t="inlineStr">
        <is>
          <t>8</t>
        </is>
      </c>
      <c r="N4189" s="12" t="n">
        <v>1</v>
      </c>
      <c r="O4189" s="12" t="n">
        <v>1</v>
      </c>
      <c r="P4189" s="12" t="n">
        <v>480</v>
      </c>
      <c r="Q4189" s="12" t="n">
        <v>4</v>
      </c>
      <c r="R4189" s="12" t="n">
        <v>6</v>
      </c>
      <c r="S4189" s="12" t="inlineStr">
        <is>
          <t>Buried</t>
        </is>
      </c>
      <c r="T4189" s="16" t="n">
        <v>900</v>
      </c>
      <c r="U4189" s="16" t="n">
        <v>30</v>
      </c>
      <c r="V4189" s="16">
        <f>ROUNDUP((T4189+U4189+2*'Read Me'!$B$13)*(1+'Read Me'!$B$12),-1)</f>
        <v/>
      </c>
      <c r="W4189" s="16">
        <f>V4189*N4189*O4189</f>
        <v/>
      </c>
      <c r="X4189" s="12">
        <f>IF(LEFT(I4189,2)="MV",2*N4189*IF(L4189="1/C",O4189,1),0)</f>
        <v/>
      </c>
      <c r="Y4189" s="12">
        <f>IF(OR(LEFT(K4189,4)="LVAX",LEFT(K4189,6)="MV15AX",LEFT(K4189,4)="CTAX",LEFT(K4189,2)="W|"),2*N4189*O4189,0)</f>
        <v/>
      </c>
      <c r="Z4189" s="12" t="inlineStr">
        <is>
          <t>pole to pole, buried</t>
        </is>
      </c>
      <c r="AA4189" s="12">
        <f>N4189*O4189</f>
        <v/>
      </c>
    </row>
    <row r="4190">
      <c r="A4190" s="12" t="inlineStr">
        <is>
          <t>H-P-0071</t>
        </is>
      </c>
      <c r="B4190" s="12" t="inlineStr">
        <is>
          <t>H</t>
        </is>
      </c>
      <c r="C4190" s="12" t="inlineStr">
        <is>
          <t>BESS</t>
        </is>
      </c>
      <c r="D4190" s="12" t="inlineStr">
        <is>
          <t>Yard lighting circuit 3 (4 floodlights)</t>
        </is>
      </c>
      <c r="E4190" s="12" t="inlineStr"/>
      <c r="F4190" s="12" t="inlineStr">
        <is>
          <t>BESS auxiliary transformer</t>
        </is>
      </c>
      <c r="G4190" s="12" t="inlineStr"/>
      <c r="H4190" s="12" t="inlineStr">
        <is>
          <t>BESS yard: surfacing, fence, gate, signage, lighting</t>
        </is>
      </c>
      <c r="I4190" s="12" t="inlineStr">
        <is>
          <t>LV 600 V</t>
        </is>
      </c>
      <c r="J4190" s="12" t="inlineStr">
        <is>
          <t>Type TC-ER 600 V 3/C Cu XHHW-2 + ground, PVC jacket</t>
        </is>
      </c>
      <c r="K4190" s="12" t="inlineStr">
        <is>
          <t>LV|3/C+G|8</t>
        </is>
      </c>
      <c r="L4190" s="12" t="inlineStr">
        <is>
          <t>3/C+G</t>
        </is>
      </c>
      <c r="M4190" s="12" t="inlineStr">
        <is>
          <t>8</t>
        </is>
      </c>
      <c r="N4190" s="12" t="n">
        <v>1</v>
      </c>
      <c r="O4190" s="12" t="n">
        <v>1</v>
      </c>
      <c r="P4190" s="12" t="n">
        <v>480</v>
      </c>
      <c r="Q4190" s="12" t="n">
        <v>4</v>
      </c>
      <c r="R4190" s="12" t="n">
        <v>6</v>
      </c>
      <c r="S4190" s="12" t="inlineStr">
        <is>
          <t>Buried</t>
        </is>
      </c>
      <c r="T4190" s="16" t="n">
        <v>900</v>
      </c>
      <c r="U4190" s="16" t="n">
        <v>30</v>
      </c>
      <c r="V4190" s="16">
        <f>ROUNDUP((T4190+U4190+2*'Read Me'!$B$13)*(1+'Read Me'!$B$12),-1)</f>
        <v/>
      </c>
      <c r="W4190" s="16">
        <f>V4190*N4190*O4190</f>
        <v/>
      </c>
      <c r="X4190" s="12">
        <f>IF(LEFT(I4190,2)="MV",2*N4190*IF(L4190="1/C",O4190,1),0)</f>
        <v/>
      </c>
      <c r="Y4190" s="12">
        <f>IF(OR(LEFT(K4190,4)="LVAX",LEFT(K4190,6)="MV15AX",LEFT(K4190,4)="CTAX",LEFT(K4190,2)="W|"),2*N4190*O4190,0)</f>
        <v/>
      </c>
      <c r="Z4190" s="12" t="inlineStr">
        <is>
          <t>pole to pole, buried</t>
        </is>
      </c>
      <c r="AA4190" s="12">
        <f>N4190*O4190</f>
        <v/>
      </c>
    </row>
    <row r="4191">
      <c r="A4191" s="12" t="inlineStr">
        <is>
          <t>H-MV-0001</t>
        </is>
      </c>
      <c r="B4191" s="12" t="inlineStr">
        <is>
          <t>H</t>
        </is>
      </c>
      <c r="C4191" s="12" t="inlineStr">
        <is>
          <t>BESS</t>
        </is>
      </c>
      <c r="D4191" s="12" t="inlineStr">
        <is>
          <t>34.5 kV collection loop 1</t>
        </is>
      </c>
      <c r="E4191" s="12" t="inlineStr"/>
      <c r="F4191" s="12" t="inlineStr">
        <is>
          <t>BESS PCS / MV skid</t>
        </is>
      </c>
      <c r="G4191" s="12" t="inlineStr"/>
      <c r="H4191" s="12" t="inlineStr">
        <is>
          <t>34.5 kV collector e-house (arc-resistant)</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556</v>
      </c>
      <c r="U4191" s="16" t="n">
        <v>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H-MV-0002</t>
        </is>
      </c>
      <c r="B4192" s="12" t="inlineStr">
        <is>
          <t>H</t>
        </is>
      </c>
      <c r="C4192" s="12" t="inlineStr">
        <is>
          <t>BESS</t>
        </is>
      </c>
      <c r="D4192" s="12" t="inlineStr">
        <is>
          <t>34.5 kV collection loop 2</t>
        </is>
      </c>
      <c r="E4192" s="12" t="inlineStr"/>
      <c r="F4192" s="12" t="inlineStr">
        <is>
          <t>BESS PCS / MV skid</t>
        </is>
      </c>
      <c r="G4192" s="12" t="inlineStr"/>
      <c r="H4192" s="12" t="inlineStr">
        <is>
          <t>34.5 kV collector e-house (arc-resistant)</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Duct bank</t>
        </is>
      </c>
      <c r="T4192" s="16" t="n">
        <v>436</v>
      </c>
      <c r="U4192" s="16" t="n">
        <v>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H-MV-0003</t>
        </is>
      </c>
      <c r="B4193" s="12" t="inlineStr">
        <is>
          <t>H</t>
        </is>
      </c>
      <c r="C4193" s="12" t="inlineStr">
        <is>
          <t>BESS</t>
        </is>
      </c>
      <c r="D4193" s="12" t="inlineStr">
        <is>
          <t>34.5 kV collection loop 3</t>
        </is>
      </c>
      <c r="E4193" s="12" t="inlineStr"/>
      <c r="F4193" s="12" t="inlineStr">
        <is>
          <t>BESS PCS / MV skid</t>
        </is>
      </c>
      <c r="G4193" s="12" t="inlineStr"/>
      <c r="H4193" s="12" t="inlineStr">
        <is>
          <t>34.5 kV collector e-house (arc-resistant)</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Duct bank</t>
        </is>
      </c>
      <c r="T4193" s="16" t="n">
        <v>350</v>
      </c>
      <c r="U4193" s="16" t="n">
        <v>42</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H-MV-0004</t>
        </is>
      </c>
      <c r="B4194" s="12" t="inlineStr">
        <is>
          <t>H</t>
        </is>
      </c>
      <c r="C4194" s="12" t="inlineStr">
        <is>
          <t>BESS</t>
        </is>
      </c>
      <c r="D4194" s="12" t="inlineStr">
        <is>
          <t>34.5 kV collection loop 1</t>
        </is>
      </c>
      <c r="E4194" s="12" t="inlineStr"/>
      <c r="F4194" s="12" t="inlineStr">
        <is>
          <t>34.5 kV collector e-house (arc-resistant)</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Duct bank</t>
        </is>
      </c>
      <c r="T4194" s="16" t="n">
        <v>254</v>
      </c>
      <c r="U4194" s="16" t="n">
        <v>103</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H-MV-0005</t>
        </is>
      </c>
      <c r="B4195" s="12" t="inlineStr">
        <is>
          <t>H</t>
        </is>
      </c>
      <c r="C4195" s="12" t="inlineStr">
        <is>
          <t>BESS</t>
        </is>
      </c>
      <c r="D4195" s="12" t="inlineStr">
        <is>
          <t>34.5 kV collection loop 1</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232</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H-MV-0006</t>
        </is>
      </c>
      <c r="B4196" s="12" t="inlineStr">
        <is>
          <t>H</t>
        </is>
      </c>
      <c r="C4196" s="12" t="inlineStr">
        <is>
          <t>BESS</t>
        </is>
      </c>
      <c r="D4196" s="12" t="inlineStr">
        <is>
          <t>34.5 kV collection loop 1</t>
        </is>
      </c>
      <c r="E4196" s="12" t="inlineStr"/>
      <c r="F4196" s="12" t="inlineStr">
        <is>
          <t>BESS PCS / MV skid</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Tray</t>
        </is>
      </c>
      <c r="T4196" s="16" t="n">
        <v>0</v>
      </c>
      <c r="U4196" s="16" t="n">
        <v>348</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H-MV-0007</t>
        </is>
      </c>
      <c r="B4197" s="12" t="inlineStr">
        <is>
          <t>H</t>
        </is>
      </c>
      <c r="C4197" s="12" t="inlineStr">
        <is>
          <t>BESS</t>
        </is>
      </c>
      <c r="D4197" s="12" t="inlineStr">
        <is>
          <t>34.5 kV collection loop 1</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208</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H-MV-0008</t>
        </is>
      </c>
      <c r="B4198" s="12" t="inlineStr">
        <is>
          <t>H</t>
        </is>
      </c>
      <c r="C4198" s="12" t="inlineStr">
        <is>
          <t>BESS</t>
        </is>
      </c>
      <c r="D4198" s="12" t="inlineStr">
        <is>
          <t>34.5 kV collection loop 1</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Tray</t>
        </is>
      </c>
      <c r="T4198" s="16" t="n">
        <v>0</v>
      </c>
      <c r="U4198" s="16" t="n">
        <v>96</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H-MV-0009</t>
        </is>
      </c>
      <c r="B4199" s="12" t="inlineStr">
        <is>
          <t>H</t>
        </is>
      </c>
      <c r="C4199" s="12" t="inlineStr">
        <is>
          <t>BESS</t>
        </is>
      </c>
      <c r="D4199" s="12" t="inlineStr">
        <is>
          <t>34.5 kV collection loop 2</t>
        </is>
      </c>
      <c r="E4199" s="12" t="inlineStr"/>
      <c r="F4199" s="12" t="inlineStr">
        <is>
          <t>34.5 kV collector e-house (arc-resistant)</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Duct bank</t>
        </is>
      </c>
      <c r="T4199" s="16" t="n">
        <v>35</v>
      </c>
      <c r="U4199" s="16" t="n">
        <v>185</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H-MV-0010</t>
        </is>
      </c>
      <c r="B4200" s="12" t="inlineStr">
        <is>
          <t>H</t>
        </is>
      </c>
      <c r="C4200" s="12" t="inlineStr">
        <is>
          <t>BESS</t>
        </is>
      </c>
      <c r="D4200" s="12" t="inlineStr">
        <is>
          <t>34.5 kV collection loop 2</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272</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H-MV-0011</t>
        </is>
      </c>
      <c r="B4201" s="12" t="inlineStr">
        <is>
          <t>H</t>
        </is>
      </c>
      <c r="C4201" s="12" t="inlineStr">
        <is>
          <t>BESS</t>
        </is>
      </c>
      <c r="D4201" s="12" t="inlineStr">
        <is>
          <t>34.5 kV collection loop 2</t>
        </is>
      </c>
      <c r="E4201" s="12" t="inlineStr"/>
      <c r="F4201" s="12" t="inlineStr">
        <is>
          <t>BESS PCS / MV skid</t>
        </is>
      </c>
      <c r="G4201" s="12" t="inlineStr"/>
      <c r="H4201" s="12" t="inlineStr">
        <is>
          <t>BESS PCS / MV skid</t>
        </is>
      </c>
      <c r="I4201" s="12" t="inlineStr">
        <is>
          <t>MV 35 kV</t>
        </is>
      </c>
      <c r="J4201" s="12" t="inlineStr">
        <is>
          <t>MV-105 35 kV 1/C Al, EPR 133%, 1/3 concentric neutral, LLDPE jacket</t>
        </is>
      </c>
      <c r="K4201" s="12" t="inlineStr">
        <is>
          <t>MV35|1/C|350</t>
        </is>
      </c>
      <c r="L4201" s="12" t="inlineStr">
        <is>
          <t>1/C</t>
        </is>
      </c>
      <c r="M4201" s="12" t="inlineStr">
        <is>
          <t>350 kcmil</t>
        </is>
      </c>
      <c r="N4201" s="12" t="n">
        <v>2</v>
      </c>
      <c r="O4201" s="12" t="n">
        <v>3</v>
      </c>
      <c r="P4201" s="12" t="n">
        <v>34500</v>
      </c>
      <c r="Q4201" s="12" t="n">
        <v>25000</v>
      </c>
      <c r="R4201" s="12" t="n">
        <v>418</v>
      </c>
      <c r="S4201" s="12" t="inlineStr">
        <is>
          <t>Tray</t>
        </is>
      </c>
      <c r="T4201" s="16" t="n">
        <v>0</v>
      </c>
      <c r="U4201" s="16" t="n">
        <v>388</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H-MV-0012</t>
        </is>
      </c>
      <c r="B4202" s="12" t="inlineStr">
        <is>
          <t>H</t>
        </is>
      </c>
      <c r="C4202" s="12" t="inlineStr">
        <is>
          <t>BESS</t>
        </is>
      </c>
      <c r="D4202" s="12" t="inlineStr">
        <is>
          <t>34.5 kV collection loop 2</t>
        </is>
      </c>
      <c r="E4202" s="12" t="inlineStr"/>
      <c r="F4202" s="12" t="inlineStr">
        <is>
          <t>BESS PCS / MV skid</t>
        </is>
      </c>
      <c r="G4202" s="12" t="inlineStr"/>
      <c r="H4202" s="12" t="inlineStr">
        <is>
          <t>BESS PCS / MV skid</t>
        </is>
      </c>
      <c r="I4202" s="12" t="inlineStr">
        <is>
          <t>MV 35 kV</t>
        </is>
      </c>
      <c r="J4202" s="12" t="inlineStr">
        <is>
          <t>MV-105 35 kV 1/C Al, EPR 133%, 1/3 concentric neutral, LLDPE jacket</t>
        </is>
      </c>
      <c r="K4202" s="12" t="inlineStr">
        <is>
          <t>MV35|1/C|350</t>
        </is>
      </c>
      <c r="L4202" s="12" t="inlineStr">
        <is>
          <t>1/C</t>
        </is>
      </c>
      <c r="M4202" s="12" t="inlineStr">
        <is>
          <t>350 kcmil</t>
        </is>
      </c>
      <c r="N4202" s="12" t="n">
        <v>2</v>
      </c>
      <c r="O4202" s="12" t="n">
        <v>3</v>
      </c>
      <c r="P4202" s="12" t="n">
        <v>34500</v>
      </c>
      <c r="Q4202" s="12" t="n">
        <v>25000</v>
      </c>
      <c r="R4202" s="12" t="n">
        <v>418</v>
      </c>
      <c r="S4202" s="12" t="inlineStr">
        <is>
          <t>Tray</t>
        </is>
      </c>
      <c r="T4202" s="16" t="n">
        <v>0</v>
      </c>
      <c r="U4202" s="16" t="n">
        <v>208</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H-MV-0013</t>
        </is>
      </c>
      <c r="B4203" s="12" t="inlineStr">
        <is>
          <t>H</t>
        </is>
      </c>
      <c r="C4203" s="12" t="inlineStr">
        <is>
          <t>BESS</t>
        </is>
      </c>
      <c r="D4203" s="12" t="inlineStr">
        <is>
          <t>34.5 kV collection loop 2</t>
        </is>
      </c>
      <c r="E4203" s="12" t="inlineStr"/>
      <c r="F4203" s="12" t="inlineStr">
        <is>
          <t>BESS PCS / MV skid</t>
        </is>
      </c>
      <c r="G4203" s="12" t="inlineStr"/>
      <c r="H4203" s="12" t="inlineStr">
        <is>
          <t>BESS PCS / MV skid</t>
        </is>
      </c>
      <c r="I4203" s="12" t="inlineStr">
        <is>
          <t>MV 35 kV</t>
        </is>
      </c>
      <c r="J4203" s="12" t="inlineStr">
        <is>
          <t>MV-105 35 kV 1/C Al, EPR 133%, 1/3 concentric neutral, LLDPE jacket</t>
        </is>
      </c>
      <c r="K4203" s="12" t="inlineStr">
        <is>
          <t>MV35|1/C|350</t>
        </is>
      </c>
      <c r="L4203" s="12" t="inlineStr">
        <is>
          <t>1/C</t>
        </is>
      </c>
      <c r="M4203" s="12" t="inlineStr">
        <is>
          <t>350 kcmil</t>
        </is>
      </c>
      <c r="N4203" s="12" t="n">
        <v>2</v>
      </c>
      <c r="O4203" s="12" t="n">
        <v>3</v>
      </c>
      <c r="P4203" s="12" t="n">
        <v>34500</v>
      </c>
      <c r="Q4203" s="12" t="n">
        <v>25000</v>
      </c>
      <c r="R4203" s="12" t="n">
        <v>418</v>
      </c>
      <c r="S4203" s="12" t="inlineStr">
        <is>
          <t>Tray</t>
        </is>
      </c>
      <c r="T4203" s="16" t="n">
        <v>0</v>
      </c>
      <c r="U4203" s="16" t="n">
        <v>96</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H-MV-0014</t>
        </is>
      </c>
      <c r="B4204" s="12" t="inlineStr">
        <is>
          <t>H</t>
        </is>
      </c>
      <c r="C4204" s="12" t="inlineStr">
        <is>
          <t>BESS</t>
        </is>
      </c>
      <c r="D4204" s="12" t="inlineStr">
        <is>
          <t>34.5 kV collection loop 3</t>
        </is>
      </c>
      <c r="E4204" s="12" t="inlineStr"/>
      <c r="F4204" s="12" t="inlineStr">
        <is>
          <t>34.5 kV collector e-house (arc-resistant)</t>
        </is>
      </c>
      <c r="G4204" s="12" t="inlineStr"/>
      <c r="H4204" s="12" t="inlineStr">
        <is>
          <t>BESS PCS / MV skid</t>
        </is>
      </c>
      <c r="I4204" s="12" t="inlineStr">
        <is>
          <t>MV 35 kV</t>
        </is>
      </c>
      <c r="J4204" s="12" t="inlineStr">
        <is>
          <t>MV-105 35 kV 1/C Al, EPR 133%, 1/3 concentric neutral, LLDPE jacket</t>
        </is>
      </c>
      <c r="K4204" s="12" t="inlineStr">
        <is>
          <t>MV35|1/C|350</t>
        </is>
      </c>
      <c r="L4204" s="12" t="inlineStr">
        <is>
          <t>1/C</t>
        </is>
      </c>
      <c r="M4204" s="12" t="inlineStr">
        <is>
          <t>350 kcmil</t>
        </is>
      </c>
      <c r="N4204" s="12" t="n">
        <v>2</v>
      </c>
      <c r="O4204" s="12" t="n">
        <v>3</v>
      </c>
      <c r="P4204" s="12" t="n">
        <v>34500</v>
      </c>
      <c r="Q4204" s="12" t="n">
        <v>25000</v>
      </c>
      <c r="R4204" s="12" t="n">
        <v>418</v>
      </c>
      <c r="S4204" s="12" t="inlineStr">
        <is>
          <t>Duct bank</t>
        </is>
      </c>
      <c r="T4204" s="16" t="n">
        <v>24</v>
      </c>
      <c r="U4204" s="16" t="n">
        <v>123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H-MV-0015</t>
        </is>
      </c>
      <c r="B4205" s="12" t="inlineStr">
        <is>
          <t>H</t>
        </is>
      </c>
      <c r="C4205" s="12" t="inlineStr">
        <is>
          <t>BESS</t>
        </is>
      </c>
      <c r="D4205" s="12" t="inlineStr">
        <is>
          <t>34.5 kV collection loop 3</t>
        </is>
      </c>
      <c r="E4205" s="12" t="inlineStr"/>
      <c r="F4205" s="12" t="inlineStr">
        <is>
          <t>BESS PCS / MV skid</t>
        </is>
      </c>
      <c r="G4205" s="12" t="inlineStr"/>
      <c r="H4205" s="12" t="inlineStr">
        <is>
          <t>BESS PCS / MV skid</t>
        </is>
      </c>
      <c r="I4205" s="12" t="inlineStr">
        <is>
          <t>MV 35 kV</t>
        </is>
      </c>
      <c r="J4205" s="12" t="inlineStr">
        <is>
          <t>MV-105 35 kV 1/C Al, EPR 133%, 1/3 concentric neutral, LLDPE jacket</t>
        </is>
      </c>
      <c r="K4205" s="12" t="inlineStr">
        <is>
          <t>MV35|1/C|350</t>
        </is>
      </c>
      <c r="L4205" s="12" t="inlineStr">
        <is>
          <t>1/C</t>
        </is>
      </c>
      <c r="M4205" s="12" t="inlineStr">
        <is>
          <t>350 kcmil</t>
        </is>
      </c>
      <c r="N4205" s="12" t="n">
        <v>2</v>
      </c>
      <c r="O4205" s="12" t="n">
        <v>3</v>
      </c>
      <c r="P4205" s="12" t="n">
        <v>34500</v>
      </c>
      <c r="Q4205" s="12" t="n">
        <v>25000</v>
      </c>
      <c r="R4205" s="12" t="n">
        <v>418</v>
      </c>
      <c r="S4205" s="12" t="inlineStr">
        <is>
          <t>Tray</t>
        </is>
      </c>
      <c r="T4205" s="16" t="n">
        <v>0</v>
      </c>
      <c r="U4205" s="16" t="n">
        <v>240</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H-MV-0016</t>
        </is>
      </c>
      <c r="B4206" s="12" t="inlineStr">
        <is>
          <t>H</t>
        </is>
      </c>
      <c r="C4206" s="12" t="inlineStr">
        <is>
          <t>BESS</t>
        </is>
      </c>
      <c r="D4206" s="12" t="inlineStr">
        <is>
          <t>34.5 kV collection loop 3</t>
        </is>
      </c>
      <c r="E4206" s="12" t="inlineStr"/>
      <c r="F4206" s="12" t="inlineStr">
        <is>
          <t>BESS PCS / MV skid</t>
        </is>
      </c>
      <c r="G4206" s="12" t="inlineStr"/>
      <c r="H4206" s="12" t="inlineStr">
        <is>
          <t>BESS PCS / MV skid</t>
        </is>
      </c>
      <c r="I4206" s="12" t="inlineStr">
        <is>
          <t>MV 35 kV</t>
        </is>
      </c>
      <c r="J4206" s="12" t="inlineStr">
        <is>
          <t>MV-105 35 kV 1/C Al, EPR 133%, 1/3 concentric neutral, LLDPE jacket</t>
        </is>
      </c>
      <c r="K4206" s="12" t="inlineStr">
        <is>
          <t>MV35|1/C|350</t>
        </is>
      </c>
      <c r="L4206" s="12" t="inlineStr">
        <is>
          <t>1/C</t>
        </is>
      </c>
      <c r="M4206" s="12" t="inlineStr">
        <is>
          <t>350 kcmil</t>
        </is>
      </c>
      <c r="N4206" s="12" t="n">
        <v>2</v>
      </c>
      <c r="O4206" s="12" t="n">
        <v>3</v>
      </c>
      <c r="P4206" s="12" t="n">
        <v>34500</v>
      </c>
      <c r="Q4206" s="12" t="n">
        <v>25000</v>
      </c>
      <c r="R4206" s="12" t="n">
        <v>418</v>
      </c>
      <c r="S4206" s="12" t="inlineStr">
        <is>
          <t>Duct bank</t>
        </is>
      </c>
      <c r="T4206" s="16" t="n">
        <v>306</v>
      </c>
      <c r="U4206" s="16" t="n">
        <v>282</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H-MV-0017</t>
        </is>
      </c>
      <c r="B4207" s="12" t="inlineStr">
        <is>
          <t>H</t>
        </is>
      </c>
      <c r="C4207" s="12" t="inlineStr">
        <is>
          <t>BESS</t>
        </is>
      </c>
      <c r="D4207" s="12" t="inlineStr">
        <is>
          <t>34.5 kV collection loop 3</t>
        </is>
      </c>
      <c r="E4207" s="12" t="inlineStr"/>
      <c r="F4207" s="12" t="inlineStr">
        <is>
          <t>BESS PCS / MV skid</t>
        </is>
      </c>
      <c r="G4207" s="12" t="inlineStr"/>
      <c r="H4207" s="12" t="inlineStr">
        <is>
          <t>BESS PCS / MV skid</t>
        </is>
      </c>
      <c r="I4207" s="12" t="inlineStr">
        <is>
          <t>MV 35 kV</t>
        </is>
      </c>
      <c r="J4207" s="12" t="inlineStr">
        <is>
          <t>MV-105 35 kV 1/C Al, EPR 133%, 1/3 concentric neutral, LLDPE jacket</t>
        </is>
      </c>
      <c r="K4207" s="12" t="inlineStr">
        <is>
          <t>MV35|1/C|350</t>
        </is>
      </c>
      <c r="L4207" s="12" t="inlineStr">
        <is>
          <t>1/C</t>
        </is>
      </c>
      <c r="M4207" s="12" t="inlineStr">
        <is>
          <t>350 kcmil</t>
        </is>
      </c>
      <c r="N4207" s="12" t="n">
        <v>2</v>
      </c>
      <c r="O4207" s="12" t="n">
        <v>3</v>
      </c>
      <c r="P4207" s="12" t="n">
        <v>34500</v>
      </c>
      <c r="Q4207" s="12" t="n">
        <v>25000</v>
      </c>
      <c r="R4207" s="12" t="n">
        <v>418</v>
      </c>
      <c r="S4207" s="12" t="inlineStr">
        <is>
          <t>Tray</t>
        </is>
      </c>
      <c r="T4207" s="16" t="n">
        <v>0</v>
      </c>
      <c r="U4207" s="16" t="n">
        <v>208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H-MV-0018</t>
        </is>
      </c>
      <c r="B4208" s="12" t="inlineStr">
        <is>
          <t>H</t>
        </is>
      </c>
      <c r="C4208" s="12" t="inlineStr">
        <is>
          <t>BESS</t>
        </is>
      </c>
      <c r="D4208" s="12" t="inlineStr">
        <is>
          <t>34.5 kV collection loop 3</t>
        </is>
      </c>
      <c r="E4208" s="12" t="inlineStr"/>
      <c r="F4208" s="12" t="inlineStr">
        <is>
          <t>BESS PCS / MV skid</t>
        </is>
      </c>
      <c r="G4208" s="12" t="inlineStr"/>
      <c r="H4208" s="12" t="inlineStr">
        <is>
          <t>BESS PCS / MV skid</t>
        </is>
      </c>
      <c r="I4208" s="12" t="inlineStr">
        <is>
          <t>MV 35 kV</t>
        </is>
      </c>
      <c r="J4208" s="12" t="inlineStr">
        <is>
          <t>MV-105 35 kV 1/C Al, EPR 133%, 1/3 concentric neutral, LLDPE jacket</t>
        </is>
      </c>
      <c r="K4208" s="12" t="inlineStr">
        <is>
          <t>MV35|1/C|350</t>
        </is>
      </c>
      <c r="L4208" s="12" t="inlineStr">
        <is>
          <t>1/C</t>
        </is>
      </c>
      <c r="M4208" s="12" t="inlineStr">
        <is>
          <t>350 kcmil</t>
        </is>
      </c>
      <c r="N4208" s="12" t="n">
        <v>2</v>
      </c>
      <c r="O4208" s="12" t="n">
        <v>3</v>
      </c>
      <c r="P4208" s="12" t="n">
        <v>34500</v>
      </c>
      <c r="Q4208" s="12" t="n">
        <v>25000</v>
      </c>
      <c r="R4208" s="12" t="n">
        <v>418</v>
      </c>
      <c r="S4208" s="12" t="inlineStr">
        <is>
          <t>Tray</t>
        </is>
      </c>
      <c r="T4208" s="16" t="n">
        <v>0</v>
      </c>
      <c r="U4208" s="16" t="n">
        <v>96</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H-MV-0019</t>
        </is>
      </c>
      <c r="B4209" s="12" t="inlineStr">
        <is>
          <t>H</t>
        </is>
      </c>
      <c r="C4209" s="12" t="inlineStr">
        <is>
          <t>BESS</t>
        </is>
      </c>
      <c r="D4209" s="12" t="inlineStr">
        <is>
          <t>BESS MPT 34.5 kV side</t>
        </is>
      </c>
      <c r="E4209" s="12" t="inlineStr"/>
      <c r="F4209" s="12" t="inlineStr">
        <is>
          <t>34.5 kV collector e-house (arc-resistant)</t>
        </is>
      </c>
      <c r="G4209" s="12" t="inlineStr">
        <is>
          <t>BESS MPT</t>
        </is>
      </c>
      <c r="H4209" s="12" t="inlineStr">
        <is>
          <t>BESS main power transformer 34.5/230 kV (to D4 upper)</t>
        </is>
      </c>
      <c r="I4209" s="12" t="inlineStr">
        <is>
          <t>MV 35 kV</t>
        </is>
      </c>
      <c r="J4209" s="12" t="inlineStr">
        <is>
          <t>MV-105 35 kV 1/C Al, EPR 133%, 1/3 concentric neutral, LLDPE jacket</t>
        </is>
      </c>
      <c r="K4209" s="12" t="inlineStr">
        <is>
          <t>MV35|1/C|750</t>
        </is>
      </c>
      <c r="L4209" s="12" t="inlineStr">
        <is>
          <t>1/C</t>
        </is>
      </c>
      <c r="M4209" s="12" t="inlineStr">
        <is>
          <t>750 kcmil</t>
        </is>
      </c>
      <c r="N4209" s="12" t="n">
        <v>5</v>
      </c>
      <c r="O4209" s="12" t="n">
        <v>3</v>
      </c>
      <c r="P4209" s="12" t="n">
        <v>34500</v>
      </c>
      <c r="Q4209" s="12" t="n">
        <v>100000</v>
      </c>
      <c r="R4209" s="12" t="n">
        <v>1674</v>
      </c>
      <c r="S4209" s="12" t="inlineStr">
        <is>
          <t>Duct bank</t>
        </is>
      </c>
      <c r="T4209" s="16" t="n">
        <v>35</v>
      </c>
      <c r="U4209" s="16" t="n">
        <v>32</v>
      </c>
      <c r="V4209" s="16">
        <f>ROUNDUP((T4209+U4209+2*'Read Me'!$B$13)*(1+'Read Me'!$B$12),-1)</f>
        <v/>
      </c>
      <c r="W4209" s="16">
        <f>V4209*N4209*O4209</f>
        <v/>
      </c>
      <c r="X4209" s="12">
        <f>IF(LEFT(I4209,2)="MV",2*N4209*IF(L4209="1/C",O4209,1),0)</f>
        <v/>
      </c>
      <c r="Y4209" s="12">
        <f>IF(OR(LEFT(K4209,4)="LVAX",LEFT(K4209,6)="MV15AX",LEFT(K4209,4)="CTAX",LEFT(K4209,2)="W|"),2*N4209*O4209,0)</f>
        <v/>
      </c>
      <c r="Z4209" s="12" t="inlineStr">
        <is>
          <t>100 MVA (typ.)</t>
        </is>
      </c>
      <c r="AA4209" s="12">
        <f>N4209*O4209</f>
        <v/>
      </c>
    </row>
    <row r="4210">
      <c r="A4210" s="12" t="inlineStr">
        <is>
          <t>H-MV-0020</t>
        </is>
      </c>
      <c r="B4210" s="12" t="inlineStr">
        <is>
          <t>H</t>
        </is>
      </c>
      <c r="C4210" s="12" t="inlineStr">
        <is>
          <t>BESS</t>
        </is>
      </c>
      <c r="D4210" s="12" t="inlineStr">
        <is>
          <t>Grounding transformer connection (34.5 kV)</t>
        </is>
      </c>
      <c r="E4210" s="12" t="inlineStr"/>
      <c r="F4210" s="12" t="inlineStr">
        <is>
          <t>34.5 kV collector e-house (arc-resistant)</t>
        </is>
      </c>
      <c r="G4210" s="12" t="inlineStr"/>
      <c r="H4210" s="12" t="inlineStr">
        <is>
          <t>CONDITIONAL: grounding transformer</t>
        </is>
      </c>
      <c r="I4210" s="12" t="inlineStr">
        <is>
          <t>MV 35 kV</t>
        </is>
      </c>
      <c r="J4210" s="12" t="inlineStr">
        <is>
          <t>MV-105 35 kV 1/C Al, EPR 133%, 1/3 concentric neutral, LLDPE jacket</t>
        </is>
      </c>
      <c r="K4210" s="12" t="inlineStr">
        <is>
          <t>MV35|1/C|2</t>
        </is>
      </c>
      <c r="L4210" s="12" t="inlineStr">
        <is>
          <t>1/C</t>
        </is>
      </c>
      <c r="M4210" s="12" t="inlineStr">
        <is>
          <t>2</t>
        </is>
      </c>
      <c r="N4210" s="12" t="n">
        <v>1</v>
      </c>
      <c r="O4210" s="12" t="n">
        <v>3</v>
      </c>
      <c r="P4210" s="12" t="n">
        <v>34500</v>
      </c>
      <c r="Q4210" s="12" t="n">
        <v>2000</v>
      </c>
      <c r="R4210" s="12" t="n">
        <v>33</v>
      </c>
      <c r="S4210" s="12" t="inlineStr">
        <is>
          <t>Duct bank</t>
        </is>
      </c>
      <c r="T4210" s="16" t="n">
        <v>234</v>
      </c>
      <c r="U4210" s="16" t="n">
        <v>87</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I-L-0001</t>
        </is>
      </c>
      <c r="B4211" s="12" t="inlineStr">
        <is>
          <t>I</t>
        </is>
      </c>
      <c r="C4211" s="12" t="inlineStr">
        <is>
          <t>Modular / portable power</t>
        </is>
      </c>
      <c r="D4211" s="12" t="inlineStr">
        <is>
          <t>Lighting, receptacles and small power branch circuits (allowance)</t>
        </is>
      </c>
      <c r="E4211" s="12" t="inlineStr"/>
      <c r="F4211" s="12" t="inlineStr">
        <is>
          <t>Lube oil / starting air / oily water building</t>
        </is>
      </c>
      <c r="G4211" s="12" t="inlineStr"/>
      <c r="H4211" s="12" t="inlineStr">
        <is>
          <t>Lube oil / starting air / oily water building</t>
        </is>
      </c>
      <c r="I4211" s="12" t="inlineStr">
        <is>
          <t>Building wire</t>
        </is>
      </c>
      <c r="J4211" s="12" t="inlineStr">
        <is>
          <t>SIMpull THHN/THWN-2 600 V 1/C Cu (lighting, receptacles, small power)</t>
        </is>
      </c>
      <c r="K4211" s="12" t="inlineStr">
        <is>
          <t>THHN|1/C|12</t>
        </is>
      </c>
      <c r="L4211" s="12" t="inlineStr">
        <is>
          <t>1/C</t>
        </is>
      </c>
      <c r="M4211" s="12" t="inlineStr">
        <is>
          <t>12</t>
        </is>
      </c>
      <c r="N4211" s="12" t="n">
        <v>1</v>
      </c>
      <c r="O4211" s="12" t="n">
        <v>1</v>
      </c>
      <c r="P4211" s="12" t="n">
        <v>277</v>
      </c>
      <c r="Q4211" s="12" t="n"/>
      <c r="R4211" s="12" t="n"/>
      <c r="S4211" s="12" t="inlineStr">
        <is>
          <t>Conduit</t>
        </is>
      </c>
      <c r="T4211" s="16" t="n">
        <v>10560</v>
      </c>
      <c r="U4211" s="16" t="n">
        <v>0</v>
      </c>
      <c r="V4211" s="16">
        <f>ROUNDUP((T4211+U4211+2*'Read Me'!$B$13)*(1+'Read Me'!$B$12),-1)</f>
        <v/>
      </c>
      <c r="W4211" s="16">
        <f>V4211*N4211*O4211</f>
        <v/>
      </c>
      <c r="X4211" s="12">
        <f>IF(LEFT(I4211,2)="MV",2*N4211*IF(L4211="1/C",O4211,1),0)</f>
        <v/>
      </c>
      <c r="Y4211" s="12">
        <f>IF(OR(LEFT(K4211,4)="LVAX",LEFT(K4211,6)="MV15AX",LEFT(K4211,4)="CTAX",LEFT(K4211,2)="W|"),2*N4211*O4211,0)</f>
        <v/>
      </c>
      <c r="Z4211" s="12" t="inlineStr">
        <is>
          <t>allowance: 1.6 ft of conductor per ft2 of floor</t>
        </is>
      </c>
      <c r="AA4211" s="12">
        <f>N4211*O4211</f>
        <v/>
      </c>
    </row>
    <row r="4212">
      <c r="A4212" s="12" t="inlineStr">
        <is>
          <t>I-L-0002</t>
        </is>
      </c>
      <c r="B4212" s="12" t="inlineStr">
        <is>
          <t>I</t>
        </is>
      </c>
      <c r="C4212" s="12" t="inlineStr">
        <is>
          <t>Modular / portable power</t>
        </is>
      </c>
      <c r="D4212" s="12" t="inlineStr">
        <is>
          <t>Lighting, receptacles and small power branch circuits (allowance)</t>
        </is>
      </c>
      <c r="E4212" s="12" t="inlineStr">
        <is>
          <t>MOD-EH</t>
        </is>
      </c>
      <c r="F4212" s="12" t="inlineStr">
        <is>
          <t>MOD-EH: 13.8 kV modular collector e-house</t>
        </is>
      </c>
      <c r="G4212" s="12" t="inlineStr">
        <is>
          <t>MOD-EH</t>
        </is>
      </c>
      <c r="H4212" s="12" t="inlineStr">
        <is>
          <t>MOD-EH: 13.8 kV modular collector e-house</t>
        </is>
      </c>
      <c r="I4212" s="12" t="inlineStr">
        <is>
          <t>Building wire</t>
        </is>
      </c>
      <c r="J4212" s="12" t="inlineStr">
        <is>
          <t>SIMpull THHN/THWN-2 600 V 1/C Cu (lighting, receptacles, small power)</t>
        </is>
      </c>
      <c r="K4212" s="12" t="inlineStr">
        <is>
          <t>THHN|1/C|12</t>
        </is>
      </c>
      <c r="L4212" s="12" t="inlineStr">
        <is>
          <t>1/C</t>
        </is>
      </c>
      <c r="M4212" s="12" t="inlineStr">
        <is>
          <t>12</t>
        </is>
      </c>
      <c r="N4212" s="12" t="n">
        <v>1</v>
      </c>
      <c r="O4212" s="12" t="n">
        <v>1</v>
      </c>
      <c r="P4212" s="12" t="n">
        <v>277</v>
      </c>
      <c r="Q4212" s="12" t="n"/>
      <c r="R4212" s="12" t="n"/>
      <c r="S4212" s="12" t="inlineStr">
        <is>
          <t>Conduit</t>
        </is>
      </c>
      <c r="T4212" s="16" t="n">
        <v>2560</v>
      </c>
      <c r="U4212" s="16" t="n">
        <v>0</v>
      </c>
      <c r="V4212" s="16">
        <f>ROUNDUP((T4212+U4212+2*'Read Me'!$B$13)*(1+'Read Me'!$B$12),-1)</f>
        <v/>
      </c>
      <c r="W4212" s="16">
        <f>V4212*N4212*O4212</f>
        <v/>
      </c>
      <c r="X4212" s="12">
        <f>IF(LEFT(I4212,2)="MV",2*N4212*IF(L4212="1/C",O4212,1),0)</f>
        <v/>
      </c>
      <c r="Y4212" s="12">
        <f>IF(OR(LEFT(K4212,4)="LVAX",LEFT(K4212,6)="MV15AX",LEFT(K4212,4)="CTAX",LEFT(K4212,2)="W|"),2*N4212*O4212,0)</f>
        <v/>
      </c>
      <c r="Z4212" s="12" t="inlineStr">
        <is>
          <t>allowance: 1.6 ft of conductor per ft2 of floor</t>
        </is>
      </c>
      <c r="AA4212" s="12">
        <f>N4212*O4212</f>
        <v/>
      </c>
    </row>
    <row r="4213">
      <c r="A4213" s="12" t="inlineStr">
        <is>
          <t>I-L-0003</t>
        </is>
      </c>
      <c r="B4213" s="12" t="inlineStr">
        <is>
          <t>I</t>
        </is>
      </c>
      <c r="C4213" s="12" t="inlineStr">
        <is>
          <t>Modular / portable power</t>
        </is>
      </c>
      <c r="D4213" s="12" t="inlineStr">
        <is>
          <t>Lighting, receptacles and small power branch circuits (allowance)</t>
        </is>
      </c>
      <c r="E4213" s="12" t="inlineStr"/>
      <c r="F4213" s="12" t="inlineStr">
        <is>
          <t>PCM: power control module</t>
        </is>
      </c>
      <c r="G4213" s="12" t="inlineStr"/>
      <c r="H4213" s="12" t="inlineStr">
        <is>
          <t>PCM: power control module</t>
        </is>
      </c>
      <c r="I4213" s="12" t="inlineStr">
        <is>
          <t>Building wire</t>
        </is>
      </c>
      <c r="J4213" s="12" t="inlineStr">
        <is>
          <t>SIMpull THHN/THWN-2 600 V 1/C Cu (lighting, receptacles, small power)</t>
        </is>
      </c>
      <c r="K4213" s="12" t="inlineStr">
        <is>
          <t>THHN|1/C|12</t>
        </is>
      </c>
      <c r="L4213" s="12" t="inlineStr">
        <is>
          <t>1/C</t>
        </is>
      </c>
      <c r="M4213" s="12" t="inlineStr">
        <is>
          <t>12</t>
        </is>
      </c>
      <c r="N4213" s="12" t="n">
        <v>1</v>
      </c>
      <c r="O4213" s="12" t="n">
        <v>1</v>
      </c>
      <c r="P4213" s="12" t="n">
        <v>277</v>
      </c>
      <c r="Q4213" s="12" t="n"/>
      <c r="R4213" s="12" t="n"/>
      <c r="S4213" s="12" t="inlineStr">
        <is>
          <t>Conduit</t>
        </is>
      </c>
      <c r="T4213" s="16" t="n">
        <v>5120</v>
      </c>
      <c r="U4213" s="16" t="n">
        <v>0</v>
      </c>
      <c r="V4213" s="16">
        <f>ROUNDUP((T4213+U4213+2*'Read Me'!$B$13)*(1+'Read Me'!$B$12),-1)</f>
        <v/>
      </c>
      <c r="W4213" s="16">
        <f>V4213*N4213*O4213</f>
        <v/>
      </c>
      <c r="X4213" s="12">
        <f>IF(LEFT(I4213,2)="MV",2*N4213*IF(L4213="1/C",O4213,1),0)</f>
        <v/>
      </c>
      <c r="Y4213" s="12">
        <f>IF(OR(LEFT(K4213,4)="LVAX",LEFT(K4213,6)="MV15AX",LEFT(K4213,4)="CTAX",LEFT(K4213,2)="W|"),2*N4213*O4213,0)</f>
        <v/>
      </c>
      <c r="Z4213" s="12" t="inlineStr">
        <is>
          <t>allowance: 1.6 ft of conductor per ft2 of floor</t>
        </is>
      </c>
      <c r="AA4213" s="12">
        <f>N4213*O4213</f>
        <v/>
      </c>
    </row>
    <row r="4214">
      <c r="A4214" s="12" t="inlineStr">
        <is>
          <t>I-L-0004</t>
        </is>
      </c>
      <c r="B4214" s="12" t="inlineStr">
        <is>
          <t>I</t>
        </is>
      </c>
      <c r="C4214" s="12" t="inlineStr">
        <is>
          <t>Modular / portable power</t>
        </is>
      </c>
      <c r="D4214" s="12" t="inlineStr">
        <is>
          <t>Lighting, receptacles and small power branch circuits (allowance)</t>
        </is>
      </c>
      <c r="E4214" s="12" t="inlineStr"/>
      <c r="F4214" s="12" t="inlineStr">
        <is>
          <t>RICE CEMS</t>
        </is>
      </c>
      <c r="G4214" s="12" t="inlineStr"/>
      <c r="H4214" s="12" t="inlineStr">
        <is>
          <t>RICE CEMS</t>
        </is>
      </c>
      <c r="I4214" s="12" t="inlineStr">
        <is>
          <t>Building wire</t>
        </is>
      </c>
      <c r="J4214" s="12" t="inlineStr">
        <is>
          <t>SIMpull THHN/THWN-2 600 V 1/C Cu (lighting, receptacles, small power)</t>
        </is>
      </c>
      <c r="K4214" s="12" t="inlineStr">
        <is>
          <t>THHN|1/C|12</t>
        </is>
      </c>
      <c r="L4214" s="12" t="inlineStr">
        <is>
          <t>1/C</t>
        </is>
      </c>
      <c r="M4214" s="12" t="inlineStr">
        <is>
          <t>12</t>
        </is>
      </c>
      <c r="N4214" s="12" t="n">
        <v>1</v>
      </c>
      <c r="O4214" s="12" t="n">
        <v>1</v>
      </c>
      <c r="P4214" s="12" t="n">
        <v>277</v>
      </c>
      <c r="Q4214" s="12" t="n"/>
      <c r="R4214" s="12" t="n"/>
      <c r="S4214" s="12" t="inlineStr">
        <is>
          <t>Conduit</t>
        </is>
      </c>
      <c r="T4214" s="16" t="n">
        <v>256</v>
      </c>
      <c r="U4214" s="16" t="n">
        <v>0</v>
      </c>
      <c r="V4214" s="16">
        <f>ROUNDUP((T4214+U4214+2*'Read Me'!$B$13)*(1+'Read Me'!$B$12),-1)</f>
        <v/>
      </c>
      <c r="W4214" s="16">
        <f>V4214*N4214*O4214</f>
        <v/>
      </c>
      <c r="X4214" s="12">
        <f>IF(LEFT(I4214,2)="MV",2*N4214*IF(L4214="1/C",O4214,1),0)</f>
        <v/>
      </c>
      <c r="Y4214" s="12">
        <f>IF(OR(LEFT(K4214,4)="LVAX",LEFT(K4214,6)="MV15AX",LEFT(K4214,4)="CTAX",LEFT(K4214,2)="W|"),2*N4214*O4214,0)</f>
        <v/>
      </c>
      <c r="Z4214" s="12" t="inlineStr">
        <is>
          <t>allowance: 1.6 ft of conductor per ft2 of floor</t>
        </is>
      </c>
      <c r="AA4214" s="12">
        <f>N4214*O4214</f>
        <v/>
      </c>
    </row>
    <row r="4215">
      <c r="A4215" s="12" t="inlineStr">
        <is>
          <t>I-C-0001</t>
        </is>
      </c>
      <c r="B4215" s="12" t="inlineStr">
        <is>
          <t>I</t>
        </is>
      </c>
      <c r="C4215" s="12" t="inlineStr">
        <is>
          <t>Modular / portable power</t>
        </is>
      </c>
      <c r="D4215" s="12" t="inlineStr">
        <is>
          <t>Motor 1 of 2: control / local station</t>
        </is>
      </c>
      <c r="E4215" s="12" t="inlineStr"/>
      <c r="F4215" s="12" t="inlineStr">
        <is>
          <t>SC-2 PCM + 15 kV GCB</t>
        </is>
      </c>
      <c r="G4215" s="12" t="inlineStr"/>
      <c r="H4215" s="12" t="inlineStr">
        <is>
          <t>Aqueous ammonia (SC units)</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Tray</t>
        </is>
      </c>
      <c r="T4215" s="16" t="n">
        <v>0</v>
      </c>
      <c r="U4215" s="16" t="n">
        <v>98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I-C-0002</t>
        </is>
      </c>
      <c r="B4216" s="12" t="inlineStr">
        <is>
          <t>I</t>
        </is>
      </c>
      <c r="C4216" s="12" t="inlineStr">
        <is>
          <t>Modular / portable power</t>
        </is>
      </c>
      <c r="D4216" s="12" t="inlineStr">
        <is>
          <t>Motor 2 of 2: control / local station</t>
        </is>
      </c>
      <c r="E4216" s="12" t="inlineStr"/>
      <c r="F4216" s="12" t="inlineStr">
        <is>
          <t>SC-2 PCM + 15 kV GCB</t>
        </is>
      </c>
      <c r="G4216" s="12" t="inlineStr"/>
      <c r="H4216" s="12" t="inlineStr">
        <is>
          <t>Aqueous ammonia (SC units)</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Tray</t>
        </is>
      </c>
      <c r="T4216" s="16" t="n">
        <v>0</v>
      </c>
      <c r="U4216" s="16" t="n">
        <v>98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I-C-0003</t>
        </is>
      </c>
      <c r="B4217" s="12" t="inlineStr">
        <is>
          <t>I</t>
        </is>
      </c>
      <c r="C4217" s="12" t="inlineStr">
        <is>
          <t>Modular / portable power</t>
        </is>
      </c>
      <c r="D4217" s="12" t="inlineStr">
        <is>
          <t>Control</t>
        </is>
      </c>
      <c r="E4217" s="12" t="inlineStr"/>
      <c r="F4217" s="12" t="inlineStr">
        <is>
          <t>PCM: power control module</t>
        </is>
      </c>
      <c r="G4217" s="12" t="inlineStr"/>
      <c r="H4217" s="12" t="inlineStr">
        <is>
          <t>BS black-start switchgear</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562</v>
      </c>
      <c r="U4217" s="16" t="n">
        <v>64</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I-C-0004</t>
        </is>
      </c>
      <c r="B4218" s="12" t="inlineStr">
        <is>
          <t>I</t>
        </is>
      </c>
      <c r="C4218" s="12" t="inlineStr">
        <is>
          <t>Modular / portable power</t>
        </is>
      </c>
      <c r="D4218" s="12" t="inlineStr">
        <is>
          <t>Control</t>
        </is>
      </c>
      <c r="E4218" s="12" t="inlineStr"/>
      <c r="F4218" s="12" t="inlineStr">
        <is>
          <t>PCM: power control module</t>
        </is>
      </c>
      <c r="G4218" s="12" t="inlineStr"/>
      <c r="H4218" s="12" t="inlineStr">
        <is>
          <t>CONDITIONAL: BESS black-start alternative</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550</v>
      </c>
      <c r="U4218" s="16" t="n">
        <v>32</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I-C-0005</t>
        </is>
      </c>
      <c r="B4219" s="12" t="inlineStr">
        <is>
          <t>I</t>
        </is>
      </c>
      <c r="C4219" s="12" t="inlineStr">
        <is>
          <t>Modular / portable power</t>
        </is>
      </c>
      <c r="D4219" s="12" t="inlineStr">
        <is>
          <t>Control</t>
        </is>
      </c>
      <c r="E4219" s="12" t="inlineStr"/>
      <c r="F4219" s="12" t="inlineStr">
        <is>
          <t>SC-1 PCM + 15 kV GCB</t>
        </is>
      </c>
      <c r="G4219" s="12" t="inlineStr"/>
      <c r="H4219" s="12" t="inlineStr">
        <is>
          <t>CONDITIONAL: SC-1 inlet chiller / evaporative cooler</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Tray</t>
        </is>
      </c>
      <c r="T4219" s="16" t="n">
        <v>0</v>
      </c>
      <c r="U4219" s="16" t="n">
        <v>114</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I-C-0006</t>
        </is>
      </c>
      <c r="B4220" s="12" t="inlineStr">
        <is>
          <t>I</t>
        </is>
      </c>
      <c r="C4220" s="12" t="inlineStr">
        <is>
          <t>Modular / portable power</t>
        </is>
      </c>
      <c r="D4220" s="12" t="inlineStr">
        <is>
          <t>Control</t>
        </is>
      </c>
      <c r="E4220" s="12" t="inlineStr"/>
      <c r="F4220" s="12" t="inlineStr">
        <is>
          <t>SC-2 PCM + 15 kV GCB</t>
        </is>
      </c>
      <c r="G4220" s="12" t="inlineStr"/>
      <c r="H4220" s="12" t="inlineStr">
        <is>
          <t>CONDITIONAL: SC-2 inlet chiller / evaporative cooler</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75</v>
      </c>
      <c r="U4220" s="16" t="n">
        <v>32</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I-C-0007</t>
        </is>
      </c>
      <c r="B4221" s="12" t="inlineStr">
        <is>
          <t>I</t>
        </is>
      </c>
      <c r="C4221" s="12" t="inlineStr">
        <is>
          <t>Modular / portable power</t>
        </is>
      </c>
      <c r="D4221" s="12" t="inlineStr">
        <is>
          <t>Control</t>
        </is>
      </c>
      <c r="E4221" s="12" t="inlineStr">
        <is>
          <t>PAD-EH</t>
        </is>
      </c>
      <c r="F4221" s="12" t="inlineStr">
        <is>
          <t>PAD-EH 13.8 kV switchgear e-house</t>
        </is>
      </c>
      <c r="G4221" s="12" t="inlineStr"/>
      <c r="H4221" s="12" t="inlineStr">
        <is>
          <t>FC-5..12 inverter / AC cabinet / desulfurizer</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Surface</t>
        </is>
      </c>
      <c r="T4221" s="16" t="n">
        <v>202</v>
      </c>
      <c r="U4221" s="16" t="n">
        <v>37</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I-C-0008</t>
        </is>
      </c>
      <c r="B4222" s="12" t="inlineStr">
        <is>
          <t>I</t>
        </is>
      </c>
      <c r="C4222" s="12" t="inlineStr">
        <is>
          <t>Modular / portable power</t>
        </is>
      </c>
      <c r="D4222" s="12" t="inlineStr">
        <is>
          <t>Motor 1 of 6: control / local station</t>
        </is>
      </c>
      <c r="E4222" s="12" t="inlineStr"/>
      <c r="F4222" s="12" t="inlineStr">
        <is>
          <t>SC-2 PCM + 15 kV GCB</t>
        </is>
      </c>
      <c r="G4222" s="12" t="inlineStr"/>
      <c r="H4222" s="12" t="inlineStr">
        <is>
          <t>Fuel-gas compressors 3 x 100% electric</t>
        </is>
      </c>
      <c r="I4222" s="12" t="inlineStr">
        <is>
          <t>Control</t>
        </is>
      </c>
      <c r="J4222" s="12" t="inlineStr">
        <is>
          <t>ARMOR-X MC-HL 600 V control, Cu #14 AWG (Class I Div 2)</t>
        </is>
      </c>
      <c r="K4222" s="12" t="inlineStr">
        <is>
          <t>CTAX|7/C|14</t>
        </is>
      </c>
      <c r="L4222" s="12" t="inlineStr">
        <is>
          <t>7/C</t>
        </is>
      </c>
      <c r="M4222" s="12" t="inlineStr">
        <is>
          <t>14</t>
        </is>
      </c>
      <c r="N4222" s="12" t="n">
        <v>1</v>
      </c>
      <c r="O4222" s="12" t="n">
        <v>1</v>
      </c>
      <c r="P4222" s="12" t="n"/>
      <c r="Q4222" s="12" t="n"/>
      <c r="R4222" s="12" t="n"/>
      <c r="S4222" s="12" t="inlineStr">
        <is>
          <t>Duct bank</t>
        </is>
      </c>
      <c r="T4222" s="16" t="n">
        <v>8</v>
      </c>
      <c r="U4222" s="16" t="n">
        <v>108</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I-C-0009</t>
        </is>
      </c>
      <c r="B4223" s="12" t="inlineStr">
        <is>
          <t>I</t>
        </is>
      </c>
      <c r="C4223" s="12" t="inlineStr">
        <is>
          <t>Modular / portable power</t>
        </is>
      </c>
      <c r="D4223" s="12" t="inlineStr">
        <is>
          <t>Motor 2 of 6: control / local station</t>
        </is>
      </c>
      <c r="E4223" s="12" t="inlineStr"/>
      <c r="F4223" s="12" t="inlineStr">
        <is>
          <t>SC-2 PCM + 15 kV GCB</t>
        </is>
      </c>
      <c r="G4223" s="12" t="inlineStr"/>
      <c r="H4223" s="12" t="inlineStr">
        <is>
          <t>Fuel-gas compressors 3 x 100% electric</t>
        </is>
      </c>
      <c r="I4223" s="12" t="inlineStr">
        <is>
          <t>Control</t>
        </is>
      </c>
      <c r="J4223" s="12" t="inlineStr">
        <is>
          <t>ARMOR-X MC-HL 600 V control, Cu #14 AWG (Class I Div 2)</t>
        </is>
      </c>
      <c r="K4223" s="12" t="inlineStr">
        <is>
          <t>CTAX|7/C|14</t>
        </is>
      </c>
      <c r="L4223" s="12" t="inlineStr">
        <is>
          <t>7/C</t>
        </is>
      </c>
      <c r="M4223" s="12" t="inlineStr">
        <is>
          <t>14</t>
        </is>
      </c>
      <c r="N4223" s="12" t="n">
        <v>1</v>
      </c>
      <c r="O4223" s="12" t="n">
        <v>1</v>
      </c>
      <c r="P4223" s="12" t="n"/>
      <c r="Q4223" s="12" t="n"/>
      <c r="R4223" s="12" t="n"/>
      <c r="S4223" s="12" t="inlineStr">
        <is>
          <t>Duct bank</t>
        </is>
      </c>
      <c r="T4223" s="16" t="n">
        <v>8</v>
      </c>
      <c r="U4223" s="16" t="n">
        <v>108</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I-C-0010</t>
        </is>
      </c>
      <c r="B4224" s="12" t="inlineStr">
        <is>
          <t>I</t>
        </is>
      </c>
      <c r="C4224" s="12" t="inlineStr">
        <is>
          <t>Modular / portable power</t>
        </is>
      </c>
      <c r="D4224" s="12" t="inlineStr">
        <is>
          <t>Motor 3 of 6: control / local station</t>
        </is>
      </c>
      <c r="E4224" s="12" t="inlineStr"/>
      <c r="F4224" s="12" t="inlineStr">
        <is>
          <t>SC-2 PCM + 15 kV GCB</t>
        </is>
      </c>
      <c r="G4224" s="12" t="inlineStr"/>
      <c r="H4224" s="12" t="inlineStr">
        <is>
          <t>Fuel-gas compressors 3 x 100% electric</t>
        </is>
      </c>
      <c r="I4224" s="12" t="inlineStr">
        <is>
          <t>Control</t>
        </is>
      </c>
      <c r="J4224" s="12" t="inlineStr">
        <is>
          <t>ARMOR-X MC-HL 600 V control, Cu #14 AWG (Class I Div 2)</t>
        </is>
      </c>
      <c r="K4224" s="12" t="inlineStr">
        <is>
          <t>CTAX|7/C|14</t>
        </is>
      </c>
      <c r="L4224" s="12" t="inlineStr">
        <is>
          <t>7/C</t>
        </is>
      </c>
      <c r="M4224" s="12" t="inlineStr">
        <is>
          <t>14</t>
        </is>
      </c>
      <c r="N4224" s="12" t="n">
        <v>1</v>
      </c>
      <c r="O4224" s="12" t="n">
        <v>1</v>
      </c>
      <c r="P4224" s="12" t="n"/>
      <c r="Q4224" s="12" t="n"/>
      <c r="R4224" s="12" t="n"/>
      <c r="S4224" s="12" t="inlineStr">
        <is>
          <t>Duct bank</t>
        </is>
      </c>
      <c r="T4224" s="16" t="n">
        <v>8</v>
      </c>
      <c r="U4224" s="16" t="n">
        <v>108</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I-C-0011</t>
        </is>
      </c>
      <c r="B4225" s="12" t="inlineStr">
        <is>
          <t>I</t>
        </is>
      </c>
      <c r="C4225" s="12" t="inlineStr">
        <is>
          <t>Modular / portable power</t>
        </is>
      </c>
      <c r="D4225" s="12" t="inlineStr">
        <is>
          <t>Motor 4 of 6: control / local station</t>
        </is>
      </c>
      <c r="E4225" s="12" t="inlineStr"/>
      <c r="F4225" s="12" t="inlineStr">
        <is>
          <t>SC-2 PCM + 15 kV GCB</t>
        </is>
      </c>
      <c r="G4225" s="12" t="inlineStr"/>
      <c r="H4225" s="12" t="inlineStr">
        <is>
          <t>Fuel-gas compressors 3 x 100% electric</t>
        </is>
      </c>
      <c r="I4225" s="12" t="inlineStr">
        <is>
          <t>Control</t>
        </is>
      </c>
      <c r="J4225" s="12" t="inlineStr">
        <is>
          <t>ARMOR-X MC-HL 600 V control, Cu #14 AWG (Class I Div 2)</t>
        </is>
      </c>
      <c r="K4225" s="12" t="inlineStr">
        <is>
          <t>CTAX|7/C|14</t>
        </is>
      </c>
      <c r="L4225" s="12" t="inlineStr">
        <is>
          <t>7/C</t>
        </is>
      </c>
      <c r="M4225" s="12" t="inlineStr">
        <is>
          <t>14</t>
        </is>
      </c>
      <c r="N4225" s="12" t="n">
        <v>1</v>
      </c>
      <c r="O4225" s="12" t="n">
        <v>1</v>
      </c>
      <c r="P4225" s="12" t="n"/>
      <c r="Q4225" s="12" t="n"/>
      <c r="R4225" s="12" t="n"/>
      <c r="S4225" s="12" t="inlineStr">
        <is>
          <t>Duct bank</t>
        </is>
      </c>
      <c r="T4225" s="16" t="n">
        <v>8</v>
      </c>
      <c r="U4225" s="16" t="n">
        <v>108</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I-C-0012</t>
        </is>
      </c>
      <c r="B4226" s="12" t="inlineStr">
        <is>
          <t>I</t>
        </is>
      </c>
      <c r="C4226" s="12" t="inlineStr">
        <is>
          <t>Modular / portable power</t>
        </is>
      </c>
      <c r="D4226" s="12" t="inlineStr">
        <is>
          <t>Motor 5 of 6: control / local station</t>
        </is>
      </c>
      <c r="E4226" s="12" t="inlineStr"/>
      <c r="F4226" s="12" t="inlineStr">
        <is>
          <t>SC-2 PCM + 15 kV GCB</t>
        </is>
      </c>
      <c r="G4226" s="12" t="inlineStr"/>
      <c r="H4226" s="12" t="inlineStr">
        <is>
          <t>Fuel-gas compressors 3 x 100% electric</t>
        </is>
      </c>
      <c r="I4226" s="12" t="inlineStr">
        <is>
          <t>Control</t>
        </is>
      </c>
      <c r="J4226" s="12" t="inlineStr">
        <is>
          <t>ARMOR-X MC-HL 600 V control, Cu #14 AWG (Class I Div 2)</t>
        </is>
      </c>
      <c r="K4226" s="12" t="inlineStr">
        <is>
          <t>CTAX|7/C|14</t>
        </is>
      </c>
      <c r="L4226" s="12" t="inlineStr">
        <is>
          <t>7/C</t>
        </is>
      </c>
      <c r="M4226" s="12" t="inlineStr">
        <is>
          <t>14</t>
        </is>
      </c>
      <c r="N4226" s="12" t="n">
        <v>1</v>
      </c>
      <c r="O4226" s="12" t="n">
        <v>1</v>
      </c>
      <c r="P4226" s="12" t="n"/>
      <c r="Q4226" s="12" t="n"/>
      <c r="R4226" s="12" t="n"/>
      <c r="S4226" s="12" t="inlineStr">
        <is>
          <t>Duct bank</t>
        </is>
      </c>
      <c r="T4226" s="16" t="n">
        <v>8</v>
      </c>
      <c r="U4226" s="16" t="n">
        <v>108</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I-C-0013</t>
        </is>
      </c>
      <c r="B4227" s="12" t="inlineStr">
        <is>
          <t>I</t>
        </is>
      </c>
      <c r="C4227" s="12" t="inlineStr">
        <is>
          <t>Modular / portable power</t>
        </is>
      </c>
      <c r="D4227" s="12" t="inlineStr">
        <is>
          <t>Motor 6 of 6: control / local station</t>
        </is>
      </c>
      <c r="E4227" s="12" t="inlineStr"/>
      <c r="F4227" s="12" t="inlineStr">
        <is>
          <t>SC-2 PCM + 15 kV GCB</t>
        </is>
      </c>
      <c r="G4227" s="12" t="inlineStr"/>
      <c r="H4227" s="12" t="inlineStr">
        <is>
          <t>Fuel-gas compressors 3 x 100% electric</t>
        </is>
      </c>
      <c r="I4227" s="12" t="inlineStr">
        <is>
          <t>Control</t>
        </is>
      </c>
      <c r="J4227" s="12" t="inlineStr">
        <is>
          <t>ARMOR-X MC-HL 600 V control, Cu #14 AWG (Class I Div 2)</t>
        </is>
      </c>
      <c r="K4227" s="12" t="inlineStr">
        <is>
          <t>CTAX|7/C|14</t>
        </is>
      </c>
      <c r="L4227" s="12" t="inlineStr">
        <is>
          <t>7/C</t>
        </is>
      </c>
      <c r="M4227" s="12" t="inlineStr">
        <is>
          <t>14</t>
        </is>
      </c>
      <c r="N4227" s="12" t="n">
        <v>1</v>
      </c>
      <c r="O4227" s="12" t="n">
        <v>1</v>
      </c>
      <c r="P4227" s="12" t="n"/>
      <c r="Q4227" s="12" t="n"/>
      <c r="R4227" s="12" t="n"/>
      <c r="S4227" s="12" t="inlineStr">
        <is>
          <t>Duct bank</t>
        </is>
      </c>
      <c r="T4227" s="16" t="n">
        <v>8</v>
      </c>
      <c r="U4227" s="16" t="n">
        <v>108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I-C-0014</t>
        </is>
      </c>
      <c r="B4228" s="12" t="inlineStr">
        <is>
          <t>I</t>
        </is>
      </c>
      <c r="C4228" s="12" t="inlineStr">
        <is>
          <t>Modular / portable power</t>
        </is>
      </c>
      <c r="D4228" s="12" t="inlineStr">
        <is>
          <t>Control</t>
        </is>
      </c>
      <c r="E4228" s="12" t="inlineStr">
        <is>
          <t>PAD-EH</t>
        </is>
      </c>
      <c r="F4228" s="12" t="inlineStr">
        <is>
          <t>PAD-EH 13.8 kV switchgear e-house</t>
        </is>
      </c>
      <c r="G4228" s="12" t="inlineStr">
        <is>
          <t>GSP-1</t>
        </is>
      </c>
      <c r="H4228" s="12" t="inlineStr">
        <is>
          <t>GSP-1: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66</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I-C-0015</t>
        </is>
      </c>
      <c r="B4229" s="12" t="inlineStr">
        <is>
          <t>I</t>
        </is>
      </c>
      <c r="C4229" s="12" t="inlineStr">
        <is>
          <t>Modular / portable power</t>
        </is>
      </c>
      <c r="D4229" s="12" t="inlineStr">
        <is>
          <t>Control</t>
        </is>
      </c>
      <c r="E4229" s="12" t="inlineStr">
        <is>
          <t>PAD-EH</t>
        </is>
      </c>
      <c r="F4229" s="12" t="inlineStr">
        <is>
          <t>PAD-EH 13.8 kV switchgear e-house</t>
        </is>
      </c>
      <c r="G4229" s="12" t="inlineStr">
        <is>
          <t>GSP-1</t>
        </is>
      </c>
      <c r="H4229" s="12" t="inlineStr">
        <is>
          <t>GSP-1: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66</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I-C-0016</t>
        </is>
      </c>
      <c r="B4230" s="12" t="inlineStr">
        <is>
          <t>I</t>
        </is>
      </c>
      <c r="C4230" s="12" t="inlineStr">
        <is>
          <t>Modular / portable power</t>
        </is>
      </c>
      <c r="D4230" s="12" t="inlineStr">
        <is>
          <t>Control</t>
        </is>
      </c>
      <c r="E4230" s="12" t="inlineStr">
        <is>
          <t>PAD-EH</t>
        </is>
      </c>
      <c r="F4230" s="12" t="inlineStr">
        <is>
          <t>PAD-EH 13.8 kV switchgear e-house</t>
        </is>
      </c>
      <c r="G4230" s="12" t="inlineStr">
        <is>
          <t>GSP-1</t>
        </is>
      </c>
      <c r="H4230" s="12" t="inlineStr">
        <is>
          <t>GSP-1: generator breaker / protection</t>
        </is>
      </c>
      <c r="I4230" s="12" t="inlineStr">
        <is>
          <t>Control</t>
        </is>
      </c>
      <c r="J4230" s="12" t="inlineStr">
        <is>
          <t>Control cable 600 V Type TC-ER, Cu #14 AWG, PVC jacket</t>
        </is>
      </c>
      <c r="K4230" s="12" t="inlineStr">
        <is>
          <t>CT|12/C|14</t>
        </is>
      </c>
      <c r="L4230" s="12" t="inlineStr">
        <is>
          <t>12/C</t>
        </is>
      </c>
      <c r="M4230" s="12" t="inlineStr">
        <is>
          <t>14</t>
        </is>
      </c>
      <c r="N4230" s="12" t="n">
        <v>1</v>
      </c>
      <c r="O4230" s="12" t="n">
        <v>1</v>
      </c>
      <c r="P4230" s="12" t="n"/>
      <c r="Q4230" s="12" t="n"/>
      <c r="R4230" s="12" t="n"/>
      <c r="S4230" s="12" t="inlineStr">
        <is>
          <t>Surface</t>
        </is>
      </c>
      <c r="T4230" s="16" t="n">
        <v>269</v>
      </c>
      <c r="U4230" s="16" t="n">
        <v>66</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I-C-0017</t>
        </is>
      </c>
      <c r="B4231" s="12" t="inlineStr">
        <is>
          <t>I</t>
        </is>
      </c>
      <c r="C4231" s="12" t="inlineStr">
        <is>
          <t>Modular / portable power</t>
        </is>
      </c>
      <c r="D4231" s="12" t="inlineStr">
        <is>
          <t>CT / VT</t>
        </is>
      </c>
      <c r="E4231" s="12" t="inlineStr">
        <is>
          <t>PAD-EH</t>
        </is>
      </c>
      <c r="F4231" s="12" t="inlineStr">
        <is>
          <t>PAD-EH 13.8 kV switchgear e-house</t>
        </is>
      </c>
      <c r="G4231" s="12" t="inlineStr">
        <is>
          <t>GSP-1</t>
        </is>
      </c>
      <c r="H4231" s="12" t="inlineStr">
        <is>
          <t>GSP-1: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66</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I-C-0018</t>
        </is>
      </c>
      <c r="B4232" s="12" t="inlineStr">
        <is>
          <t>I</t>
        </is>
      </c>
      <c r="C4232" s="12" t="inlineStr">
        <is>
          <t>Modular / portable power</t>
        </is>
      </c>
      <c r="D4232" s="12" t="inlineStr">
        <is>
          <t>CT / VT</t>
        </is>
      </c>
      <c r="E4232" s="12" t="inlineStr">
        <is>
          <t>PAD-EH</t>
        </is>
      </c>
      <c r="F4232" s="12" t="inlineStr">
        <is>
          <t>PAD-EH 13.8 kV switchgear e-house</t>
        </is>
      </c>
      <c r="G4232" s="12" t="inlineStr">
        <is>
          <t>GSP-1</t>
        </is>
      </c>
      <c r="H4232" s="12" t="inlineStr">
        <is>
          <t>GSP-1: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66</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I-C-0019</t>
        </is>
      </c>
      <c r="B4233" s="12" t="inlineStr">
        <is>
          <t>I</t>
        </is>
      </c>
      <c r="C4233" s="12" t="inlineStr">
        <is>
          <t>Modular / portable power</t>
        </is>
      </c>
      <c r="D4233" s="12" t="inlineStr">
        <is>
          <t>CT / VT</t>
        </is>
      </c>
      <c r="E4233" s="12" t="inlineStr">
        <is>
          <t>PAD-EH</t>
        </is>
      </c>
      <c r="F4233" s="12" t="inlineStr">
        <is>
          <t>PAD-EH 13.8 kV switchgear e-house</t>
        </is>
      </c>
      <c r="G4233" s="12" t="inlineStr">
        <is>
          <t>GSP-1</t>
        </is>
      </c>
      <c r="H4233" s="12" t="inlineStr">
        <is>
          <t>GSP-1: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66</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I-C-0020</t>
        </is>
      </c>
      <c r="B4234" s="12" t="inlineStr">
        <is>
          <t>I</t>
        </is>
      </c>
      <c r="C4234" s="12" t="inlineStr">
        <is>
          <t>Modular / portable power</t>
        </is>
      </c>
      <c r="D4234" s="12" t="inlineStr">
        <is>
          <t>CT / VT</t>
        </is>
      </c>
      <c r="E4234" s="12" t="inlineStr">
        <is>
          <t>PAD-EH</t>
        </is>
      </c>
      <c r="F4234" s="12" t="inlineStr">
        <is>
          <t>PAD-EH 13.8 kV switchgear e-house</t>
        </is>
      </c>
      <c r="G4234" s="12" t="inlineStr">
        <is>
          <t>GSP-1</t>
        </is>
      </c>
      <c r="H4234" s="12" t="inlineStr">
        <is>
          <t>GSP-1: generator breaker / protection</t>
        </is>
      </c>
      <c r="I4234" s="12" t="inlineStr">
        <is>
          <t>Control</t>
        </is>
      </c>
      <c r="J4234" s="12" t="inlineStr">
        <is>
          <t>Control cable 600 V Type TC-ER, Cu #10 AWG (CT / VT circuits)</t>
        </is>
      </c>
      <c r="K4234" s="12" t="inlineStr">
        <is>
          <t>CTCT|4/C|10</t>
        </is>
      </c>
      <c r="L4234" s="12" t="inlineStr">
        <is>
          <t>4/C</t>
        </is>
      </c>
      <c r="M4234" s="12" t="inlineStr">
        <is>
          <t>10</t>
        </is>
      </c>
      <c r="N4234" s="12" t="n">
        <v>1</v>
      </c>
      <c r="O4234" s="12" t="n">
        <v>1</v>
      </c>
      <c r="P4234" s="12" t="n"/>
      <c r="Q4234" s="12" t="n"/>
      <c r="R4234" s="12" t="n"/>
      <c r="S4234" s="12" t="inlineStr">
        <is>
          <t>Surface</t>
        </is>
      </c>
      <c r="T4234" s="16" t="n">
        <v>269</v>
      </c>
      <c r="U4234" s="16" t="n">
        <v>66</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I-C-0021</t>
        </is>
      </c>
      <c r="B4235" s="12" t="inlineStr">
        <is>
          <t>I</t>
        </is>
      </c>
      <c r="C4235" s="12" t="inlineStr">
        <is>
          <t>Modular / portable power</t>
        </is>
      </c>
      <c r="D4235" s="12" t="inlineStr">
        <is>
          <t>Control</t>
        </is>
      </c>
      <c r="E4235" s="12" t="inlineStr">
        <is>
          <t>PAD-EH</t>
        </is>
      </c>
      <c r="F4235" s="12" t="inlineStr">
        <is>
          <t>PAD-EH 13.8 kV switchgear e-house</t>
        </is>
      </c>
      <c r="G4235" s="12" t="inlineStr">
        <is>
          <t>GSP-2</t>
        </is>
      </c>
      <c r="H4235" s="12" t="inlineStr">
        <is>
          <t>GSP-2: generator breaker / protection</t>
        </is>
      </c>
      <c r="I4235" s="12" t="inlineStr">
        <is>
          <t>Control</t>
        </is>
      </c>
      <c r="J4235" s="12" t="inlineStr">
        <is>
          <t>Control cable 600 V Type TC-ER, Cu #14 AWG, PVC jacket</t>
        </is>
      </c>
      <c r="K4235" s="12" t="inlineStr">
        <is>
          <t>CT|12/C|14</t>
        </is>
      </c>
      <c r="L4235" s="12" t="inlineStr">
        <is>
          <t>12/C</t>
        </is>
      </c>
      <c r="M4235" s="12" t="inlineStr">
        <is>
          <t>14</t>
        </is>
      </c>
      <c r="N4235" s="12" t="n">
        <v>1</v>
      </c>
      <c r="O4235" s="12" t="n">
        <v>1</v>
      </c>
      <c r="P4235" s="12" t="n"/>
      <c r="Q4235" s="12" t="n"/>
      <c r="R4235" s="12" t="n"/>
      <c r="S4235" s="12" t="inlineStr">
        <is>
          <t>Surface</t>
        </is>
      </c>
      <c r="T4235" s="16" t="n">
        <v>269</v>
      </c>
      <c r="U4235" s="16" t="n">
        <v>37</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I-C-0022</t>
        </is>
      </c>
      <c r="B4236" s="12" t="inlineStr">
        <is>
          <t>I</t>
        </is>
      </c>
      <c r="C4236" s="12" t="inlineStr">
        <is>
          <t>Modular / portable power</t>
        </is>
      </c>
      <c r="D4236" s="12" t="inlineStr">
        <is>
          <t>Control</t>
        </is>
      </c>
      <c r="E4236" s="12" t="inlineStr">
        <is>
          <t>PAD-EH</t>
        </is>
      </c>
      <c r="F4236" s="12" t="inlineStr">
        <is>
          <t>PAD-EH 13.8 kV switchgear e-house</t>
        </is>
      </c>
      <c r="G4236" s="12" t="inlineStr">
        <is>
          <t>GSP-2</t>
        </is>
      </c>
      <c r="H4236" s="12" t="inlineStr">
        <is>
          <t>GSP-2: generator breaker / protection</t>
        </is>
      </c>
      <c r="I4236" s="12" t="inlineStr">
        <is>
          <t>Control</t>
        </is>
      </c>
      <c r="J4236" s="12" t="inlineStr">
        <is>
          <t>Control cable 600 V Type TC-ER, Cu #14 AWG, PVC jacket</t>
        </is>
      </c>
      <c r="K4236" s="12" t="inlineStr">
        <is>
          <t>CT|12/C|14</t>
        </is>
      </c>
      <c r="L4236" s="12" t="inlineStr">
        <is>
          <t>12/C</t>
        </is>
      </c>
      <c r="M4236" s="12" t="inlineStr">
        <is>
          <t>14</t>
        </is>
      </c>
      <c r="N4236" s="12" t="n">
        <v>1</v>
      </c>
      <c r="O4236" s="12" t="n">
        <v>1</v>
      </c>
      <c r="P4236" s="12" t="n"/>
      <c r="Q4236" s="12" t="n"/>
      <c r="R4236" s="12" t="n"/>
      <c r="S4236" s="12" t="inlineStr">
        <is>
          <t>Surface</t>
        </is>
      </c>
      <c r="T4236" s="16" t="n">
        <v>269</v>
      </c>
      <c r="U4236" s="16" t="n">
        <v>37</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I-C-0023</t>
        </is>
      </c>
      <c r="B4237" s="12" t="inlineStr">
        <is>
          <t>I</t>
        </is>
      </c>
      <c r="C4237" s="12" t="inlineStr">
        <is>
          <t>Modular / portable power</t>
        </is>
      </c>
      <c r="D4237" s="12" t="inlineStr">
        <is>
          <t>Control</t>
        </is>
      </c>
      <c r="E4237" s="12" t="inlineStr">
        <is>
          <t>PAD-EH</t>
        </is>
      </c>
      <c r="F4237" s="12" t="inlineStr">
        <is>
          <t>PAD-EH 13.8 kV switchgear e-house</t>
        </is>
      </c>
      <c r="G4237" s="12" t="inlineStr">
        <is>
          <t>GSP-2</t>
        </is>
      </c>
      <c r="H4237" s="12" t="inlineStr">
        <is>
          <t>GSP-2: generator breaker / protection</t>
        </is>
      </c>
      <c r="I4237" s="12" t="inlineStr">
        <is>
          <t>Control</t>
        </is>
      </c>
      <c r="J4237" s="12" t="inlineStr">
        <is>
          <t>Control cable 600 V Type TC-ER, Cu #14 AWG, PVC jacket</t>
        </is>
      </c>
      <c r="K4237" s="12" t="inlineStr">
        <is>
          <t>CT|12/C|14</t>
        </is>
      </c>
      <c r="L4237" s="12" t="inlineStr">
        <is>
          <t>12/C</t>
        </is>
      </c>
      <c r="M4237" s="12" t="inlineStr">
        <is>
          <t>14</t>
        </is>
      </c>
      <c r="N4237" s="12" t="n">
        <v>1</v>
      </c>
      <c r="O4237" s="12" t="n">
        <v>1</v>
      </c>
      <c r="P4237" s="12" t="n"/>
      <c r="Q4237" s="12" t="n"/>
      <c r="R4237" s="12" t="n"/>
      <c r="S4237" s="12" t="inlineStr">
        <is>
          <t>Surface</t>
        </is>
      </c>
      <c r="T4237" s="16" t="n">
        <v>269</v>
      </c>
      <c r="U4237" s="16" t="n">
        <v>37</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I-C-0024</t>
        </is>
      </c>
      <c r="B4238" s="12" t="inlineStr">
        <is>
          <t>I</t>
        </is>
      </c>
      <c r="C4238" s="12" t="inlineStr">
        <is>
          <t>Modular / portable power</t>
        </is>
      </c>
      <c r="D4238" s="12" t="inlineStr">
        <is>
          <t>CT / VT</t>
        </is>
      </c>
      <c r="E4238" s="12" t="inlineStr">
        <is>
          <t>PAD-EH</t>
        </is>
      </c>
      <c r="F4238" s="12" t="inlineStr">
        <is>
          <t>PAD-EH 13.8 kV switchgear e-house</t>
        </is>
      </c>
      <c r="G4238" s="12" t="inlineStr">
        <is>
          <t>GSP-2</t>
        </is>
      </c>
      <c r="H4238" s="12" t="inlineStr">
        <is>
          <t>GSP-2: generator breaker / protection</t>
        </is>
      </c>
      <c r="I4238" s="12" t="inlineStr">
        <is>
          <t>Control</t>
        </is>
      </c>
      <c r="J4238" s="12" t="inlineStr">
        <is>
          <t>Control cable 600 V Type TC-ER, Cu #10 AWG (CT / VT circuits)</t>
        </is>
      </c>
      <c r="K4238" s="12" t="inlineStr">
        <is>
          <t>CTCT|4/C|10</t>
        </is>
      </c>
      <c r="L4238" s="12" t="inlineStr">
        <is>
          <t>4/C</t>
        </is>
      </c>
      <c r="M4238" s="12" t="inlineStr">
        <is>
          <t>10</t>
        </is>
      </c>
      <c r="N4238" s="12" t="n">
        <v>1</v>
      </c>
      <c r="O4238" s="12" t="n">
        <v>1</v>
      </c>
      <c r="P4238" s="12" t="n"/>
      <c r="Q4238" s="12" t="n"/>
      <c r="R4238" s="12" t="n"/>
      <c r="S4238" s="12" t="inlineStr">
        <is>
          <t>Surface</t>
        </is>
      </c>
      <c r="T4238" s="16" t="n">
        <v>269</v>
      </c>
      <c r="U4238" s="16" t="n">
        <v>37</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I-C-0025</t>
        </is>
      </c>
      <c r="B4239" s="12" t="inlineStr">
        <is>
          <t>I</t>
        </is>
      </c>
      <c r="C4239" s="12" t="inlineStr">
        <is>
          <t>Modular / portable power</t>
        </is>
      </c>
      <c r="D4239" s="12" t="inlineStr">
        <is>
          <t>CT / VT</t>
        </is>
      </c>
      <c r="E4239" s="12" t="inlineStr">
        <is>
          <t>PAD-EH</t>
        </is>
      </c>
      <c r="F4239" s="12" t="inlineStr">
        <is>
          <t>PAD-EH 13.8 kV switchgear e-house</t>
        </is>
      </c>
      <c r="G4239" s="12" t="inlineStr">
        <is>
          <t>GSP-2</t>
        </is>
      </c>
      <c r="H4239" s="12" t="inlineStr">
        <is>
          <t>GSP-2: generator breaker / protection</t>
        </is>
      </c>
      <c r="I4239" s="12" t="inlineStr">
        <is>
          <t>Control</t>
        </is>
      </c>
      <c r="J4239" s="12" t="inlineStr">
        <is>
          <t>Control cable 600 V Type TC-ER, Cu #10 AWG (CT / VT circuits)</t>
        </is>
      </c>
      <c r="K4239" s="12" t="inlineStr">
        <is>
          <t>CTCT|4/C|10</t>
        </is>
      </c>
      <c r="L4239" s="12" t="inlineStr">
        <is>
          <t>4/C</t>
        </is>
      </c>
      <c r="M4239" s="12" t="inlineStr">
        <is>
          <t>10</t>
        </is>
      </c>
      <c r="N4239" s="12" t="n">
        <v>1</v>
      </c>
      <c r="O4239" s="12" t="n">
        <v>1</v>
      </c>
      <c r="P4239" s="12" t="n"/>
      <c r="Q4239" s="12" t="n"/>
      <c r="R4239" s="12" t="n"/>
      <c r="S4239" s="12" t="inlineStr">
        <is>
          <t>Surface</t>
        </is>
      </c>
      <c r="T4239" s="16" t="n">
        <v>269</v>
      </c>
      <c r="U4239" s="16" t="n">
        <v>37</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I-C-0026</t>
        </is>
      </c>
      <c r="B4240" s="12" t="inlineStr">
        <is>
          <t>I</t>
        </is>
      </c>
      <c r="C4240" s="12" t="inlineStr">
        <is>
          <t>Modular / portable power</t>
        </is>
      </c>
      <c r="D4240" s="12" t="inlineStr">
        <is>
          <t>CT / VT</t>
        </is>
      </c>
      <c r="E4240" s="12" t="inlineStr">
        <is>
          <t>PAD-EH</t>
        </is>
      </c>
      <c r="F4240" s="12" t="inlineStr">
        <is>
          <t>PAD-EH 13.8 kV switchgear e-house</t>
        </is>
      </c>
      <c r="G4240" s="12" t="inlineStr">
        <is>
          <t>GSP-2</t>
        </is>
      </c>
      <c r="H4240" s="12" t="inlineStr">
        <is>
          <t>GSP-2: generator breaker / protection</t>
        </is>
      </c>
      <c r="I4240" s="12" t="inlineStr">
        <is>
          <t>Control</t>
        </is>
      </c>
      <c r="J4240" s="12" t="inlineStr">
        <is>
          <t>Control cable 600 V Type TC-ER, Cu #10 AWG (CT / VT circuits)</t>
        </is>
      </c>
      <c r="K4240" s="12" t="inlineStr">
        <is>
          <t>CTCT|4/C|10</t>
        </is>
      </c>
      <c r="L4240" s="12" t="inlineStr">
        <is>
          <t>4/C</t>
        </is>
      </c>
      <c r="M4240" s="12" t="inlineStr">
        <is>
          <t>10</t>
        </is>
      </c>
      <c r="N4240" s="12" t="n">
        <v>1</v>
      </c>
      <c r="O4240" s="12" t="n">
        <v>1</v>
      </c>
      <c r="P4240" s="12" t="n"/>
      <c r="Q4240" s="12" t="n"/>
      <c r="R4240" s="12" t="n"/>
      <c r="S4240" s="12" t="inlineStr">
        <is>
          <t>Surface</t>
        </is>
      </c>
      <c r="T4240" s="16" t="n">
        <v>269</v>
      </c>
      <c r="U4240" s="16" t="n">
        <v>37</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I-C-0027</t>
        </is>
      </c>
      <c r="B4241" s="12" t="inlineStr">
        <is>
          <t>I</t>
        </is>
      </c>
      <c r="C4241" s="12" t="inlineStr">
        <is>
          <t>Modular / portable power</t>
        </is>
      </c>
      <c r="D4241" s="12" t="inlineStr">
        <is>
          <t>CT / VT</t>
        </is>
      </c>
      <c r="E4241" s="12" t="inlineStr">
        <is>
          <t>PAD-EH</t>
        </is>
      </c>
      <c r="F4241" s="12" t="inlineStr">
        <is>
          <t>PAD-EH 13.8 kV switchgear e-house</t>
        </is>
      </c>
      <c r="G4241" s="12" t="inlineStr">
        <is>
          <t>GSP-2</t>
        </is>
      </c>
      <c r="H4241" s="12" t="inlineStr">
        <is>
          <t>GSP-2: generator breaker / protection</t>
        </is>
      </c>
      <c r="I4241" s="12" t="inlineStr">
        <is>
          <t>Control</t>
        </is>
      </c>
      <c r="J4241" s="12" t="inlineStr">
        <is>
          <t>Control cable 600 V Type TC-ER, Cu #10 AWG (CT / VT circuits)</t>
        </is>
      </c>
      <c r="K4241" s="12" t="inlineStr">
        <is>
          <t>CTCT|4/C|10</t>
        </is>
      </c>
      <c r="L4241" s="12" t="inlineStr">
        <is>
          <t>4/C</t>
        </is>
      </c>
      <c r="M4241" s="12" t="inlineStr">
        <is>
          <t>10</t>
        </is>
      </c>
      <c r="N4241" s="12" t="n">
        <v>1</v>
      </c>
      <c r="O4241" s="12" t="n">
        <v>1</v>
      </c>
      <c r="P4241" s="12" t="n"/>
      <c r="Q4241" s="12" t="n"/>
      <c r="R4241" s="12" t="n"/>
      <c r="S4241" s="12" t="inlineStr">
        <is>
          <t>Surface</t>
        </is>
      </c>
      <c r="T4241" s="16" t="n">
        <v>269</v>
      </c>
      <c r="U4241" s="16" t="n">
        <v>37</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I-C-0028</t>
        </is>
      </c>
      <c r="B4242" s="12" t="inlineStr">
        <is>
          <t>I</t>
        </is>
      </c>
      <c r="C4242" s="12" t="inlineStr">
        <is>
          <t>Modular / portable power</t>
        </is>
      </c>
      <c r="D4242" s="12" t="inlineStr">
        <is>
          <t>Control</t>
        </is>
      </c>
      <c r="E4242" s="12" t="inlineStr"/>
      <c r="F4242" s="12" t="inlineStr">
        <is>
          <t>PCM: power control module</t>
        </is>
      </c>
      <c r="G4242" s="12" t="inlineStr"/>
      <c r="H4242" s="12" t="inlineStr">
        <is>
          <t>Gas conditioning skid</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Tray</t>
        </is>
      </c>
      <c r="T4242" s="16" t="n">
        <v>40</v>
      </c>
      <c r="U4242" s="16" t="n">
        <v>94</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I-C-0029</t>
        </is>
      </c>
      <c r="B4243" s="12" t="inlineStr">
        <is>
          <t>I</t>
        </is>
      </c>
      <c r="C4243" s="12" t="inlineStr">
        <is>
          <t>Modular / portable power</t>
        </is>
      </c>
      <c r="D4243" s="12" t="inlineStr">
        <is>
          <t>Control</t>
        </is>
      </c>
      <c r="E4243" s="12" t="inlineStr">
        <is>
          <t>PAD-EH</t>
        </is>
      </c>
      <c r="F4243" s="12" t="inlineStr">
        <is>
          <t>PAD-EH 13.8 kV switchgear e-house</t>
        </is>
      </c>
      <c r="G4243" s="12" t="inlineStr">
        <is>
          <t>LB</t>
        </is>
      </c>
      <c r="H4243" s="12" t="inlineStr">
        <is>
          <t>LB: commissioning load bank (trailer)</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Surface</t>
        </is>
      </c>
      <c r="T4243" s="16" t="n">
        <v>169</v>
      </c>
      <c r="U4243" s="16" t="n">
        <v>73</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I-C-0030</t>
        </is>
      </c>
      <c r="B4244" s="12" t="inlineStr">
        <is>
          <t>I</t>
        </is>
      </c>
      <c r="C4244" s="12" t="inlineStr">
        <is>
          <t>Modular / portable power</t>
        </is>
      </c>
      <c r="D4244" s="12" t="inlineStr">
        <is>
          <t>Control</t>
        </is>
      </c>
      <c r="E4244" s="12" t="inlineStr"/>
      <c r="F4244" s="12" t="inlineStr">
        <is>
          <t>PCM: power control module</t>
        </is>
      </c>
      <c r="G4244" s="12" t="inlineStr"/>
      <c r="H4244" s="12" t="inlineStr">
        <is>
          <t>Lube oil / starting air / oily water building</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6" t="n">
        <v>40</v>
      </c>
      <c r="U4244" s="16" t="n">
        <v>164</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I-C-0031</t>
        </is>
      </c>
      <c r="B4245" s="12" t="inlineStr">
        <is>
          <t>I</t>
        </is>
      </c>
      <c r="C4245" s="12" t="inlineStr">
        <is>
          <t>Modular / portable power</t>
        </is>
      </c>
      <c r="D4245" s="12" t="inlineStr">
        <is>
          <t>Control</t>
        </is>
      </c>
      <c r="E4245" s="12" t="inlineStr"/>
      <c r="F4245" s="12" t="inlineStr">
        <is>
          <t>PCM: power control module</t>
        </is>
      </c>
      <c r="G4245" s="12" t="inlineStr">
        <is>
          <t>MOD-EH</t>
        </is>
      </c>
      <c r="H4245" s="12" t="inlineStr">
        <is>
          <t>MOD-EH: 13.8 kV modular collector e-house</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355</v>
      </c>
      <c r="U4245" s="16" t="n">
        <v>32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I-C-0032</t>
        </is>
      </c>
      <c r="B4246" s="12" t="inlineStr">
        <is>
          <t>I</t>
        </is>
      </c>
      <c r="C4246" s="12" t="inlineStr">
        <is>
          <t>Modular / portable power</t>
        </is>
      </c>
      <c r="D4246" s="12" t="inlineStr">
        <is>
          <t>Control</t>
        </is>
      </c>
      <c r="E4246" s="12" t="inlineStr"/>
      <c r="F4246" s="12" t="inlineStr">
        <is>
          <t>PCM: power control module</t>
        </is>
      </c>
      <c r="G4246" s="12" t="inlineStr"/>
      <c r="H4246" s="12" t="inlineStr">
        <is>
          <t>MOD-LV 480 V board + 480 V : 13.8 kV step-up</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757</v>
      </c>
      <c r="U4246" s="16" t="n">
        <v>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I-C-0033</t>
        </is>
      </c>
      <c r="B4247" s="12" t="inlineStr">
        <is>
          <t>I</t>
        </is>
      </c>
      <c r="C4247" s="12" t="inlineStr">
        <is>
          <t>Modular / portable power</t>
        </is>
      </c>
      <c r="D4247" s="12" t="inlineStr">
        <is>
          <t>Control</t>
        </is>
      </c>
      <c r="E4247" s="12" t="inlineStr"/>
      <c r="F4247" s="12" t="inlineStr">
        <is>
          <t>PCM: power control module</t>
        </is>
      </c>
      <c r="G4247" s="12" t="inlineStr"/>
      <c r="H4247" s="12" t="inlineStr">
        <is>
          <t>PCM: power control module</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6" t="n">
        <v>0</v>
      </c>
      <c r="U4247" s="16" t="n">
        <v>32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I-C-0034</t>
        </is>
      </c>
      <c r="B4248" s="12" t="inlineStr">
        <is>
          <t>I</t>
        </is>
      </c>
      <c r="C4248" s="12" t="inlineStr">
        <is>
          <t>Modular / portable power</t>
        </is>
      </c>
      <c r="D4248" s="12" t="inlineStr">
        <is>
          <t>Motor 1 of 1: control / local station</t>
        </is>
      </c>
      <c r="E4248" s="12" t="inlineStr"/>
      <c r="F4248" s="12" t="inlineStr">
        <is>
          <t>PCM: power control module</t>
        </is>
      </c>
      <c r="G4248" s="12" t="inlineStr"/>
      <c r="H4248" s="12" t="inlineStr">
        <is>
          <t>RICE 1 SCR + oxidation catalyst and stack</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470</v>
      </c>
      <c r="U4248" s="16" t="n">
        <v>160</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I-C-0035</t>
        </is>
      </c>
      <c r="B4249" s="12" t="inlineStr">
        <is>
          <t>I</t>
        </is>
      </c>
      <c r="C4249" s="12" t="inlineStr">
        <is>
          <t>Modular / portable power</t>
        </is>
      </c>
      <c r="D4249" s="12" t="inlineStr">
        <is>
          <t>Motor 1 of 5: control / local station</t>
        </is>
      </c>
      <c r="E4249" s="12" t="inlineStr"/>
      <c r="F4249" s="12" t="inlineStr">
        <is>
          <t>PCM: power control module</t>
        </is>
      </c>
      <c r="G4249" s="12" t="inlineStr"/>
      <c r="H4249" s="12" t="inlineStr">
        <is>
          <t>RICE 1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745</v>
      </c>
      <c r="U4249" s="16" t="n">
        <v>139</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I-C-0036</t>
        </is>
      </c>
      <c r="B4250" s="12" t="inlineStr">
        <is>
          <t>I</t>
        </is>
      </c>
      <c r="C4250" s="12" t="inlineStr">
        <is>
          <t>Modular / portable power</t>
        </is>
      </c>
      <c r="D4250" s="12" t="inlineStr">
        <is>
          <t>Motor 2 of 5: control / local station</t>
        </is>
      </c>
      <c r="E4250" s="12" t="inlineStr"/>
      <c r="F4250" s="12" t="inlineStr">
        <is>
          <t>PCM: power control module</t>
        </is>
      </c>
      <c r="G4250" s="12" t="inlineStr"/>
      <c r="H4250" s="12" t="inlineStr">
        <is>
          <t>RICE 1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745</v>
      </c>
      <c r="U4250" s="16" t="n">
        <v>139</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I-C-0037</t>
        </is>
      </c>
      <c r="B4251" s="12" t="inlineStr">
        <is>
          <t>I</t>
        </is>
      </c>
      <c r="C4251" s="12" t="inlineStr">
        <is>
          <t>Modular / portable power</t>
        </is>
      </c>
      <c r="D4251" s="12" t="inlineStr">
        <is>
          <t>Motor 3 of 5: control / local station</t>
        </is>
      </c>
      <c r="E4251" s="12" t="inlineStr"/>
      <c r="F4251" s="12" t="inlineStr">
        <is>
          <t>PCM: power control module</t>
        </is>
      </c>
      <c r="G4251" s="12" t="inlineStr"/>
      <c r="H4251" s="12" t="inlineStr">
        <is>
          <t>RICE 1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745</v>
      </c>
      <c r="U4251" s="16" t="n">
        <v>139</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I-C-0038</t>
        </is>
      </c>
      <c r="B4252" s="12" t="inlineStr">
        <is>
          <t>I</t>
        </is>
      </c>
      <c r="C4252" s="12" t="inlineStr">
        <is>
          <t>Modular / portable power</t>
        </is>
      </c>
      <c r="D4252" s="12" t="inlineStr">
        <is>
          <t>Motor 4 of 5: control / local station</t>
        </is>
      </c>
      <c r="E4252" s="12" t="inlineStr"/>
      <c r="F4252" s="12" t="inlineStr">
        <is>
          <t>PCM: power control module</t>
        </is>
      </c>
      <c r="G4252" s="12" t="inlineStr"/>
      <c r="H4252" s="12" t="inlineStr">
        <is>
          <t>RICE 1 radiators (5)</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745</v>
      </c>
      <c r="U4252" s="16" t="n">
        <v>139</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I-C-0039</t>
        </is>
      </c>
      <c r="B4253" s="12" t="inlineStr">
        <is>
          <t>I</t>
        </is>
      </c>
      <c r="C4253" s="12" t="inlineStr">
        <is>
          <t>Modular / portable power</t>
        </is>
      </c>
      <c r="D4253" s="12" t="inlineStr">
        <is>
          <t>Motor 5 of 5: control / local station</t>
        </is>
      </c>
      <c r="E4253" s="12" t="inlineStr"/>
      <c r="F4253" s="12" t="inlineStr">
        <is>
          <t>PCM: power control module</t>
        </is>
      </c>
      <c r="G4253" s="12" t="inlineStr"/>
      <c r="H4253" s="12" t="inlineStr">
        <is>
          <t>RICE 1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6" t="n">
        <v>745</v>
      </c>
      <c r="U4253" s="16" t="n">
        <v>139</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I-C-0040</t>
        </is>
      </c>
      <c r="B4254" s="12" t="inlineStr">
        <is>
          <t>I</t>
        </is>
      </c>
      <c r="C4254" s="12" t="inlineStr">
        <is>
          <t>Modular / portable power</t>
        </is>
      </c>
      <c r="D4254" s="12" t="inlineStr">
        <is>
          <t>Motor 1 of 1: control / local station</t>
        </is>
      </c>
      <c r="E4254" s="12" t="inlineStr"/>
      <c r="F4254" s="12" t="inlineStr">
        <is>
          <t>PCM: power control module</t>
        </is>
      </c>
      <c r="G4254" s="12" t="inlineStr"/>
      <c r="H4254" s="12" t="inlineStr">
        <is>
          <t>RICE 2 SCR + oxidation catalyst and stack</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6" t="n">
        <v>470</v>
      </c>
      <c r="U4254" s="16" t="n">
        <v>132</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I-C-0041</t>
        </is>
      </c>
      <c r="B4255" s="12" t="inlineStr">
        <is>
          <t>I</t>
        </is>
      </c>
      <c r="C4255" s="12" t="inlineStr">
        <is>
          <t>Modular / portable power</t>
        </is>
      </c>
      <c r="D4255" s="12" t="inlineStr">
        <is>
          <t>Motor 1 of 5: control / local station</t>
        </is>
      </c>
      <c r="E4255" s="12" t="inlineStr"/>
      <c r="F4255" s="12" t="inlineStr">
        <is>
          <t>PCM: power control module</t>
        </is>
      </c>
      <c r="G4255" s="12" t="inlineStr"/>
      <c r="H4255" s="12" t="inlineStr">
        <is>
          <t>RICE 2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6" t="n">
        <v>550</v>
      </c>
      <c r="U4255" s="16" t="n">
        <v>192</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I-C-0042</t>
        </is>
      </c>
      <c r="B4256" s="12" t="inlineStr">
        <is>
          <t>I</t>
        </is>
      </c>
      <c r="C4256" s="12" t="inlineStr">
        <is>
          <t>Modular / portable power</t>
        </is>
      </c>
      <c r="D4256" s="12" t="inlineStr">
        <is>
          <t>Motor 2 of 5: control / local station</t>
        </is>
      </c>
      <c r="E4256" s="12" t="inlineStr"/>
      <c r="F4256" s="12" t="inlineStr">
        <is>
          <t>PCM: power control module</t>
        </is>
      </c>
      <c r="G4256" s="12" t="inlineStr"/>
      <c r="H4256" s="12" t="inlineStr">
        <is>
          <t>RICE 2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6" t="n">
        <v>550</v>
      </c>
      <c r="U4256" s="16" t="n">
        <v>192</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I-C-0043</t>
        </is>
      </c>
      <c r="B4257" s="12" t="inlineStr">
        <is>
          <t>I</t>
        </is>
      </c>
      <c r="C4257" s="12" t="inlineStr">
        <is>
          <t>Modular / portable power</t>
        </is>
      </c>
      <c r="D4257" s="12" t="inlineStr">
        <is>
          <t>Motor 3 of 5: control / local station</t>
        </is>
      </c>
      <c r="E4257" s="12" t="inlineStr"/>
      <c r="F4257" s="12" t="inlineStr">
        <is>
          <t>PCM: power control module</t>
        </is>
      </c>
      <c r="G4257" s="12" t="inlineStr"/>
      <c r="H4257" s="12" t="inlineStr">
        <is>
          <t>RICE 2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6" t="n">
        <v>550</v>
      </c>
      <c r="U4257" s="16" t="n">
        <v>192</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I-C-0044</t>
        </is>
      </c>
      <c r="B4258" s="12" t="inlineStr">
        <is>
          <t>I</t>
        </is>
      </c>
      <c r="C4258" s="12" t="inlineStr">
        <is>
          <t>Modular / portable power</t>
        </is>
      </c>
      <c r="D4258" s="12" t="inlineStr">
        <is>
          <t>Motor 4 of 5: control / local station</t>
        </is>
      </c>
      <c r="E4258" s="12" t="inlineStr"/>
      <c r="F4258" s="12" t="inlineStr">
        <is>
          <t>PCM: power control module</t>
        </is>
      </c>
      <c r="G4258" s="12" t="inlineStr"/>
      <c r="H4258" s="12" t="inlineStr">
        <is>
          <t>RICE 2 radiators (5)</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550</v>
      </c>
      <c r="U4258" s="16" t="n">
        <v>192</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I-C-0045</t>
        </is>
      </c>
      <c r="B4259" s="12" t="inlineStr">
        <is>
          <t>I</t>
        </is>
      </c>
      <c r="C4259" s="12" t="inlineStr">
        <is>
          <t>Modular / portable power</t>
        </is>
      </c>
      <c r="D4259" s="12" t="inlineStr">
        <is>
          <t>Motor 5 of 5: control / local station</t>
        </is>
      </c>
      <c r="E4259" s="12" t="inlineStr"/>
      <c r="F4259" s="12" t="inlineStr">
        <is>
          <t>PCM: power control module</t>
        </is>
      </c>
      <c r="G4259" s="12" t="inlineStr"/>
      <c r="H4259" s="12" t="inlineStr">
        <is>
          <t>RICE 2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6" t="n">
        <v>550</v>
      </c>
      <c r="U4259" s="16" t="n">
        <v>192</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I-C-0046</t>
        </is>
      </c>
      <c r="B4260" s="12" t="inlineStr">
        <is>
          <t>I</t>
        </is>
      </c>
      <c r="C4260" s="12" t="inlineStr">
        <is>
          <t>Modular / portable power</t>
        </is>
      </c>
      <c r="D4260" s="12" t="inlineStr">
        <is>
          <t>Motor 1 of 1: control / local station</t>
        </is>
      </c>
      <c r="E4260" s="12" t="inlineStr"/>
      <c r="F4260" s="12" t="inlineStr">
        <is>
          <t>PCM: power control module</t>
        </is>
      </c>
      <c r="G4260" s="12" t="inlineStr"/>
      <c r="H4260" s="12" t="inlineStr">
        <is>
          <t>RICE 3 SCR + oxidation catalyst and stack</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6" t="n">
        <v>470</v>
      </c>
      <c r="U4260" s="16" t="n">
        <v>104</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I-C-0047</t>
        </is>
      </c>
      <c r="B4261" s="12" t="inlineStr">
        <is>
          <t>I</t>
        </is>
      </c>
      <c r="C4261" s="12" t="inlineStr">
        <is>
          <t>Modular / portable power</t>
        </is>
      </c>
      <c r="D4261" s="12" t="inlineStr">
        <is>
          <t>Motor 1 of 5: control / local station</t>
        </is>
      </c>
      <c r="E4261" s="12" t="inlineStr"/>
      <c r="F4261" s="12" t="inlineStr">
        <is>
          <t>PCM: power control module</t>
        </is>
      </c>
      <c r="G4261" s="12" t="inlineStr"/>
      <c r="H4261" s="12" t="inlineStr">
        <is>
          <t>RICE 3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40</v>
      </c>
      <c r="U4261" s="16" t="n">
        <v>240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I-C-0048</t>
        </is>
      </c>
      <c r="B4262" s="12" t="inlineStr">
        <is>
          <t>I</t>
        </is>
      </c>
      <c r="C4262" s="12" t="inlineStr">
        <is>
          <t>Modular / portable power</t>
        </is>
      </c>
      <c r="D4262" s="12" t="inlineStr">
        <is>
          <t>Motor 2 of 5: control / local station</t>
        </is>
      </c>
      <c r="E4262" s="12" t="inlineStr"/>
      <c r="F4262" s="12" t="inlineStr">
        <is>
          <t>PCM: power control module</t>
        </is>
      </c>
      <c r="G4262" s="12" t="inlineStr"/>
      <c r="H4262" s="12" t="inlineStr">
        <is>
          <t>RICE 3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40</v>
      </c>
      <c r="U4262" s="16" t="n">
        <v>240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I-C-0049</t>
        </is>
      </c>
      <c r="B4263" s="12" t="inlineStr">
        <is>
          <t>I</t>
        </is>
      </c>
      <c r="C4263" s="12" t="inlineStr">
        <is>
          <t>Modular / portable power</t>
        </is>
      </c>
      <c r="D4263" s="12" t="inlineStr">
        <is>
          <t>Motor 3 of 5: control / local station</t>
        </is>
      </c>
      <c r="E4263" s="12" t="inlineStr"/>
      <c r="F4263" s="12" t="inlineStr">
        <is>
          <t>PCM: power control module</t>
        </is>
      </c>
      <c r="G4263" s="12" t="inlineStr"/>
      <c r="H4263" s="12" t="inlineStr">
        <is>
          <t>RICE 3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40</v>
      </c>
      <c r="U4263" s="16" t="n">
        <v>240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I-C-0050</t>
        </is>
      </c>
      <c r="B4264" s="12" t="inlineStr">
        <is>
          <t>I</t>
        </is>
      </c>
      <c r="C4264" s="12" t="inlineStr">
        <is>
          <t>Modular / portable power</t>
        </is>
      </c>
      <c r="D4264" s="12" t="inlineStr">
        <is>
          <t>Motor 4 of 5: control / local station</t>
        </is>
      </c>
      <c r="E4264" s="12" t="inlineStr"/>
      <c r="F4264" s="12" t="inlineStr">
        <is>
          <t>PCM: power control module</t>
        </is>
      </c>
      <c r="G4264" s="12" t="inlineStr"/>
      <c r="H4264" s="12" t="inlineStr">
        <is>
          <t>RICE 3 radiators (5)</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6" t="n">
        <v>40</v>
      </c>
      <c r="U4264" s="16" t="n">
        <v>240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I-C-0051</t>
        </is>
      </c>
      <c r="B4265" s="12" t="inlineStr">
        <is>
          <t>I</t>
        </is>
      </c>
      <c r="C4265" s="12" t="inlineStr">
        <is>
          <t>Modular / portable power</t>
        </is>
      </c>
      <c r="D4265" s="12" t="inlineStr">
        <is>
          <t>Motor 5 of 5: control / local station</t>
        </is>
      </c>
      <c r="E4265" s="12" t="inlineStr"/>
      <c r="F4265" s="12" t="inlineStr">
        <is>
          <t>PCM: power control module</t>
        </is>
      </c>
      <c r="G4265" s="12" t="inlineStr"/>
      <c r="H4265" s="12" t="inlineStr">
        <is>
          <t>RICE 3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40</v>
      </c>
      <c r="U4265" s="16" t="n">
        <v>240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I-C-0052</t>
        </is>
      </c>
      <c r="B4266" s="12" t="inlineStr">
        <is>
          <t>I</t>
        </is>
      </c>
      <c r="C4266" s="12" t="inlineStr">
        <is>
          <t>Modular / portable power</t>
        </is>
      </c>
      <c r="D4266" s="12" t="inlineStr">
        <is>
          <t>Motor 1 of 1: control / local station</t>
        </is>
      </c>
      <c r="E4266" s="12" t="inlineStr"/>
      <c r="F4266" s="12" t="inlineStr">
        <is>
          <t>PCM: power control module</t>
        </is>
      </c>
      <c r="G4266" s="12" t="inlineStr"/>
      <c r="H4266" s="12" t="inlineStr">
        <is>
          <t>RICE 4 SCR + oxidation catalyst and stack</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6" t="n">
        <v>470</v>
      </c>
      <c r="U4266" s="16" t="n">
        <v>76</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I-C-0053</t>
        </is>
      </c>
      <c r="B4267" s="12" t="inlineStr">
        <is>
          <t>I</t>
        </is>
      </c>
      <c r="C4267" s="12" t="inlineStr">
        <is>
          <t>Modular / portable power</t>
        </is>
      </c>
      <c r="D4267" s="12" t="inlineStr">
        <is>
          <t>Motor 1 of 5: control / local station</t>
        </is>
      </c>
      <c r="E4267" s="12" t="inlineStr"/>
      <c r="F4267" s="12" t="inlineStr">
        <is>
          <t>PCM: power control module</t>
        </is>
      </c>
      <c r="G4267" s="12" t="inlineStr"/>
      <c r="H4267" s="12" t="inlineStr">
        <is>
          <t>RICE 4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206</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I-C-0054</t>
        </is>
      </c>
      <c r="B4268" s="12" t="inlineStr">
        <is>
          <t>I</t>
        </is>
      </c>
      <c r="C4268" s="12" t="inlineStr">
        <is>
          <t>Modular / portable power</t>
        </is>
      </c>
      <c r="D4268" s="12" t="inlineStr">
        <is>
          <t>Motor 2 of 5: control / local station</t>
        </is>
      </c>
      <c r="E4268" s="12" t="inlineStr"/>
      <c r="F4268" s="12" t="inlineStr">
        <is>
          <t>PCM: power control module</t>
        </is>
      </c>
      <c r="G4268" s="12" t="inlineStr"/>
      <c r="H4268" s="12" t="inlineStr">
        <is>
          <t>RICE 4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206</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I-C-0055</t>
        </is>
      </c>
      <c r="B4269" s="12" t="inlineStr">
        <is>
          <t>I</t>
        </is>
      </c>
      <c r="C4269" s="12" t="inlineStr">
        <is>
          <t>Modular / portable power</t>
        </is>
      </c>
      <c r="D4269" s="12" t="inlineStr">
        <is>
          <t>Motor 3 of 5: control / local station</t>
        </is>
      </c>
      <c r="E4269" s="12" t="inlineStr"/>
      <c r="F4269" s="12" t="inlineStr">
        <is>
          <t>PCM: power control module</t>
        </is>
      </c>
      <c r="G4269" s="12" t="inlineStr"/>
      <c r="H4269" s="12" t="inlineStr">
        <is>
          <t>RICE 4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206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I-C-0056</t>
        </is>
      </c>
      <c r="B4270" s="12" t="inlineStr">
        <is>
          <t>I</t>
        </is>
      </c>
      <c r="C4270" s="12" t="inlineStr">
        <is>
          <t>Modular / portable power</t>
        </is>
      </c>
      <c r="D4270" s="12" t="inlineStr">
        <is>
          <t>Motor 4 of 5: control / local station</t>
        </is>
      </c>
      <c r="E4270" s="12" t="inlineStr"/>
      <c r="F4270" s="12" t="inlineStr">
        <is>
          <t>PCM: power control module</t>
        </is>
      </c>
      <c r="G4270" s="12" t="inlineStr"/>
      <c r="H4270" s="12" t="inlineStr">
        <is>
          <t>RICE 4 radiators (5)</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6" t="n">
        <v>0</v>
      </c>
      <c r="U4270" s="16" t="n">
        <v>206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I-C-0057</t>
        </is>
      </c>
      <c r="B4271" s="12" t="inlineStr">
        <is>
          <t>I</t>
        </is>
      </c>
      <c r="C4271" s="12" t="inlineStr">
        <is>
          <t>Modular / portable power</t>
        </is>
      </c>
      <c r="D4271" s="12" t="inlineStr">
        <is>
          <t>Motor 5 of 5: control / local station</t>
        </is>
      </c>
      <c r="E4271" s="12" t="inlineStr"/>
      <c r="F4271" s="12" t="inlineStr">
        <is>
          <t>PCM: power control module</t>
        </is>
      </c>
      <c r="G4271" s="12" t="inlineStr"/>
      <c r="H4271" s="12" t="inlineStr">
        <is>
          <t>RICE 4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206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I-C-0058</t>
        </is>
      </c>
      <c r="B4272" s="12" t="inlineStr">
        <is>
          <t>I</t>
        </is>
      </c>
      <c r="C4272" s="12" t="inlineStr">
        <is>
          <t>Modular / portable power</t>
        </is>
      </c>
      <c r="D4272" s="12" t="inlineStr">
        <is>
          <t>Motor 1 of 1: control / local station</t>
        </is>
      </c>
      <c r="E4272" s="12" t="inlineStr"/>
      <c r="F4272" s="12" t="inlineStr">
        <is>
          <t>PCM: power control module</t>
        </is>
      </c>
      <c r="G4272" s="12" t="inlineStr"/>
      <c r="H4272" s="12" t="inlineStr">
        <is>
          <t>RICE 5 SCR + oxidation catalyst and stack</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322</v>
      </c>
      <c r="U4272" s="16" t="n">
        <v>196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I-C-0059</t>
        </is>
      </c>
      <c r="B4273" s="12" t="inlineStr">
        <is>
          <t>I</t>
        </is>
      </c>
      <c r="C4273" s="12" t="inlineStr">
        <is>
          <t>Modular / portable power</t>
        </is>
      </c>
      <c r="D4273" s="12" t="inlineStr">
        <is>
          <t>Motor 1 of 5: control / local station</t>
        </is>
      </c>
      <c r="E4273" s="12" t="inlineStr"/>
      <c r="F4273" s="12" t="inlineStr">
        <is>
          <t>PCM: power control module</t>
        </is>
      </c>
      <c r="G4273" s="12" t="inlineStr"/>
      <c r="H4273" s="12" t="inlineStr">
        <is>
          <t>RICE 5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178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I-C-0060</t>
        </is>
      </c>
      <c r="B4274" s="12" t="inlineStr">
        <is>
          <t>I</t>
        </is>
      </c>
      <c r="C4274" s="12" t="inlineStr">
        <is>
          <t>Modular / portable power</t>
        </is>
      </c>
      <c r="D4274" s="12" t="inlineStr">
        <is>
          <t>Motor 2 of 5: control / local station</t>
        </is>
      </c>
      <c r="E4274" s="12" t="inlineStr"/>
      <c r="F4274" s="12" t="inlineStr">
        <is>
          <t>PCM: power control module</t>
        </is>
      </c>
      <c r="G4274" s="12" t="inlineStr"/>
      <c r="H4274" s="12" t="inlineStr">
        <is>
          <t>RICE 5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178</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I-C-0061</t>
        </is>
      </c>
      <c r="B4275" s="12" t="inlineStr">
        <is>
          <t>I</t>
        </is>
      </c>
      <c r="C4275" s="12" t="inlineStr">
        <is>
          <t>Modular / portable power</t>
        </is>
      </c>
      <c r="D4275" s="12" t="inlineStr">
        <is>
          <t>Motor 3 of 5: control / local station</t>
        </is>
      </c>
      <c r="E4275" s="12" t="inlineStr"/>
      <c r="F4275" s="12" t="inlineStr">
        <is>
          <t>PCM: power control module</t>
        </is>
      </c>
      <c r="G4275" s="12" t="inlineStr"/>
      <c r="H4275" s="12" t="inlineStr">
        <is>
          <t>RICE 5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178</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I-C-0062</t>
        </is>
      </c>
      <c r="B4276" s="12" t="inlineStr">
        <is>
          <t>I</t>
        </is>
      </c>
      <c r="C4276" s="12" t="inlineStr">
        <is>
          <t>Modular / portable power</t>
        </is>
      </c>
      <c r="D4276" s="12" t="inlineStr">
        <is>
          <t>Motor 4 of 5: control / local station</t>
        </is>
      </c>
      <c r="E4276" s="12" t="inlineStr"/>
      <c r="F4276" s="12" t="inlineStr">
        <is>
          <t>PCM: power control module</t>
        </is>
      </c>
      <c r="G4276" s="12" t="inlineStr"/>
      <c r="H4276" s="12" t="inlineStr">
        <is>
          <t>RICE 5 radiators (5)</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6" t="n">
        <v>0</v>
      </c>
      <c r="U4276" s="16" t="n">
        <v>178</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I-C-0063</t>
        </is>
      </c>
      <c r="B4277" s="12" t="inlineStr">
        <is>
          <t>I</t>
        </is>
      </c>
      <c r="C4277" s="12" t="inlineStr">
        <is>
          <t>Modular / portable power</t>
        </is>
      </c>
      <c r="D4277" s="12" t="inlineStr">
        <is>
          <t>Motor 5 of 5: control / local station</t>
        </is>
      </c>
      <c r="E4277" s="12" t="inlineStr"/>
      <c r="F4277" s="12" t="inlineStr">
        <is>
          <t>PCM: power control module</t>
        </is>
      </c>
      <c r="G4277" s="12" t="inlineStr"/>
      <c r="H4277" s="12" t="inlineStr">
        <is>
          <t>RICE 5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178</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I-C-0064</t>
        </is>
      </c>
      <c r="B4278" s="12" t="inlineStr">
        <is>
          <t>I</t>
        </is>
      </c>
      <c r="C4278" s="12" t="inlineStr">
        <is>
          <t>Modular / portable power</t>
        </is>
      </c>
      <c r="D4278" s="12" t="inlineStr">
        <is>
          <t>Motor 1 of 1: control / local station</t>
        </is>
      </c>
      <c r="E4278" s="12" t="inlineStr"/>
      <c r="F4278" s="12" t="inlineStr">
        <is>
          <t>PCM: power control module</t>
        </is>
      </c>
      <c r="G4278" s="12" t="inlineStr"/>
      <c r="H4278" s="12" t="inlineStr">
        <is>
          <t>RICE 6 SCR + oxidation catalyst and stack</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322</v>
      </c>
      <c r="U4278" s="16" t="n">
        <v>168</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I-C-0065</t>
        </is>
      </c>
      <c r="B4279" s="12" t="inlineStr">
        <is>
          <t>I</t>
        </is>
      </c>
      <c r="C4279" s="12" t="inlineStr">
        <is>
          <t>Modular / portable power</t>
        </is>
      </c>
      <c r="D4279" s="12" t="inlineStr">
        <is>
          <t>Motor 1 of 5: control / local station</t>
        </is>
      </c>
      <c r="E4279" s="12" t="inlineStr"/>
      <c r="F4279" s="12" t="inlineStr">
        <is>
          <t>PCM: power control module</t>
        </is>
      </c>
      <c r="G4279" s="12" t="inlineStr"/>
      <c r="H4279" s="12" t="inlineStr">
        <is>
          <t>RICE 6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150</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I-C-0066</t>
        </is>
      </c>
      <c r="B4280" s="12" t="inlineStr">
        <is>
          <t>I</t>
        </is>
      </c>
      <c r="C4280" s="12" t="inlineStr">
        <is>
          <t>Modular / portable power</t>
        </is>
      </c>
      <c r="D4280" s="12" t="inlineStr">
        <is>
          <t>Motor 2 of 5: control / local station</t>
        </is>
      </c>
      <c r="E4280" s="12" t="inlineStr"/>
      <c r="F4280" s="12" t="inlineStr">
        <is>
          <t>PCM: power control module</t>
        </is>
      </c>
      <c r="G4280" s="12" t="inlineStr"/>
      <c r="H4280" s="12" t="inlineStr">
        <is>
          <t>RICE 6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150</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I-C-0067</t>
        </is>
      </c>
      <c r="B4281" s="12" t="inlineStr">
        <is>
          <t>I</t>
        </is>
      </c>
      <c r="C4281" s="12" t="inlineStr">
        <is>
          <t>Modular / portable power</t>
        </is>
      </c>
      <c r="D4281" s="12" t="inlineStr">
        <is>
          <t>Motor 3 of 5: control / local station</t>
        </is>
      </c>
      <c r="E4281" s="12" t="inlineStr"/>
      <c r="F4281" s="12" t="inlineStr">
        <is>
          <t>PCM: power control module</t>
        </is>
      </c>
      <c r="G4281" s="12" t="inlineStr"/>
      <c r="H4281" s="12" t="inlineStr">
        <is>
          <t>RICE 6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150</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I-C-0068</t>
        </is>
      </c>
      <c r="B4282" s="12" t="inlineStr">
        <is>
          <t>I</t>
        </is>
      </c>
      <c r="C4282" s="12" t="inlineStr">
        <is>
          <t>Modular / portable power</t>
        </is>
      </c>
      <c r="D4282" s="12" t="inlineStr">
        <is>
          <t>Motor 4 of 5: control / local station</t>
        </is>
      </c>
      <c r="E4282" s="12" t="inlineStr"/>
      <c r="F4282" s="12" t="inlineStr">
        <is>
          <t>PCM: power control module</t>
        </is>
      </c>
      <c r="G4282" s="12" t="inlineStr"/>
      <c r="H4282" s="12" t="inlineStr">
        <is>
          <t>RICE 6 radiators (5)</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Tray</t>
        </is>
      </c>
      <c r="T4282" s="16" t="n">
        <v>0</v>
      </c>
      <c r="U4282" s="16" t="n">
        <v>150</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I-C-0069</t>
        </is>
      </c>
      <c r="B4283" s="12" t="inlineStr">
        <is>
          <t>I</t>
        </is>
      </c>
      <c r="C4283" s="12" t="inlineStr">
        <is>
          <t>Modular / portable power</t>
        </is>
      </c>
      <c r="D4283" s="12" t="inlineStr">
        <is>
          <t>Motor 5 of 5: control / local station</t>
        </is>
      </c>
      <c r="E4283" s="12" t="inlineStr"/>
      <c r="F4283" s="12" t="inlineStr">
        <is>
          <t>PCM: power control module</t>
        </is>
      </c>
      <c r="G4283" s="12" t="inlineStr"/>
      <c r="H4283" s="12" t="inlineStr">
        <is>
          <t>RICE 6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150</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I-C-0070</t>
        </is>
      </c>
      <c r="B4284" s="12" t="inlineStr">
        <is>
          <t>I</t>
        </is>
      </c>
      <c r="C4284" s="12" t="inlineStr">
        <is>
          <t>Modular / portable power</t>
        </is>
      </c>
      <c r="D4284" s="12" t="inlineStr">
        <is>
          <t>Motor 1 of 1: control / local station</t>
        </is>
      </c>
      <c r="E4284" s="12" t="inlineStr"/>
      <c r="F4284" s="12" t="inlineStr">
        <is>
          <t>PCM: power control module</t>
        </is>
      </c>
      <c r="G4284" s="12" t="inlineStr"/>
      <c r="H4284" s="12" t="inlineStr">
        <is>
          <t>RICE 7 SCR + oxidation catalyst and stack</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322</v>
      </c>
      <c r="U4284" s="16" t="n">
        <v>140</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I-C-0071</t>
        </is>
      </c>
      <c r="B4285" s="12" t="inlineStr">
        <is>
          <t>I</t>
        </is>
      </c>
      <c r="C4285" s="12" t="inlineStr">
        <is>
          <t>Modular / portable power</t>
        </is>
      </c>
      <c r="D4285" s="12" t="inlineStr">
        <is>
          <t>Motor 1 of 5: control / local station</t>
        </is>
      </c>
      <c r="E4285" s="12" t="inlineStr"/>
      <c r="F4285" s="12" t="inlineStr">
        <is>
          <t>PCM: power control module</t>
        </is>
      </c>
      <c r="G4285" s="12" t="inlineStr"/>
      <c r="H4285" s="12" t="inlineStr">
        <is>
          <t>RICE 7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122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I-C-0072</t>
        </is>
      </c>
      <c r="B4286" s="12" t="inlineStr">
        <is>
          <t>I</t>
        </is>
      </c>
      <c r="C4286" s="12" t="inlineStr">
        <is>
          <t>Modular / portable power</t>
        </is>
      </c>
      <c r="D4286" s="12" t="inlineStr">
        <is>
          <t>Motor 2 of 5: control / local station</t>
        </is>
      </c>
      <c r="E4286" s="12" t="inlineStr"/>
      <c r="F4286" s="12" t="inlineStr">
        <is>
          <t>PCM: power control module</t>
        </is>
      </c>
      <c r="G4286" s="12" t="inlineStr"/>
      <c r="H4286" s="12" t="inlineStr">
        <is>
          <t>RICE 7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122</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I-C-0073</t>
        </is>
      </c>
      <c r="B4287" s="12" t="inlineStr">
        <is>
          <t>I</t>
        </is>
      </c>
      <c r="C4287" s="12" t="inlineStr">
        <is>
          <t>Modular / portable power</t>
        </is>
      </c>
      <c r="D4287" s="12" t="inlineStr">
        <is>
          <t>Motor 3 of 5: control / local station</t>
        </is>
      </c>
      <c r="E4287" s="12" t="inlineStr"/>
      <c r="F4287" s="12" t="inlineStr">
        <is>
          <t>PCM: power control module</t>
        </is>
      </c>
      <c r="G4287" s="12" t="inlineStr"/>
      <c r="H4287" s="12" t="inlineStr">
        <is>
          <t>RICE 7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122</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I-C-0074</t>
        </is>
      </c>
      <c r="B4288" s="12" t="inlineStr">
        <is>
          <t>I</t>
        </is>
      </c>
      <c r="C4288" s="12" t="inlineStr">
        <is>
          <t>Modular / portable power</t>
        </is>
      </c>
      <c r="D4288" s="12" t="inlineStr">
        <is>
          <t>Motor 4 of 5: control / local station</t>
        </is>
      </c>
      <c r="E4288" s="12" t="inlineStr"/>
      <c r="F4288" s="12" t="inlineStr">
        <is>
          <t>PCM: power control module</t>
        </is>
      </c>
      <c r="G4288" s="12" t="inlineStr"/>
      <c r="H4288" s="12" t="inlineStr">
        <is>
          <t>RICE 7 radiators (5)</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122</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I-C-0075</t>
        </is>
      </c>
      <c r="B4289" s="12" t="inlineStr">
        <is>
          <t>I</t>
        </is>
      </c>
      <c r="C4289" s="12" t="inlineStr">
        <is>
          <t>Modular / portable power</t>
        </is>
      </c>
      <c r="D4289" s="12" t="inlineStr">
        <is>
          <t>Motor 5 of 5: control / local station</t>
        </is>
      </c>
      <c r="E4289" s="12" t="inlineStr"/>
      <c r="F4289" s="12" t="inlineStr">
        <is>
          <t>PCM: power control module</t>
        </is>
      </c>
      <c r="G4289" s="12" t="inlineStr"/>
      <c r="H4289" s="12" t="inlineStr">
        <is>
          <t>RICE 7 radiators (5)</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122</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I-C-0076</t>
        </is>
      </c>
      <c r="B4290" s="12" t="inlineStr">
        <is>
          <t>I</t>
        </is>
      </c>
      <c r="C4290" s="12" t="inlineStr">
        <is>
          <t>Modular / portable power</t>
        </is>
      </c>
      <c r="D4290" s="12" t="inlineStr">
        <is>
          <t>Motor 1 of 1: control / local station</t>
        </is>
      </c>
      <c r="E4290" s="12" t="inlineStr"/>
      <c r="F4290" s="12" t="inlineStr">
        <is>
          <t>PCM: power control module</t>
        </is>
      </c>
      <c r="G4290" s="12" t="inlineStr"/>
      <c r="H4290" s="12" t="inlineStr">
        <is>
          <t>RICE 8 SCR + oxidation catalyst and stack</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322</v>
      </c>
      <c r="U4290" s="16" t="n">
        <v>112</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I-C-0077</t>
        </is>
      </c>
      <c r="B4291" s="12" t="inlineStr">
        <is>
          <t>I</t>
        </is>
      </c>
      <c r="C4291" s="12" t="inlineStr">
        <is>
          <t>Modular / portable power</t>
        </is>
      </c>
      <c r="D4291" s="12" t="inlineStr">
        <is>
          <t>Motor 1 of 5: control / local station</t>
        </is>
      </c>
      <c r="E4291" s="12" t="inlineStr"/>
      <c r="F4291" s="12" t="inlineStr">
        <is>
          <t>PCM: power control module</t>
        </is>
      </c>
      <c r="G4291" s="12" t="inlineStr"/>
      <c r="H4291" s="12" t="inlineStr">
        <is>
          <t>RICE 8 radiators (5)</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6" t="n">
        <v>0</v>
      </c>
      <c r="U4291" s="16" t="n">
        <v>94</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I-C-0078</t>
        </is>
      </c>
      <c r="B4292" s="12" t="inlineStr">
        <is>
          <t>I</t>
        </is>
      </c>
      <c r="C4292" s="12" t="inlineStr">
        <is>
          <t>Modular / portable power</t>
        </is>
      </c>
      <c r="D4292" s="12" t="inlineStr">
        <is>
          <t>Motor 2 of 5: control / local station</t>
        </is>
      </c>
      <c r="E4292" s="12" t="inlineStr"/>
      <c r="F4292" s="12" t="inlineStr">
        <is>
          <t>PCM: power control module</t>
        </is>
      </c>
      <c r="G4292" s="12" t="inlineStr"/>
      <c r="H4292" s="12" t="inlineStr">
        <is>
          <t>RICE 8 radiators (5)</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6" t="n">
        <v>0</v>
      </c>
      <c r="U4292" s="16" t="n">
        <v>94</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I-C-0079</t>
        </is>
      </c>
      <c r="B4293" s="12" t="inlineStr">
        <is>
          <t>I</t>
        </is>
      </c>
      <c r="C4293" s="12" t="inlineStr">
        <is>
          <t>Modular / portable power</t>
        </is>
      </c>
      <c r="D4293" s="12" t="inlineStr">
        <is>
          <t>Motor 3 of 5: control / local station</t>
        </is>
      </c>
      <c r="E4293" s="12" t="inlineStr"/>
      <c r="F4293" s="12" t="inlineStr">
        <is>
          <t>PCM: power control module</t>
        </is>
      </c>
      <c r="G4293" s="12" t="inlineStr"/>
      <c r="H4293" s="12" t="inlineStr">
        <is>
          <t>RICE 8 radiators (5)</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6" t="n">
        <v>0</v>
      </c>
      <c r="U4293" s="16" t="n">
        <v>94</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I-C-0080</t>
        </is>
      </c>
      <c r="B4294" s="12" t="inlineStr">
        <is>
          <t>I</t>
        </is>
      </c>
      <c r="C4294" s="12" t="inlineStr">
        <is>
          <t>Modular / portable power</t>
        </is>
      </c>
      <c r="D4294" s="12" t="inlineStr">
        <is>
          <t>Motor 4 of 5: control / local station</t>
        </is>
      </c>
      <c r="E4294" s="12" t="inlineStr"/>
      <c r="F4294" s="12" t="inlineStr">
        <is>
          <t>PCM: power control module</t>
        </is>
      </c>
      <c r="G4294" s="12" t="inlineStr"/>
      <c r="H4294" s="12" t="inlineStr">
        <is>
          <t>RICE 8 radiators (5)</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6" t="n">
        <v>0</v>
      </c>
      <c r="U4294" s="16" t="n">
        <v>94</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I-C-0081</t>
        </is>
      </c>
      <c r="B4295" s="12" t="inlineStr">
        <is>
          <t>I</t>
        </is>
      </c>
      <c r="C4295" s="12" t="inlineStr">
        <is>
          <t>Modular / portable power</t>
        </is>
      </c>
      <c r="D4295" s="12" t="inlineStr">
        <is>
          <t>Motor 5 of 5: control / local station</t>
        </is>
      </c>
      <c r="E4295" s="12" t="inlineStr"/>
      <c r="F4295" s="12" t="inlineStr">
        <is>
          <t>PCM: power control module</t>
        </is>
      </c>
      <c r="G4295" s="12" t="inlineStr"/>
      <c r="H4295" s="12" t="inlineStr">
        <is>
          <t>RICE 8 radiators (5)</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Tray</t>
        </is>
      </c>
      <c r="T4295" s="16" t="n">
        <v>0</v>
      </c>
      <c r="U4295" s="16" t="n">
        <v>94</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I-C-0082</t>
        </is>
      </c>
      <c r="B4296" s="12" t="inlineStr">
        <is>
          <t>I</t>
        </is>
      </c>
      <c r="C4296" s="12" t="inlineStr">
        <is>
          <t>Modular / portable power</t>
        </is>
      </c>
      <c r="D4296" s="12" t="inlineStr">
        <is>
          <t>Control</t>
        </is>
      </c>
      <c r="E4296" s="12" t="inlineStr"/>
      <c r="F4296" s="12" t="inlineStr">
        <is>
          <t>PCM: power control module</t>
        </is>
      </c>
      <c r="G4296" s="12" t="inlineStr"/>
      <c r="H4296" s="12" t="inlineStr">
        <is>
          <t>RICE CEMS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260</v>
      </c>
      <c r="U4296" s="16" t="n">
        <v>131</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I-C-0083</t>
        </is>
      </c>
      <c r="B4297" s="12" t="inlineStr">
        <is>
          <t>I</t>
        </is>
      </c>
      <c r="C4297" s="12" t="inlineStr">
        <is>
          <t>Modular / portable power</t>
        </is>
      </c>
      <c r="D4297" s="12" t="inlineStr">
        <is>
          <t>Control</t>
        </is>
      </c>
      <c r="E4297" s="12" t="inlineStr"/>
      <c r="F4297" s="12" t="inlineStr">
        <is>
          <t>PCM: power control module</t>
        </is>
      </c>
      <c r="G4297" s="12" t="inlineStr">
        <is>
          <t>RICE</t>
        </is>
      </c>
      <c r="H4297" s="12" t="inlineStr">
        <is>
          <t>RICE engine hall (8 engines)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367</v>
      </c>
      <c r="U4297" s="16" t="n">
        <v>95</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I-C-0084</t>
        </is>
      </c>
      <c r="B4298" s="12" t="inlineStr">
        <is>
          <t>I</t>
        </is>
      </c>
      <c r="C4298" s="12" t="inlineStr">
        <is>
          <t>Modular / portable power</t>
        </is>
      </c>
      <c r="D4298" s="12" t="inlineStr">
        <is>
          <t>Control</t>
        </is>
      </c>
      <c r="E4298" s="12" t="inlineStr"/>
      <c r="F4298" s="12" t="inlineStr">
        <is>
          <t>PCM: power control module</t>
        </is>
      </c>
      <c r="G4298" s="12" t="inlineStr">
        <is>
          <t>RICE</t>
        </is>
      </c>
      <c r="H4298" s="12" t="inlineStr">
        <is>
          <t>RICE engine hall (8 engines)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367</v>
      </c>
      <c r="U4298" s="16" t="n">
        <v>95</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I-C-0085</t>
        </is>
      </c>
      <c r="B4299" s="12" t="inlineStr">
        <is>
          <t>I</t>
        </is>
      </c>
      <c r="C4299" s="12" t="inlineStr">
        <is>
          <t>Modular / portable power</t>
        </is>
      </c>
      <c r="D4299" s="12" t="inlineStr">
        <is>
          <t>Control</t>
        </is>
      </c>
      <c r="E4299" s="12" t="inlineStr"/>
      <c r="F4299" s="12" t="inlineStr">
        <is>
          <t>PCM: power control module</t>
        </is>
      </c>
      <c r="G4299" s="12" t="inlineStr">
        <is>
          <t>RICE</t>
        </is>
      </c>
      <c r="H4299" s="12" t="inlineStr">
        <is>
          <t>RICE engine hall (8 engines)</t>
        </is>
      </c>
      <c r="I4299" s="12" t="inlineStr">
        <is>
          <t>Control</t>
        </is>
      </c>
      <c r="J4299" s="12" t="inlineStr">
        <is>
          <t>Control cable 600 V Type TC-ER, Cu #14 AWG, PVC jacket</t>
        </is>
      </c>
      <c r="K4299" s="12" t="inlineStr">
        <is>
          <t>CT|12/C|14</t>
        </is>
      </c>
      <c r="L4299" s="12" t="inlineStr">
        <is>
          <t>12/C</t>
        </is>
      </c>
      <c r="M4299" s="12" t="inlineStr">
        <is>
          <t>14</t>
        </is>
      </c>
      <c r="N4299" s="12" t="n">
        <v>1</v>
      </c>
      <c r="O4299" s="12" t="n">
        <v>1</v>
      </c>
      <c r="P4299" s="12" t="n"/>
      <c r="Q4299" s="12" t="n"/>
      <c r="R4299" s="12" t="n"/>
      <c r="S4299" s="12" t="inlineStr">
        <is>
          <t>Duct bank</t>
        </is>
      </c>
      <c r="T4299" s="16" t="n">
        <v>367</v>
      </c>
      <c r="U4299" s="16" t="n">
        <v>95</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I-C-0086</t>
        </is>
      </c>
      <c r="B4300" s="12" t="inlineStr">
        <is>
          <t>I</t>
        </is>
      </c>
      <c r="C4300" s="12" t="inlineStr">
        <is>
          <t>Modular / portable power</t>
        </is>
      </c>
      <c r="D4300" s="12" t="inlineStr">
        <is>
          <t>Control</t>
        </is>
      </c>
      <c r="E4300" s="12" t="inlineStr"/>
      <c r="F4300" s="12" t="inlineStr">
        <is>
          <t>PCM: power control module</t>
        </is>
      </c>
      <c r="G4300" s="12" t="inlineStr">
        <is>
          <t>RICE</t>
        </is>
      </c>
      <c r="H4300" s="12" t="inlineStr">
        <is>
          <t>RICE engine hall (8 engines)</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6" t="n">
        <v>367</v>
      </c>
      <c r="U4300" s="16" t="n">
        <v>95</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I-C-0087</t>
        </is>
      </c>
      <c r="B4301" s="12" t="inlineStr">
        <is>
          <t>I</t>
        </is>
      </c>
      <c r="C4301" s="12" t="inlineStr">
        <is>
          <t>Modular / portable power</t>
        </is>
      </c>
      <c r="D4301" s="12" t="inlineStr">
        <is>
          <t>Control</t>
        </is>
      </c>
      <c r="E4301" s="12" t="inlineStr"/>
      <c r="F4301" s="12" t="inlineStr">
        <is>
          <t>PCM: power control module</t>
        </is>
      </c>
      <c r="G4301" s="12" t="inlineStr">
        <is>
          <t>RICE</t>
        </is>
      </c>
      <c r="H4301" s="12" t="inlineStr">
        <is>
          <t>RICE engine hall (8 engines)</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6" t="n">
        <v>367</v>
      </c>
      <c r="U4301" s="16" t="n">
        <v>95</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I-C-0088</t>
        </is>
      </c>
      <c r="B4302" s="12" t="inlineStr">
        <is>
          <t>I</t>
        </is>
      </c>
      <c r="C4302" s="12" t="inlineStr">
        <is>
          <t>Modular / portable power</t>
        </is>
      </c>
      <c r="D4302" s="12" t="inlineStr">
        <is>
          <t>Control</t>
        </is>
      </c>
      <c r="E4302" s="12" t="inlineStr"/>
      <c r="F4302" s="12" t="inlineStr">
        <is>
          <t>PCM: power control module</t>
        </is>
      </c>
      <c r="G4302" s="12" t="inlineStr">
        <is>
          <t>RICE</t>
        </is>
      </c>
      <c r="H4302" s="12" t="inlineStr">
        <is>
          <t>RICE engine hall (8 engines)</t>
        </is>
      </c>
      <c r="I4302" s="12" t="inlineStr">
        <is>
          <t>Control</t>
        </is>
      </c>
      <c r="J4302" s="12" t="inlineStr">
        <is>
          <t>Control cable 600 V Type TC-ER, Cu #14 AWG, PVC jacket</t>
        </is>
      </c>
      <c r="K4302" s="12" t="inlineStr">
        <is>
          <t>CT|12/C|14</t>
        </is>
      </c>
      <c r="L4302" s="12" t="inlineStr">
        <is>
          <t>12/C</t>
        </is>
      </c>
      <c r="M4302" s="12" t="inlineStr">
        <is>
          <t>14</t>
        </is>
      </c>
      <c r="N4302" s="12" t="n">
        <v>1</v>
      </c>
      <c r="O4302" s="12" t="n">
        <v>1</v>
      </c>
      <c r="P4302" s="12" t="n"/>
      <c r="Q4302" s="12" t="n"/>
      <c r="R4302" s="12" t="n"/>
      <c r="S4302" s="12" t="inlineStr">
        <is>
          <t>Duct bank</t>
        </is>
      </c>
      <c r="T4302" s="16" t="n">
        <v>367</v>
      </c>
      <c r="U4302" s="16" t="n">
        <v>95</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I-C-0089</t>
        </is>
      </c>
      <c r="B4303" s="12" t="inlineStr">
        <is>
          <t>I</t>
        </is>
      </c>
      <c r="C4303" s="12" t="inlineStr">
        <is>
          <t>Modular / portable power</t>
        </is>
      </c>
      <c r="D4303" s="12" t="inlineStr">
        <is>
          <t>Control</t>
        </is>
      </c>
      <c r="E4303" s="12" t="inlineStr"/>
      <c r="F4303" s="12" t="inlineStr">
        <is>
          <t>PCM: power control module</t>
        </is>
      </c>
      <c r="G4303" s="12" t="inlineStr">
        <is>
          <t>RICE</t>
        </is>
      </c>
      <c r="H4303" s="12" t="inlineStr">
        <is>
          <t>RICE engine hall (8 engines)</t>
        </is>
      </c>
      <c r="I4303" s="12" t="inlineStr">
        <is>
          <t>Control</t>
        </is>
      </c>
      <c r="J4303" s="12" t="inlineStr">
        <is>
          <t>Control cable 600 V Type TC-ER, Cu #14 AWG, PVC jacket</t>
        </is>
      </c>
      <c r="K4303" s="12" t="inlineStr">
        <is>
          <t>CT|12/C|14</t>
        </is>
      </c>
      <c r="L4303" s="12" t="inlineStr">
        <is>
          <t>12/C</t>
        </is>
      </c>
      <c r="M4303" s="12" t="inlineStr">
        <is>
          <t>14</t>
        </is>
      </c>
      <c r="N4303" s="12" t="n">
        <v>1</v>
      </c>
      <c r="O4303" s="12" t="n">
        <v>1</v>
      </c>
      <c r="P4303" s="12" t="n"/>
      <c r="Q4303" s="12" t="n"/>
      <c r="R4303" s="12" t="n"/>
      <c r="S4303" s="12" t="inlineStr">
        <is>
          <t>Duct bank</t>
        </is>
      </c>
      <c r="T4303" s="16" t="n">
        <v>367</v>
      </c>
      <c r="U4303" s="16" t="n">
        <v>95</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I-C-0090</t>
        </is>
      </c>
      <c r="B4304" s="12" t="inlineStr">
        <is>
          <t>I</t>
        </is>
      </c>
      <c r="C4304" s="12" t="inlineStr">
        <is>
          <t>Modular / portable power</t>
        </is>
      </c>
      <c r="D4304" s="12" t="inlineStr">
        <is>
          <t>Control</t>
        </is>
      </c>
      <c r="E4304" s="12" t="inlineStr"/>
      <c r="F4304" s="12" t="inlineStr">
        <is>
          <t>PCM: power control module</t>
        </is>
      </c>
      <c r="G4304" s="12" t="inlineStr">
        <is>
          <t>RICE</t>
        </is>
      </c>
      <c r="H4304" s="12" t="inlineStr">
        <is>
          <t>RICE engine hall (8 engines)</t>
        </is>
      </c>
      <c r="I4304" s="12" t="inlineStr">
        <is>
          <t>Control</t>
        </is>
      </c>
      <c r="J4304" s="12" t="inlineStr">
        <is>
          <t>Control cable 600 V Type TC-ER, Cu #14 AWG, PVC jacket</t>
        </is>
      </c>
      <c r="K4304" s="12" t="inlineStr">
        <is>
          <t>CT|12/C|14</t>
        </is>
      </c>
      <c r="L4304" s="12" t="inlineStr">
        <is>
          <t>12/C</t>
        </is>
      </c>
      <c r="M4304" s="12" t="inlineStr">
        <is>
          <t>14</t>
        </is>
      </c>
      <c r="N4304" s="12" t="n">
        <v>1</v>
      </c>
      <c r="O4304" s="12" t="n">
        <v>1</v>
      </c>
      <c r="P4304" s="12" t="n"/>
      <c r="Q4304" s="12" t="n"/>
      <c r="R4304" s="12" t="n"/>
      <c r="S4304" s="12" t="inlineStr">
        <is>
          <t>Duct bank</t>
        </is>
      </c>
      <c r="T4304" s="16" t="n">
        <v>367</v>
      </c>
      <c r="U4304" s="16" t="n">
        <v>95</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I-C-0091</t>
        </is>
      </c>
      <c r="B4305" s="12" t="inlineStr">
        <is>
          <t>I</t>
        </is>
      </c>
      <c r="C4305" s="12" t="inlineStr">
        <is>
          <t>Modular / portable power</t>
        </is>
      </c>
      <c r="D4305" s="12" t="inlineStr">
        <is>
          <t>Motor 1 of 6: control / local station</t>
        </is>
      </c>
      <c r="E4305" s="12" t="inlineStr"/>
      <c r="F4305" s="12" t="inlineStr">
        <is>
          <t>PCM: power control module</t>
        </is>
      </c>
      <c r="G4305" s="12" t="inlineStr">
        <is>
          <t>RICE-1</t>
        </is>
      </c>
      <c r="H4305" s="12" t="inlineStr">
        <is>
          <t>RICE engine-generator 1</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137</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I-C-0092</t>
        </is>
      </c>
      <c r="B4306" s="12" t="inlineStr">
        <is>
          <t>I</t>
        </is>
      </c>
      <c r="C4306" s="12" t="inlineStr">
        <is>
          <t>Modular / portable power</t>
        </is>
      </c>
      <c r="D4306" s="12" t="inlineStr">
        <is>
          <t>Motor 2 of 6: control / local station</t>
        </is>
      </c>
      <c r="E4306" s="12" t="inlineStr"/>
      <c r="F4306" s="12" t="inlineStr">
        <is>
          <t>PCM: power control module</t>
        </is>
      </c>
      <c r="G4306" s="12" t="inlineStr">
        <is>
          <t>RICE-1</t>
        </is>
      </c>
      <c r="H4306" s="12" t="inlineStr">
        <is>
          <t>RICE engine-generator 1</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137</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I-C-0093</t>
        </is>
      </c>
      <c r="B4307" s="12" t="inlineStr">
        <is>
          <t>I</t>
        </is>
      </c>
      <c r="C4307" s="12" t="inlineStr">
        <is>
          <t>Modular / portable power</t>
        </is>
      </c>
      <c r="D4307" s="12" t="inlineStr">
        <is>
          <t>Motor 3 of 6: control / local station</t>
        </is>
      </c>
      <c r="E4307" s="12" t="inlineStr"/>
      <c r="F4307" s="12" t="inlineStr">
        <is>
          <t>PCM: power control module</t>
        </is>
      </c>
      <c r="G4307" s="12" t="inlineStr">
        <is>
          <t>RICE-1</t>
        </is>
      </c>
      <c r="H4307" s="12" t="inlineStr">
        <is>
          <t>RICE engine-generator 1</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137</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I-C-0094</t>
        </is>
      </c>
      <c r="B4308" s="12" t="inlineStr">
        <is>
          <t>I</t>
        </is>
      </c>
      <c r="C4308" s="12" t="inlineStr">
        <is>
          <t>Modular / portable power</t>
        </is>
      </c>
      <c r="D4308" s="12" t="inlineStr">
        <is>
          <t>Motor 4 of 6: control / local station</t>
        </is>
      </c>
      <c r="E4308" s="12" t="inlineStr"/>
      <c r="F4308" s="12" t="inlineStr">
        <is>
          <t>PCM: power control module</t>
        </is>
      </c>
      <c r="G4308" s="12" t="inlineStr">
        <is>
          <t>RICE-1</t>
        </is>
      </c>
      <c r="H4308" s="12" t="inlineStr">
        <is>
          <t>RICE engine-generator 1</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137</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I-C-0095</t>
        </is>
      </c>
      <c r="B4309" s="12" t="inlineStr">
        <is>
          <t>I</t>
        </is>
      </c>
      <c r="C4309" s="12" t="inlineStr">
        <is>
          <t>Modular / portable power</t>
        </is>
      </c>
      <c r="D4309" s="12" t="inlineStr">
        <is>
          <t>Motor 5 of 6: control / local station</t>
        </is>
      </c>
      <c r="E4309" s="12" t="inlineStr"/>
      <c r="F4309" s="12" t="inlineStr">
        <is>
          <t>PCM: power control module</t>
        </is>
      </c>
      <c r="G4309" s="12" t="inlineStr">
        <is>
          <t>RICE-1</t>
        </is>
      </c>
      <c r="H4309" s="12" t="inlineStr">
        <is>
          <t>RICE engine-generator 1</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137</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I-C-0096</t>
        </is>
      </c>
      <c r="B4310" s="12" t="inlineStr">
        <is>
          <t>I</t>
        </is>
      </c>
      <c r="C4310" s="12" t="inlineStr">
        <is>
          <t>Modular / portable power</t>
        </is>
      </c>
      <c r="D4310" s="12" t="inlineStr">
        <is>
          <t>Motor 6 of 6: control / local station</t>
        </is>
      </c>
      <c r="E4310" s="12" t="inlineStr"/>
      <c r="F4310" s="12" t="inlineStr">
        <is>
          <t>PCM: power control module</t>
        </is>
      </c>
      <c r="G4310" s="12" t="inlineStr">
        <is>
          <t>RICE-1</t>
        </is>
      </c>
      <c r="H4310" s="12" t="inlineStr">
        <is>
          <t>RICE engine-generator 1</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137</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I-C-0097</t>
        </is>
      </c>
      <c r="B4311" s="12" t="inlineStr">
        <is>
          <t>I</t>
        </is>
      </c>
      <c r="C4311" s="12" t="inlineStr">
        <is>
          <t>Modular / portable power</t>
        </is>
      </c>
      <c r="D4311" s="12" t="inlineStr">
        <is>
          <t>Motor 1 of 6: control / local station</t>
        </is>
      </c>
      <c r="E4311" s="12" t="inlineStr"/>
      <c r="F4311" s="12" t="inlineStr">
        <is>
          <t>PCM: power control module</t>
        </is>
      </c>
      <c r="G4311" s="12" t="inlineStr">
        <is>
          <t>RICE-2</t>
        </is>
      </c>
      <c r="H4311" s="12" t="inlineStr">
        <is>
          <t>RICE engine-generator 2</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109</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I-C-0098</t>
        </is>
      </c>
      <c r="B4312" s="12" t="inlineStr">
        <is>
          <t>I</t>
        </is>
      </c>
      <c r="C4312" s="12" t="inlineStr">
        <is>
          <t>Modular / portable power</t>
        </is>
      </c>
      <c r="D4312" s="12" t="inlineStr">
        <is>
          <t>Motor 2 of 6: control / local station</t>
        </is>
      </c>
      <c r="E4312" s="12" t="inlineStr"/>
      <c r="F4312" s="12" t="inlineStr">
        <is>
          <t>PCM: power control module</t>
        </is>
      </c>
      <c r="G4312" s="12" t="inlineStr">
        <is>
          <t>RICE-2</t>
        </is>
      </c>
      <c r="H4312" s="12" t="inlineStr">
        <is>
          <t>RICE engine-generator 2</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109</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I-C-0099</t>
        </is>
      </c>
      <c r="B4313" s="12" t="inlineStr">
        <is>
          <t>I</t>
        </is>
      </c>
      <c r="C4313" s="12" t="inlineStr">
        <is>
          <t>Modular / portable power</t>
        </is>
      </c>
      <c r="D4313" s="12" t="inlineStr">
        <is>
          <t>Motor 3 of 6: control / local station</t>
        </is>
      </c>
      <c r="E4313" s="12" t="inlineStr"/>
      <c r="F4313" s="12" t="inlineStr">
        <is>
          <t>PCM: power control module</t>
        </is>
      </c>
      <c r="G4313" s="12" t="inlineStr">
        <is>
          <t>RICE-2</t>
        </is>
      </c>
      <c r="H4313" s="12" t="inlineStr">
        <is>
          <t>RICE engine-generator 2</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109</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I-C-0100</t>
        </is>
      </c>
      <c r="B4314" s="12" t="inlineStr">
        <is>
          <t>I</t>
        </is>
      </c>
      <c r="C4314" s="12" t="inlineStr">
        <is>
          <t>Modular / portable power</t>
        </is>
      </c>
      <c r="D4314" s="12" t="inlineStr">
        <is>
          <t>Motor 4 of 6: control / local station</t>
        </is>
      </c>
      <c r="E4314" s="12" t="inlineStr"/>
      <c r="F4314" s="12" t="inlineStr">
        <is>
          <t>PCM: power control module</t>
        </is>
      </c>
      <c r="G4314" s="12" t="inlineStr">
        <is>
          <t>RICE-2</t>
        </is>
      </c>
      <c r="H4314" s="12" t="inlineStr">
        <is>
          <t>RICE engine-generator 2</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109</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I-C-0101</t>
        </is>
      </c>
      <c r="B4315" s="12" t="inlineStr">
        <is>
          <t>I</t>
        </is>
      </c>
      <c r="C4315" s="12" t="inlineStr">
        <is>
          <t>Modular / portable power</t>
        </is>
      </c>
      <c r="D4315" s="12" t="inlineStr">
        <is>
          <t>Motor 5 of 6: control / local station</t>
        </is>
      </c>
      <c r="E4315" s="12" t="inlineStr"/>
      <c r="F4315" s="12" t="inlineStr">
        <is>
          <t>PCM: power control module</t>
        </is>
      </c>
      <c r="G4315" s="12" t="inlineStr">
        <is>
          <t>RICE-2</t>
        </is>
      </c>
      <c r="H4315" s="12" t="inlineStr">
        <is>
          <t>RICE engine-generator 2</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109</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I-C-0102</t>
        </is>
      </c>
      <c r="B4316" s="12" t="inlineStr">
        <is>
          <t>I</t>
        </is>
      </c>
      <c r="C4316" s="12" t="inlineStr">
        <is>
          <t>Modular / portable power</t>
        </is>
      </c>
      <c r="D4316" s="12" t="inlineStr">
        <is>
          <t>Motor 6 of 6: control / local station</t>
        </is>
      </c>
      <c r="E4316" s="12" t="inlineStr"/>
      <c r="F4316" s="12" t="inlineStr">
        <is>
          <t>PCM: power control module</t>
        </is>
      </c>
      <c r="G4316" s="12" t="inlineStr">
        <is>
          <t>RICE-2</t>
        </is>
      </c>
      <c r="H4316" s="12" t="inlineStr">
        <is>
          <t>RICE engine-generator 2</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109</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I-C-0103</t>
        </is>
      </c>
      <c r="B4317" s="12" t="inlineStr">
        <is>
          <t>I</t>
        </is>
      </c>
      <c r="C4317" s="12" t="inlineStr">
        <is>
          <t>Modular / portable power</t>
        </is>
      </c>
      <c r="D4317" s="12" t="inlineStr">
        <is>
          <t>Motor 1 of 6: control / local station</t>
        </is>
      </c>
      <c r="E4317" s="12" t="inlineStr"/>
      <c r="F4317" s="12" t="inlineStr">
        <is>
          <t>PCM: power control module</t>
        </is>
      </c>
      <c r="G4317" s="12" t="inlineStr">
        <is>
          <t>RICE-3</t>
        </is>
      </c>
      <c r="H4317" s="12" t="inlineStr">
        <is>
          <t>RICE engine-generator 3</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81</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I-C-0104</t>
        </is>
      </c>
      <c r="B4318" s="12" t="inlineStr">
        <is>
          <t>I</t>
        </is>
      </c>
      <c r="C4318" s="12" t="inlineStr">
        <is>
          <t>Modular / portable power</t>
        </is>
      </c>
      <c r="D4318" s="12" t="inlineStr">
        <is>
          <t>Motor 2 of 6: control / local station</t>
        </is>
      </c>
      <c r="E4318" s="12" t="inlineStr"/>
      <c r="F4318" s="12" t="inlineStr">
        <is>
          <t>PCM: power control module</t>
        </is>
      </c>
      <c r="G4318" s="12" t="inlineStr">
        <is>
          <t>RICE-3</t>
        </is>
      </c>
      <c r="H4318" s="12" t="inlineStr">
        <is>
          <t>RICE engine-generator 3</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81</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I-C-0105</t>
        </is>
      </c>
      <c r="B4319" s="12" t="inlineStr">
        <is>
          <t>I</t>
        </is>
      </c>
      <c r="C4319" s="12" t="inlineStr">
        <is>
          <t>Modular / portable power</t>
        </is>
      </c>
      <c r="D4319" s="12" t="inlineStr">
        <is>
          <t>Motor 3 of 6: control / local station</t>
        </is>
      </c>
      <c r="E4319" s="12" t="inlineStr"/>
      <c r="F4319" s="12" t="inlineStr">
        <is>
          <t>PCM: power control module</t>
        </is>
      </c>
      <c r="G4319" s="12" t="inlineStr">
        <is>
          <t>RICE-3</t>
        </is>
      </c>
      <c r="H4319" s="12" t="inlineStr">
        <is>
          <t>RICE engine-generator 3</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81</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I-C-0106</t>
        </is>
      </c>
      <c r="B4320" s="12" t="inlineStr">
        <is>
          <t>I</t>
        </is>
      </c>
      <c r="C4320" s="12" t="inlineStr">
        <is>
          <t>Modular / portable power</t>
        </is>
      </c>
      <c r="D4320" s="12" t="inlineStr">
        <is>
          <t>Motor 4 of 6: control / local station</t>
        </is>
      </c>
      <c r="E4320" s="12" t="inlineStr"/>
      <c r="F4320" s="12" t="inlineStr">
        <is>
          <t>PCM: power control module</t>
        </is>
      </c>
      <c r="G4320" s="12" t="inlineStr">
        <is>
          <t>RICE-3</t>
        </is>
      </c>
      <c r="H4320" s="12" t="inlineStr">
        <is>
          <t>RICE engine-generator 3</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81</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I-C-0107</t>
        </is>
      </c>
      <c r="B4321" s="12" t="inlineStr">
        <is>
          <t>I</t>
        </is>
      </c>
      <c r="C4321" s="12" t="inlineStr">
        <is>
          <t>Modular / portable power</t>
        </is>
      </c>
      <c r="D4321" s="12" t="inlineStr">
        <is>
          <t>Motor 5 of 6: control / local station</t>
        </is>
      </c>
      <c r="E4321" s="12" t="inlineStr"/>
      <c r="F4321" s="12" t="inlineStr">
        <is>
          <t>PCM: power control module</t>
        </is>
      </c>
      <c r="G4321" s="12" t="inlineStr">
        <is>
          <t>RICE-3</t>
        </is>
      </c>
      <c r="H4321" s="12" t="inlineStr">
        <is>
          <t>RICE engine-generator 3</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550</v>
      </c>
      <c r="U4321" s="16" t="n">
        <v>81</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I-C-0108</t>
        </is>
      </c>
      <c r="B4322" s="12" t="inlineStr">
        <is>
          <t>I</t>
        </is>
      </c>
      <c r="C4322" s="12" t="inlineStr">
        <is>
          <t>Modular / portable power</t>
        </is>
      </c>
      <c r="D4322" s="12" t="inlineStr">
        <is>
          <t>Motor 6 of 6: control / local station</t>
        </is>
      </c>
      <c r="E4322" s="12" t="inlineStr"/>
      <c r="F4322" s="12" t="inlineStr">
        <is>
          <t>PCM: power control module</t>
        </is>
      </c>
      <c r="G4322" s="12" t="inlineStr">
        <is>
          <t>RICE-3</t>
        </is>
      </c>
      <c r="H4322" s="12" t="inlineStr">
        <is>
          <t>RICE engine-generator 3</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550</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I-C-0109</t>
        </is>
      </c>
      <c r="B4323" s="12" t="inlineStr">
        <is>
          <t>I</t>
        </is>
      </c>
      <c r="C4323" s="12" t="inlineStr">
        <is>
          <t>Modular / portable power</t>
        </is>
      </c>
      <c r="D4323" s="12" t="inlineStr">
        <is>
          <t>Motor 1 of 6: control / local station</t>
        </is>
      </c>
      <c r="E4323" s="12" t="inlineStr"/>
      <c r="F4323" s="12" t="inlineStr">
        <is>
          <t>PCM: power control module</t>
        </is>
      </c>
      <c r="G4323" s="12" t="inlineStr">
        <is>
          <t>RICE-4</t>
        </is>
      </c>
      <c r="H4323" s="12" t="inlineStr">
        <is>
          <t>RICE engine-generator 4</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550</v>
      </c>
      <c r="U4323" s="16" t="n">
        <v>53</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I-C-0110</t>
        </is>
      </c>
      <c r="B4324" s="12" t="inlineStr">
        <is>
          <t>I</t>
        </is>
      </c>
      <c r="C4324" s="12" t="inlineStr">
        <is>
          <t>Modular / portable power</t>
        </is>
      </c>
      <c r="D4324" s="12" t="inlineStr">
        <is>
          <t>Motor 2 of 6: control / local station</t>
        </is>
      </c>
      <c r="E4324" s="12" t="inlineStr"/>
      <c r="F4324" s="12" t="inlineStr">
        <is>
          <t>PCM: power control module</t>
        </is>
      </c>
      <c r="G4324" s="12" t="inlineStr">
        <is>
          <t>RICE-4</t>
        </is>
      </c>
      <c r="H4324" s="12" t="inlineStr">
        <is>
          <t>RICE engine-generator 4</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550</v>
      </c>
      <c r="U4324" s="16" t="n">
        <v>53</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I-C-0111</t>
        </is>
      </c>
      <c r="B4325" s="12" t="inlineStr">
        <is>
          <t>I</t>
        </is>
      </c>
      <c r="C4325" s="12" t="inlineStr">
        <is>
          <t>Modular / portable power</t>
        </is>
      </c>
      <c r="D4325" s="12" t="inlineStr">
        <is>
          <t>Motor 3 of 6: control / local station</t>
        </is>
      </c>
      <c r="E4325" s="12" t="inlineStr"/>
      <c r="F4325" s="12" t="inlineStr">
        <is>
          <t>PCM: power control module</t>
        </is>
      </c>
      <c r="G4325" s="12" t="inlineStr">
        <is>
          <t>RICE-4</t>
        </is>
      </c>
      <c r="H4325" s="12" t="inlineStr">
        <is>
          <t>RICE engine-generator 4</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550</v>
      </c>
      <c r="U4325" s="16" t="n">
        <v>53</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I-C-0112</t>
        </is>
      </c>
      <c r="B4326" s="12" t="inlineStr">
        <is>
          <t>I</t>
        </is>
      </c>
      <c r="C4326" s="12" t="inlineStr">
        <is>
          <t>Modular / portable power</t>
        </is>
      </c>
      <c r="D4326" s="12" t="inlineStr">
        <is>
          <t>Motor 4 of 6: control / local station</t>
        </is>
      </c>
      <c r="E4326" s="12" t="inlineStr"/>
      <c r="F4326" s="12" t="inlineStr">
        <is>
          <t>PCM: power control module</t>
        </is>
      </c>
      <c r="G4326" s="12" t="inlineStr">
        <is>
          <t>RICE-4</t>
        </is>
      </c>
      <c r="H4326" s="12" t="inlineStr">
        <is>
          <t>RICE engine-generator 4</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550</v>
      </c>
      <c r="U4326" s="16" t="n">
        <v>53</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I-C-0113</t>
        </is>
      </c>
      <c r="B4327" s="12" t="inlineStr">
        <is>
          <t>I</t>
        </is>
      </c>
      <c r="C4327" s="12" t="inlineStr">
        <is>
          <t>Modular / portable power</t>
        </is>
      </c>
      <c r="D4327" s="12" t="inlineStr">
        <is>
          <t>Motor 5 of 6: control / local station</t>
        </is>
      </c>
      <c r="E4327" s="12" t="inlineStr"/>
      <c r="F4327" s="12" t="inlineStr">
        <is>
          <t>PCM: power control module</t>
        </is>
      </c>
      <c r="G4327" s="12" t="inlineStr">
        <is>
          <t>RICE-4</t>
        </is>
      </c>
      <c r="H4327" s="12" t="inlineStr">
        <is>
          <t>RICE engine-generator 4</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550</v>
      </c>
      <c r="U4327" s="16" t="n">
        <v>53</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I-C-0114</t>
        </is>
      </c>
      <c r="B4328" s="12" t="inlineStr">
        <is>
          <t>I</t>
        </is>
      </c>
      <c r="C4328" s="12" t="inlineStr">
        <is>
          <t>Modular / portable power</t>
        </is>
      </c>
      <c r="D4328" s="12" t="inlineStr">
        <is>
          <t>Motor 6 of 6: control / local station</t>
        </is>
      </c>
      <c r="E4328" s="12" t="inlineStr"/>
      <c r="F4328" s="12" t="inlineStr">
        <is>
          <t>PCM: power control module</t>
        </is>
      </c>
      <c r="G4328" s="12" t="inlineStr">
        <is>
          <t>RICE-4</t>
        </is>
      </c>
      <c r="H4328" s="12" t="inlineStr">
        <is>
          <t>RICE engine-generator 4</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550</v>
      </c>
      <c r="U4328" s="16" t="n">
        <v>53</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I-C-0115</t>
        </is>
      </c>
      <c r="B4329" s="12" t="inlineStr">
        <is>
          <t>I</t>
        </is>
      </c>
      <c r="C4329" s="12" t="inlineStr">
        <is>
          <t>Modular / portable power</t>
        </is>
      </c>
      <c r="D4329" s="12" t="inlineStr">
        <is>
          <t>Motor 1 of 6: control / local station</t>
        </is>
      </c>
      <c r="E4329" s="12" t="inlineStr"/>
      <c r="F4329" s="12" t="inlineStr">
        <is>
          <t>PCM: power control module</t>
        </is>
      </c>
      <c r="G4329" s="12" t="inlineStr">
        <is>
          <t>RICE-5</t>
        </is>
      </c>
      <c r="H4329" s="12" t="inlineStr">
        <is>
          <t>RICE engine-generator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208</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I-C-0116</t>
        </is>
      </c>
      <c r="B4330" s="12" t="inlineStr">
        <is>
          <t>I</t>
        </is>
      </c>
      <c r="C4330" s="12" t="inlineStr">
        <is>
          <t>Modular / portable power</t>
        </is>
      </c>
      <c r="D4330" s="12" t="inlineStr">
        <is>
          <t>Motor 2 of 6: control / local station</t>
        </is>
      </c>
      <c r="E4330" s="12" t="inlineStr"/>
      <c r="F4330" s="12" t="inlineStr">
        <is>
          <t>PCM: power control module</t>
        </is>
      </c>
      <c r="G4330" s="12" t="inlineStr">
        <is>
          <t>RICE-5</t>
        </is>
      </c>
      <c r="H4330" s="12" t="inlineStr">
        <is>
          <t>RICE engine-generator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208</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I-C-0117</t>
        </is>
      </c>
      <c r="B4331" s="12" t="inlineStr">
        <is>
          <t>I</t>
        </is>
      </c>
      <c r="C4331" s="12" t="inlineStr">
        <is>
          <t>Modular / portable power</t>
        </is>
      </c>
      <c r="D4331" s="12" t="inlineStr">
        <is>
          <t>Motor 3 of 6: control / local station</t>
        </is>
      </c>
      <c r="E4331" s="12" t="inlineStr"/>
      <c r="F4331" s="12" t="inlineStr">
        <is>
          <t>PCM: power control module</t>
        </is>
      </c>
      <c r="G4331" s="12" t="inlineStr">
        <is>
          <t>RICE-5</t>
        </is>
      </c>
      <c r="H4331" s="12" t="inlineStr">
        <is>
          <t>RICE engine-generator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208</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I-C-0118</t>
        </is>
      </c>
      <c r="B4332" s="12" t="inlineStr">
        <is>
          <t>I</t>
        </is>
      </c>
      <c r="C4332" s="12" t="inlineStr">
        <is>
          <t>Modular / portable power</t>
        </is>
      </c>
      <c r="D4332" s="12" t="inlineStr">
        <is>
          <t>Motor 4 of 6: control / local station</t>
        </is>
      </c>
      <c r="E4332" s="12" t="inlineStr"/>
      <c r="F4332" s="12" t="inlineStr">
        <is>
          <t>PCM: power control module</t>
        </is>
      </c>
      <c r="G4332" s="12" t="inlineStr">
        <is>
          <t>RICE-5</t>
        </is>
      </c>
      <c r="H4332" s="12" t="inlineStr">
        <is>
          <t>RICE engine-generator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208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I-C-0119</t>
        </is>
      </c>
      <c r="B4333" s="12" t="inlineStr">
        <is>
          <t>I</t>
        </is>
      </c>
      <c r="C4333" s="12" t="inlineStr">
        <is>
          <t>Modular / portable power</t>
        </is>
      </c>
      <c r="D4333" s="12" t="inlineStr">
        <is>
          <t>Motor 5 of 6: control / local station</t>
        </is>
      </c>
      <c r="E4333" s="12" t="inlineStr"/>
      <c r="F4333" s="12" t="inlineStr">
        <is>
          <t>PCM: power control module</t>
        </is>
      </c>
      <c r="G4333" s="12" t="inlineStr">
        <is>
          <t>RICE-5</t>
        </is>
      </c>
      <c r="H4333" s="12" t="inlineStr">
        <is>
          <t>RICE engine-generator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6" t="n">
        <v>367</v>
      </c>
      <c r="U4333" s="16" t="n">
        <v>208</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I-C-0120</t>
        </is>
      </c>
      <c r="B4334" s="12" t="inlineStr">
        <is>
          <t>I</t>
        </is>
      </c>
      <c r="C4334" s="12" t="inlineStr">
        <is>
          <t>Modular / portable power</t>
        </is>
      </c>
      <c r="D4334" s="12" t="inlineStr">
        <is>
          <t>Motor 6 of 6: control / local station</t>
        </is>
      </c>
      <c r="E4334" s="12" t="inlineStr"/>
      <c r="F4334" s="12" t="inlineStr">
        <is>
          <t>PCM: power control module</t>
        </is>
      </c>
      <c r="G4334" s="12" t="inlineStr">
        <is>
          <t>RICE-5</t>
        </is>
      </c>
      <c r="H4334" s="12" t="inlineStr">
        <is>
          <t>RICE engine-generator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6" t="n">
        <v>367</v>
      </c>
      <c r="U4334" s="16" t="n">
        <v>208</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I-C-0121</t>
        </is>
      </c>
      <c r="B4335" s="12" t="inlineStr">
        <is>
          <t>I</t>
        </is>
      </c>
      <c r="C4335" s="12" t="inlineStr">
        <is>
          <t>Modular / portable power</t>
        </is>
      </c>
      <c r="D4335" s="12" t="inlineStr">
        <is>
          <t>Motor 1 of 6: control / local station</t>
        </is>
      </c>
      <c r="E4335" s="12" t="inlineStr"/>
      <c r="F4335" s="12" t="inlineStr">
        <is>
          <t>PCM: power control module</t>
        </is>
      </c>
      <c r="G4335" s="12" t="inlineStr">
        <is>
          <t>RICE-6</t>
        </is>
      </c>
      <c r="H4335" s="12" t="inlineStr">
        <is>
          <t>RICE engine-generator 6</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6" t="n">
        <v>367</v>
      </c>
      <c r="U4335" s="16" t="n">
        <v>180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I-C-0122</t>
        </is>
      </c>
      <c r="B4336" s="12" t="inlineStr">
        <is>
          <t>I</t>
        </is>
      </c>
      <c r="C4336" s="12" t="inlineStr">
        <is>
          <t>Modular / portable power</t>
        </is>
      </c>
      <c r="D4336" s="12" t="inlineStr">
        <is>
          <t>Motor 2 of 6: control / local station</t>
        </is>
      </c>
      <c r="E4336" s="12" t="inlineStr"/>
      <c r="F4336" s="12" t="inlineStr">
        <is>
          <t>PCM: power control module</t>
        </is>
      </c>
      <c r="G4336" s="12" t="inlineStr">
        <is>
          <t>RICE-6</t>
        </is>
      </c>
      <c r="H4336" s="12" t="inlineStr">
        <is>
          <t>RICE engine-generator 6</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6" t="n">
        <v>367</v>
      </c>
      <c r="U4336" s="16" t="n">
        <v>180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I-C-0123</t>
        </is>
      </c>
      <c r="B4337" s="12" t="inlineStr">
        <is>
          <t>I</t>
        </is>
      </c>
      <c r="C4337" s="12" t="inlineStr">
        <is>
          <t>Modular / portable power</t>
        </is>
      </c>
      <c r="D4337" s="12" t="inlineStr">
        <is>
          <t>Motor 3 of 6: control / local station</t>
        </is>
      </c>
      <c r="E4337" s="12" t="inlineStr"/>
      <c r="F4337" s="12" t="inlineStr">
        <is>
          <t>PCM: power control module</t>
        </is>
      </c>
      <c r="G4337" s="12" t="inlineStr">
        <is>
          <t>RICE-6</t>
        </is>
      </c>
      <c r="H4337" s="12" t="inlineStr">
        <is>
          <t>RICE engine-generator 6</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6" t="n">
        <v>367</v>
      </c>
      <c r="U4337" s="16" t="n">
        <v>180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I-C-0124</t>
        </is>
      </c>
      <c r="B4338" s="12" t="inlineStr">
        <is>
          <t>I</t>
        </is>
      </c>
      <c r="C4338" s="12" t="inlineStr">
        <is>
          <t>Modular / portable power</t>
        </is>
      </c>
      <c r="D4338" s="12" t="inlineStr">
        <is>
          <t>Motor 4 of 6: control / local station</t>
        </is>
      </c>
      <c r="E4338" s="12" t="inlineStr"/>
      <c r="F4338" s="12" t="inlineStr">
        <is>
          <t>PCM: power control module</t>
        </is>
      </c>
      <c r="G4338" s="12" t="inlineStr">
        <is>
          <t>RICE-6</t>
        </is>
      </c>
      <c r="H4338" s="12" t="inlineStr">
        <is>
          <t>RICE engine-generator 6</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6" t="n">
        <v>367</v>
      </c>
      <c r="U4338" s="16" t="n">
        <v>180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I-C-0125</t>
        </is>
      </c>
      <c r="B4339" s="12" t="inlineStr">
        <is>
          <t>I</t>
        </is>
      </c>
      <c r="C4339" s="12" t="inlineStr">
        <is>
          <t>Modular / portable power</t>
        </is>
      </c>
      <c r="D4339" s="12" t="inlineStr">
        <is>
          <t>Motor 5 of 6: control / local station</t>
        </is>
      </c>
      <c r="E4339" s="12" t="inlineStr"/>
      <c r="F4339" s="12" t="inlineStr">
        <is>
          <t>PCM: power control module</t>
        </is>
      </c>
      <c r="G4339" s="12" t="inlineStr">
        <is>
          <t>RICE-6</t>
        </is>
      </c>
      <c r="H4339" s="12" t="inlineStr">
        <is>
          <t>RICE engine-generator 6</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6" t="n">
        <v>367</v>
      </c>
      <c r="U4339" s="16" t="n">
        <v>180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I-C-0126</t>
        </is>
      </c>
      <c r="B4340" s="12" t="inlineStr">
        <is>
          <t>I</t>
        </is>
      </c>
      <c r="C4340" s="12" t="inlineStr">
        <is>
          <t>Modular / portable power</t>
        </is>
      </c>
      <c r="D4340" s="12" t="inlineStr">
        <is>
          <t>Motor 6 of 6: control / local station</t>
        </is>
      </c>
      <c r="E4340" s="12" t="inlineStr"/>
      <c r="F4340" s="12" t="inlineStr">
        <is>
          <t>PCM: power control module</t>
        </is>
      </c>
      <c r="G4340" s="12" t="inlineStr">
        <is>
          <t>RICE-6</t>
        </is>
      </c>
      <c r="H4340" s="12" t="inlineStr">
        <is>
          <t>RICE engine-generator 6</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6" t="n">
        <v>367</v>
      </c>
      <c r="U4340" s="16" t="n">
        <v>180</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I-C-0127</t>
        </is>
      </c>
      <c r="B4341" s="12" t="inlineStr">
        <is>
          <t>I</t>
        </is>
      </c>
      <c r="C4341" s="12" t="inlineStr">
        <is>
          <t>Modular / portable power</t>
        </is>
      </c>
      <c r="D4341" s="12" t="inlineStr">
        <is>
          <t>Motor 1 of 6: control / local station</t>
        </is>
      </c>
      <c r="E4341" s="12" t="inlineStr"/>
      <c r="F4341" s="12" t="inlineStr">
        <is>
          <t>PCM: power control module</t>
        </is>
      </c>
      <c r="G4341" s="12" t="inlineStr">
        <is>
          <t>RICE-7</t>
        </is>
      </c>
      <c r="H4341" s="12" t="inlineStr">
        <is>
          <t>RICE engine-generator 7</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189</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I-C-0128</t>
        </is>
      </c>
      <c r="B4342" s="12" t="inlineStr">
        <is>
          <t>I</t>
        </is>
      </c>
      <c r="C4342" s="12" t="inlineStr">
        <is>
          <t>Modular / portable power</t>
        </is>
      </c>
      <c r="D4342" s="12" t="inlineStr">
        <is>
          <t>Motor 2 of 6: control / local station</t>
        </is>
      </c>
      <c r="E4342" s="12" t="inlineStr"/>
      <c r="F4342" s="12" t="inlineStr">
        <is>
          <t>PCM: power control module</t>
        </is>
      </c>
      <c r="G4342" s="12" t="inlineStr">
        <is>
          <t>RICE-7</t>
        </is>
      </c>
      <c r="H4342" s="12" t="inlineStr">
        <is>
          <t>RICE engine-generator 7</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189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I-C-0129</t>
        </is>
      </c>
      <c r="B4343" s="12" t="inlineStr">
        <is>
          <t>I</t>
        </is>
      </c>
      <c r="C4343" s="12" t="inlineStr">
        <is>
          <t>Modular / portable power</t>
        </is>
      </c>
      <c r="D4343" s="12" t="inlineStr">
        <is>
          <t>Motor 3 of 6: control / local station</t>
        </is>
      </c>
      <c r="E4343" s="12" t="inlineStr"/>
      <c r="F4343" s="12" t="inlineStr">
        <is>
          <t>PCM: power control module</t>
        </is>
      </c>
      <c r="G4343" s="12" t="inlineStr">
        <is>
          <t>RICE-7</t>
        </is>
      </c>
      <c r="H4343" s="12" t="inlineStr">
        <is>
          <t>RICE engine-generator 7</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189</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I-C-0130</t>
        </is>
      </c>
      <c r="B4344" s="12" t="inlineStr">
        <is>
          <t>I</t>
        </is>
      </c>
      <c r="C4344" s="12" t="inlineStr">
        <is>
          <t>Modular / portable power</t>
        </is>
      </c>
      <c r="D4344" s="12" t="inlineStr">
        <is>
          <t>Motor 4 of 6: control / local station</t>
        </is>
      </c>
      <c r="E4344" s="12" t="inlineStr"/>
      <c r="F4344" s="12" t="inlineStr">
        <is>
          <t>PCM: power control module</t>
        </is>
      </c>
      <c r="G4344" s="12" t="inlineStr">
        <is>
          <t>RICE-7</t>
        </is>
      </c>
      <c r="H4344" s="12" t="inlineStr">
        <is>
          <t>RICE engine-generator 7</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189</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I-C-0131</t>
        </is>
      </c>
      <c r="B4345" s="12" t="inlineStr">
        <is>
          <t>I</t>
        </is>
      </c>
      <c r="C4345" s="12" t="inlineStr">
        <is>
          <t>Modular / portable power</t>
        </is>
      </c>
      <c r="D4345" s="12" t="inlineStr">
        <is>
          <t>Motor 5 of 6: control / local station</t>
        </is>
      </c>
      <c r="E4345" s="12" t="inlineStr"/>
      <c r="F4345" s="12" t="inlineStr">
        <is>
          <t>PCM: power control module</t>
        </is>
      </c>
      <c r="G4345" s="12" t="inlineStr">
        <is>
          <t>RICE-7</t>
        </is>
      </c>
      <c r="H4345" s="12" t="inlineStr">
        <is>
          <t>RICE engine-generator 7</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0</v>
      </c>
      <c r="U4345" s="16" t="n">
        <v>189</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I-C-0132</t>
        </is>
      </c>
      <c r="B4346" s="12" t="inlineStr">
        <is>
          <t>I</t>
        </is>
      </c>
      <c r="C4346" s="12" t="inlineStr">
        <is>
          <t>Modular / portable power</t>
        </is>
      </c>
      <c r="D4346" s="12" t="inlineStr">
        <is>
          <t>Motor 6 of 6: control / local station</t>
        </is>
      </c>
      <c r="E4346" s="12" t="inlineStr"/>
      <c r="F4346" s="12" t="inlineStr">
        <is>
          <t>PCM: power control module</t>
        </is>
      </c>
      <c r="G4346" s="12" t="inlineStr">
        <is>
          <t>RICE-7</t>
        </is>
      </c>
      <c r="H4346" s="12" t="inlineStr">
        <is>
          <t>RICE engine-generator 7</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189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I-C-0133</t>
        </is>
      </c>
      <c r="B4347" s="12" t="inlineStr">
        <is>
          <t>I</t>
        </is>
      </c>
      <c r="C4347" s="12" t="inlineStr">
        <is>
          <t>Modular / portable power</t>
        </is>
      </c>
      <c r="D4347" s="12" t="inlineStr">
        <is>
          <t>Motor 1 of 6: control / local station</t>
        </is>
      </c>
      <c r="E4347" s="12" t="inlineStr"/>
      <c r="F4347" s="12" t="inlineStr">
        <is>
          <t>PCM: power control module</t>
        </is>
      </c>
      <c r="G4347" s="12" t="inlineStr">
        <is>
          <t>RICE-8</t>
        </is>
      </c>
      <c r="H4347" s="12" t="inlineStr">
        <is>
          <t>RICE engine-generator 8</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161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I-C-0134</t>
        </is>
      </c>
      <c r="B4348" s="12" t="inlineStr">
        <is>
          <t>I</t>
        </is>
      </c>
      <c r="C4348" s="12" t="inlineStr">
        <is>
          <t>Modular / portable power</t>
        </is>
      </c>
      <c r="D4348" s="12" t="inlineStr">
        <is>
          <t>Motor 2 of 6: control / local station</t>
        </is>
      </c>
      <c r="E4348" s="12" t="inlineStr"/>
      <c r="F4348" s="12" t="inlineStr">
        <is>
          <t>PCM: power control module</t>
        </is>
      </c>
      <c r="G4348" s="12" t="inlineStr">
        <is>
          <t>RICE-8</t>
        </is>
      </c>
      <c r="H4348" s="12" t="inlineStr">
        <is>
          <t>RICE engine-generator 8</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6" t="n">
        <v>0</v>
      </c>
      <c r="U4348" s="16" t="n">
        <v>161</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I-C-0135</t>
        </is>
      </c>
      <c r="B4349" s="12" t="inlineStr">
        <is>
          <t>I</t>
        </is>
      </c>
      <c r="C4349" s="12" t="inlineStr">
        <is>
          <t>Modular / portable power</t>
        </is>
      </c>
      <c r="D4349" s="12" t="inlineStr">
        <is>
          <t>Motor 3 of 6: control / local station</t>
        </is>
      </c>
      <c r="E4349" s="12" t="inlineStr"/>
      <c r="F4349" s="12" t="inlineStr">
        <is>
          <t>PCM: power control module</t>
        </is>
      </c>
      <c r="G4349" s="12" t="inlineStr">
        <is>
          <t>RICE-8</t>
        </is>
      </c>
      <c r="H4349" s="12" t="inlineStr">
        <is>
          <t>RICE engine-generator 8</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161</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I-C-0136</t>
        </is>
      </c>
      <c r="B4350" s="12" t="inlineStr">
        <is>
          <t>I</t>
        </is>
      </c>
      <c r="C4350" s="12" t="inlineStr">
        <is>
          <t>Modular / portable power</t>
        </is>
      </c>
      <c r="D4350" s="12" t="inlineStr">
        <is>
          <t>Motor 4 of 6: control / local station</t>
        </is>
      </c>
      <c r="E4350" s="12" t="inlineStr"/>
      <c r="F4350" s="12" t="inlineStr">
        <is>
          <t>PCM: power control module</t>
        </is>
      </c>
      <c r="G4350" s="12" t="inlineStr">
        <is>
          <t>RICE-8</t>
        </is>
      </c>
      <c r="H4350" s="12" t="inlineStr">
        <is>
          <t>RICE engine-generator 8</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161</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I-C-0137</t>
        </is>
      </c>
      <c r="B4351" s="12" t="inlineStr">
        <is>
          <t>I</t>
        </is>
      </c>
      <c r="C4351" s="12" t="inlineStr">
        <is>
          <t>Modular / portable power</t>
        </is>
      </c>
      <c r="D4351" s="12" t="inlineStr">
        <is>
          <t>Motor 5 of 6: control / local station</t>
        </is>
      </c>
      <c r="E4351" s="12" t="inlineStr"/>
      <c r="F4351" s="12" t="inlineStr">
        <is>
          <t>PCM: power control module</t>
        </is>
      </c>
      <c r="G4351" s="12" t="inlineStr">
        <is>
          <t>RICE-8</t>
        </is>
      </c>
      <c r="H4351" s="12" t="inlineStr">
        <is>
          <t>RICE engine-generator 8</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6" t="n">
        <v>0</v>
      </c>
      <c r="U4351" s="16" t="n">
        <v>161</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I-C-0138</t>
        </is>
      </c>
      <c r="B4352" s="12" t="inlineStr">
        <is>
          <t>I</t>
        </is>
      </c>
      <c r="C4352" s="12" t="inlineStr">
        <is>
          <t>Modular / portable power</t>
        </is>
      </c>
      <c r="D4352" s="12" t="inlineStr">
        <is>
          <t>Motor 6 of 6: control / local station</t>
        </is>
      </c>
      <c r="E4352" s="12" t="inlineStr"/>
      <c r="F4352" s="12" t="inlineStr">
        <is>
          <t>PCM: power control module</t>
        </is>
      </c>
      <c r="G4352" s="12" t="inlineStr">
        <is>
          <t>RICE-8</t>
        </is>
      </c>
      <c r="H4352" s="12" t="inlineStr">
        <is>
          <t>RICE engine-generator 8</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6" t="n">
        <v>0</v>
      </c>
      <c r="U4352" s="16" t="n">
        <v>161</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I-C-0139</t>
        </is>
      </c>
      <c r="B4353" s="12" t="inlineStr">
        <is>
          <t>I</t>
        </is>
      </c>
      <c r="C4353" s="12" t="inlineStr">
        <is>
          <t>Modular / portable power</t>
        </is>
      </c>
      <c r="D4353" s="12" t="inlineStr">
        <is>
          <t>Control</t>
        </is>
      </c>
      <c r="E4353" s="12" t="inlineStr"/>
      <c r="F4353" s="12" t="inlineStr">
        <is>
          <t>PCM: power control module</t>
        </is>
      </c>
      <c r="G4353" s="12" t="inlineStr"/>
      <c r="H4353" s="12" t="inlineStr">
        <is>
          <t>Reagent storage</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6" t="n">
        <v>40</v>
      </c>
      <c r="U4353" s="16" t="n">
        <v>32</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I-C-0140</t>
        </is>
      </c>
      <c r="B4354" s="12" t="inlineStr">
        <is>
          <t>I</t>
        </is>
      </c>
      <c r="C4354" s="12" t="inlineStr">
        <is>
          <t>Modular / portable power</t>
        </is>
      </c>
      <c r="D4354" s="12" t="inlineStr">
        <is>
          <t>Motor 1 of 2: control / local station</t>
        </is>
      </c>
      <c r="E4354" s="12" t="inlineStr"/>
      <c r="F4354" s="12" t="inlineStr">
        <is>
          <t>SC-1 PCM + 15 kV GCB</t>
        </is>
      </c>
      <c r="G4354" s="12" t="inlineStr"/>
      <c r="H4354" s="12" t="inlineStr">
        <is>
          <t>SC-1 CEMS shelter</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6" t="n">
        <v>0</v>
      </c>
      <c r="U4354" s="16" t="n">
        <v>229</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I-C-0141</t>
        </is>
      </c>
      <c r="B4355" s="12" t="inlineStr">
        <is>
          <t>I</t>
        </is>
      </c>
      <c r="C4355" s="12" t="inlineStr">
        <is>
          <t>Modular / portable power</t>
        </is>
      </c>
      <c r="D4355" s="12" t="inlineStr">
        <is>
          <t>Motor 2 of 2: control / local station</t>
        </is>
      </c>
      <c r="E4355" s="12" t="inlineStr"/>
      <c r="F4355" s="12" t="inlineStr">
        <is>
          <t>SC-1 PCM + 15 kV GCB</t>
        </is>
      </c>
      <c r="G4355" s="12" t="inlineStr"/>
      <c r="H4355" s="12" t="inlineStr">
        <is>
          <t>SC-1 CEMS shelter</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6" t="n">
        <v>0</v>
      </c>
      <c r="U4355" s="16" t="n">
        <v>229</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I-C-0142</t>
        </is>
      </c>
      <c r="B4356" s="12" t="inlineStr">
        <is>
          <t>I</t>
        </is>
      </c>
      <c r="C4356" s="12" t="inlineStr">
        <is>
          <t>Modular / portable power</t>
        </is>
      </c>
      <c r="D4356" s="12" t="inlineStr">
        <is>
          <t>SC-1 generator CT / VT secondaries to the PCM protection</t>
        </is>
      </c>
      <c r="E4356" s="12" t="inlineStr">
        <is>
          <t>SC-1</t>
        </is>
      </c>
      <c r="F4356" s="12" t="inlineStr">
        <is>
          <t>SC-1: aeroderivative simple-cycle unit (LM6000 class)</t>
        </is>
      </c>
      <c r="G4356" s="12" t="inlineStr"/>
      <c r="H4356" s="12" t="inlineStr">
        <is>
          <t>SC-1 PCM + 15 kV GCB</t>
        </is>
      </c>
      <c r="I4356" s="12" t="inlineStr">
        <is>
          <t>Control</t>
        </is>
      </c>
      <c r="J4356" s="12" t="inlineStr">
        <is>
          <t>Control cable 600 V Type TC-ER, Cu #10 AWG (CT / VT circuits)</t>
        </is>
      </c>
      <c r="K4356" s="12" t="inlineStr">
        <is>
          <t>CTCT|12/C|10</t>
        </is>
      </c>
      <c r="L4356" s="12" t="inlineStr">
        <is>
          <t>12/C</t>
        </is>
      </c>
      <c r="M4356" s="12" t="inlineStr">
        <is>
          <t>10</t>
        </is>
      </c>
      <c r="N4356" s="12" t="n">
        <v>2</v>
      </c>
      <c r="O4356" s="12" t="n">
        <v>1</v>
      </c>
      <c r="P4356" s="12" t="n"/>
      <c r="Q4356" s="12" t="n"/>
      <c r="R4356" s="12" t="n"/>
      <c r="S4356" s="12" t="inlineStr">
        <is>
          <t>Tray</t>
        </is>
      </c>
      <c r="T4356" s="16" t="n">
        <v>12</v>
      </c>
      <c r="U4356" s="16" t="n">
        <v>52</v>
      </c>
      <c r="V4356" s="16">
        <f>ROUNDUP((T4356+U4356+2*'Read Me'!$B$13)*(1+'Read Me'!$B$12),-1)</f>
        <v/>
      </c>
      <c r="W4356" s="16">
        <f>V4356*N4356*O4356</f>
        <v/>
      </c>
      <c r="X4356" s="12">
        <f>IF(LEFT(I4356,2)="MV",2*N4356*IF(L4356="1/C",O4356,1),0)</f>
        <v/>
      </c>
      <c r="Y4356" s="12">
        <f>IF(OR(LEFT(K4356,4)="LVAX",LEFT(K4356,6)="MV15AX",LEFT(K4356,4)="CTAX",LEFT(K4356,2)="W|"),2*N4356*O4356,0)</f>
        <v/>
      </c>
      <c r="Z4356" s="12" t="inlineStr">
        <is>
          <t>line-side and neutral CTs, VTs in the terminal box</t>
        </is>
      </c>
      <c r="AA4356" s="12">
        <f>N4356*O4356</f>
        <v/>
      </c>
    </row>
    <row r="4357">
      <c r="A4357" s="12" t="inlineStr">
        <is>
          <t>I-C-0143</t>
        </is>
      </c>
      <c r="B4357" s="12" t="inlineStr">
        <is>
          <t>I</t>
        </is>
      </c>
      <c r="C4357" s="12" t="inlineStr">
        <is>
          <t>Modular / portable power</t>
        </is>
      </c>
      <c r="D4357" s="12" t="inlineStr">
        <is>
          <t>Motor 1 of 2: control / local station</t>
        </is>
      </c>
      <c r="E4357" s="12" t="inlineStr"/>
      <c r="F4357" s="12" t="inlineStr">
        <is>
          <t>SC-1 PCM + 15 kV GCB</t>
        </is>
      </c>
      <c r="G4357" s="12" t="inlineStr"/>
      <c r="H4357" s="12" t="inlineStr">
        <is>
          <t>SC-1 ammonia flow-control unit</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152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I-C-0144</t>
        </is>
      </c>
      <c r="B4358" s="12" t="inlineStr">
        <is>
          <t>I</t>
        </is>
      </c>
      <c r="C4358" s="12" t="inlineStr">
        <is>
          <t>Modular / portable power</t>
        </is>
      </c>
      <c r="D4358" s="12" t="inlineStr">
        <is>
          <t>Motor 2 of 2: control / local station</t>
        </is>
      </c>
      <c r="E4358" s="12" t="inlineStr"/>
      <c r="F4358" s="12" t="inlineStr">
        <is>
          <t>SC-1 PCM + 15 kV GCB</t>
        </is>
      </c>
      <c r="G4358" s="12" t="inlineStr"/>
      <c r="H4358" s="12" t="inlineStr">
        <is>
          <t>SC-1 ammonia flow-control unit</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152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I-C-0145</t>
        </is>
      </c>
      <c r="B4359" s="12" t="inlineStr">
        <is>
          <t>I</t>
        </is>
      </c>
      <c r="C4359" s="12" t="inlineStr">
        <is>
          <t>Modular / portable power</t>
        </is>
      </c>
      <c r="D4359" s="12" t="inlineStr">
        <is>
          <t>Solenoid to JB JB-SC-1 ammonia flow--SOL01: 4 x 2/C (field cables)</t>
        </is>
      </c>
      <c r="E4359" s="12" t="inlineStr"/>
      <c r="F4359" s="12" t="inlineStr">
        <is>
          <t>SC-1 ammonia flow-control unit</t>
        </is>
      </c>
      <c r="G4359" s="12" t="inlineStr">
        <is>
          <t>JB-SC-1 ammonia flow--SOL01</t>
        </is>
      </c>
      <c r="H4359" s="12" t="inlineStr">
        <is>
          <t>SC-1 ammonia flow-control unit</t>
        </is>
      </c>
      <c r="I4359" s="12" t="inlineStr">
        <is>
          <t>Control</t>
        </is>
      </c>
      <c r="J4359" s="12" t="inlineStr">
        <is>
          <t>Control cable 600 V Type TC-ER, Cu #14 AWG, PVC jacket</t>
        </is>
      </c>
      <c r="K4359" s="12" t="inlineStr">
        <is>
          <t>CT|2/C|14</t>
        </is>
      </c>
      <c r="L4359" s="12" t="inlineStr">
        <is>
          <t>2/C</t>
        </is>
      </c>
      <c r="M4359" s="12" t="inlineStr">
        <is>
          <t>14</t>
        </is>
      </c>
      <c r="N4359" s="12" t="n">
        <v>4</v>
      </c>
      <c r="O4359" s="12" t="n">
        <v>1</v>
      </c>
      <c r="P4359" s="12" t="n"/>
      <c r="Q4359" s="12" t="n"/>
      <c r="R4359" s="12" t="n"/>
      <c r="S4359" s="12" t="inlineStr">
        <is>
          <t>Tray / conduit</t>
        </is>
      </c>
      <c r="T4359" s="16" t="n">
        <v>40</v>
      </c>
      <c r="U4359" s="16" t="n">
        <v>10</v>
      </c>
      <c r="V4359" s="16">
        <f>ROUNDUP((T4359+U4359+2*'Read Me'!$B$13)*(1+'Read Me'!$B$12),-1)</f>
        <v/>
      </c>
      <c r="W4359" s="16">
        <f>V4359*N4359*O4359</f>
        <v/>
      </c>
      <c r="X4359" s="12">
        <f>IF(LEFT(I4359,2)="MV",2*N4359*IF(L4359="1/C",O4359,1),0)</f>
        <v/>
      </c>
      <c r="Y4359" s="12">
        <f>IF(OR(LEFT(K4359,4)="LVAX",LEFT(K4359,6)="MV15AX",LEFT(K4359,4)="CTAX",LEFT(K4359,2)="W|"),2*N4359*O4359,0)</f>
        <v/>
      </c>
      <c r="Z4359" s="12" t="inlineStr">
        <is>
          <t>device-to-JB field wiring, one cable per device</t>
        </is>
      </c>
      <c r="AA4359" s="12">
        <f>N4359*O4359</f>
        <v/>
      </c>
    </row>
    <row r="4360">
      <c r="A4360" s="12" t="inlineStr">
        <is>
          <t>I-C-0146</t>
        </is>
      </c>
      <c r="B4360" s="12" t="inlineStr">
        <is>
          <t>I</t>
        </is>
      </c>
      <c r="C4360" s="12" t="inlineStr">
        <is>
          <t>Modular / portable power</t>
        </is>
      </c>
      <c r="D4360" s="12" t="inlineStr">
        <is>
          <t>Home run JB-SC-1 ammonia flow--SOL01 to the control / marshalling room</t>
        </is>
      </c>
      <c r="E4360" s="12" t="inlineStr"/>
      <c r="F4360" s="12" t="inlineStr">
        <is>
          <t>SC-1 PCM + 15 kV GCB</t>
        </is>
      </c>
      <c r="G4360" s="12" t="inlineStr">
        <is>
          <t>JB-SC-1 ammonia flow--SOL01</t>
        </is>
      </c>
      <c r="H4360" s="12" t="inlineStr">
        <is>
          <t>SC-1 ammonia flow-control unit</t>
        </is>
      </c>
      <c r="I4360" s="12" t="inlineStr">
        <is>
          <t>Control</t>
        </is>
      </c>
      <c r="J4360" s="12" t="inlineStr">
        <is>
          <t>Control cable 600 V Type TC-ER, Cu #14 AWG, PVC jacket</t>
        </is>
      </c>
      <c r="K4360" s="12" t="inlineStr">
        <is>
          <t>CT|25/C|14</t>
        </is>
      </c>
      <c r="L4360" s="12" t="inlineStr">
        <is>
          <t>25/C</t>
        </is>
      </c>
      <c r="M4360" s="12" t="inlineStr">
        <is>
          <t>14</t>
        </is>
      </c>
      <c r="N4360" s="12" t="n">
        <v>1</v>
      </c>
      <c r="O4360" s="12" t="n">
        <v>1</v>
      </c>
      <c r="P4360" s="12" t="n"/>
      <c r="Q4360" s="12" t="n"/>
      <c r="R4360" s="12" t="n"/>
      <c r="S4360" s="12" t="inlineStr">
        <is>
          <t>Tray</t>
        </is>
      </c>
      <c r="T4360" s="16" t="n">
        <v>0</v>
      </c>
      <c r="U4360" s="16" t="n">
        <v>152</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I-C-0147</t>
        </is>
      </c>
      <c r="B4361" s="12" t="inlineStr">
        <is>
          <t>I</t>
        </is>
      </c>
      <c r="C4361" s="12" t="inlineStr">
        <is>
          <t>Modular / portable power</t>
        </is>
      </c>
      <c r="D4361" s="12" t="inlineStr">
        <is>
          <t>Motor 1 of 1: control / local station</t>
        </is>
      </c>
      <c r="E4361" s="12" t="inlineStr"/>
      <c r="F4361" s="12" t="inlineStr">
        <is>
          <t>SC-1 PCM + 15 kV GCB</t>
        </is>
      </c>
      <c r="G4361" s="12" t="inlineStr"/>
      <c r="H4361" s="12" t="inlineStr">
        <is>
          <t>SC-1 auxiliary skids: fuel-gas module, water-wash skid</t>
        </is>
      </c>
      <c r="I4361" s="12" t="inlineStr">
        <is>
          <t>Control</t>
        </is>
      </c>
      <c r="J4361" s="12" t="inlineStr">
        <is>
          <t>ARMOR-X MC-HL 600 V control, Cu #14 AWG (Class I Div 2)</t>
        </is>
      </c>
      <c r="K4361" s="12" t="inlineStr">
        <is>
          <t>CTAX|7/C|14</t>
        </is>
      </c>
      <c r="L4361" s="12" t="inlineStr">
        <is>
          <t>7/C</t>
        </is>
      </c>
      <c r="M4361" s="12" t="inlineStr">
        <is>
          <t>14</t>
        </is>
      </c>
      <c r="N4361" s="12" t="n">
        <v>1</v>
      </c>
      <c r="O4361" s="12" t="n">
        <v>1</v>
      </c>
      <c r="P4361" s="12" t="n"/>
      <c r="Q4361" s="12" t="n"/>
      <c r="R4361" s="12" t="n"/>
      <c r="S4361" s="12" t="inlineStr">
        <is>
          <t>Tray</t>
        </is>
      </c>
      <c r="T4361" s="16" t="n">
        <v>0</v>
      </c>
      <c r="U4361" s="16" t="n">
        <v>77</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I-C-0148</t>
        </is>
      </c>
      <c r="B4362" s="12" t="inlineStr">
        <is>
          <t>I</t>
        </is>
      </c>
      <c r="C4362" s="12" t="inlineStr">
        <is>
          <t>Modular / portable power</t>
        </is>
      </c>
      <c r="D4362" s="12" t="inlineStr">
        <is>
          <t>Solenoid to JB JB-SC-1 auxiliary ski-SOL01: 4 x 2/C (field cables)</t>
        </is>
      </c>
      <c r="E4362" s="12" t="inlineStr"/>
      <c r="F4362" s="12" t="inlineStr">
        <is>
          <t>SC-1 auxiliary skids: fuel-gas module, water-wash skid</t>
        </is>
      </c>
      <c r="G4362" s="12" t="inlineStr">
        <is>
          <t>JB-SC-1 auxiliary ski-SOL01</t>
        </is>
      </c>
      <c r="H4362" s="12" t="inlineStr">
        <is>
          <t>SC-1 auxiliary skids: fuel-gas module, water-wash skid</t>
        </is>
      </c>
      <c r="I4362" s="12" t="inlineStr">
        <is>
          <t>Control</t>
        </is>
      </c>
      <c r="J4362" s="12" t="inlineStr">
        <is>
          <t>ARMOR-X MC-HL 600 V control, Cu #14 AWG (Class I Div 2)</t>
        </is>
      </c>
      <c r="K4362" s="12" t="inlineStr">
        <is>
          <t>CTAX|2/C|14</t>
        </is>
      </c>
      <c r="L4362" s="12" t="inlineStr">
        <is>
          <t>2/C</t>
        </is>
      </c>
      <c r="M4362" s="12" t="inlineStr">
        <is>
          <t>14</t>
        </is>
      </c>
      <c r="N4362" s="12" t="n">
        <v>4</v>
      </c>
      <c r="O4362" s="12" t="n">
        <v>1</v>
      </c>
      <c r="P4362" s="12" t="n"/>
      <c r="Q4362" s="12" t="n"/>
      <c r="R4362" s="12" t="n"/>
      <c r="S4362" s="12" t="inlineStr">
        <is>
          <t>Tray / conduit</t>
        </is>
      </c>
      <c r="T4362" s="16" t="n">
        <v>63</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I-C-0149</t>
        </is>
      </c>
      <c r="B4363" s="12" t="inlineStr">
        <is>
          <t>I</t>
        </is>
      </c>
      <c r="C4363" s="12" t="inlineStr">
        <is>
          <t>Modular / portable power</t>
        </is>
      </c>
      <c r="D4363" s="12" t="inlineStr">
        <is>
          <t>Home run JB-SC-1 auxiliary ski-SOL01 to the control / marshalling room</t>
        </is>
      </c>
      <c r="E4363" s="12" t="inlineStr"/>
      <c r="F4363" s="12" t="inlineStr">
        <is>
          <t>SC-1 PCM + 15 kV GCB</t>
        </is>
      </c>
      <c r="G4363" s="12" t="inlineStr">
        <is>
          <t>JB-SC-1 auxiliary ski-SOL01</t>
        </is>
      </c>
      <c r="H4363" s="12" t="inlineStr">
        <is>
          <t>SC-1 auxiliary skids: fuel-gas module, water-wash skid</t>
        </is>
      </c>
      <c r="I4363" s="12" t="inlineStr">
        <is>
          <t>Control</t>
        </is>
      </c>
      <c r="J4363" s="12" t="inlineStr">
        <is>
          <t>ARMOR-X MC-HL 600 V control, Cu #14 AWG (Class I Div 2)</t>
        </is>
      </c>
      <c r="K4363" s="12" t="inlineStr">
        <is>
          <t>CTAX|25/C|14</t>
        </is>
      </c>
      <c r="L4363" s="12" t="inlineStr">
        <is>
          <t>25/C</t>
        </is>
      </c>
      <c r="M4363" s="12" t="inlineStr">
        <is>
          <t>14</t>
        </is>
      </c>
      <c r="N4363" s="12" t="n">
        <v>1</v>
      </c>
      <c r="O4363" s="12" t="n">
        <v>1</v>
      </c>
      <c r="P4363" s="12" t="n"/>
      <c r="Q4363" s="12" t="n"/>
      <c r="R4363" s="12" t="n"/>
      <c r="S4363" s="12" t="inlineStr">
        <is>
          <t>Tray</t>
        </is>
      </c>
      <c r="T4363" s="16" t="n">
        <v>0</v>
      </c>
      <c r="U4363" s="16" t="n">
        <v>77</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I-C-0150</t>
        </is>
      </c>
      <c r="B4364" s="12" t="inlineStr">
        <is>
          <t>I</t>
        </is>
      </c>
      <c r="C4364" s="12" t="inlineStr">
        <is>
          <t>Modular / portable power</t>
        </is>
      </c>
      <c r="D4364" s="12" t="inlineStr">
        <is>
          <t>Motor 1 of 4: control / local station</t>
        </is>
      </c>
      <c r="E4364" s="12" t="inlineStr"/>
      <c r="F4364" s="12" t="inlineStr">
        <is>
          <t>SC-1 PCM + 15 kV GCB</t>
        </is>
      </c>
      <c r="G4364" s="12" t="inlineStr"/>
      <c r="H4364" s="12" t="inlineStr">
        <is>
          <t>SC-1 lube-oil fin-fan cooler</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82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I-C-0151</t>
        </is>
      </c>
      <c r="B4365" s="12" t="inlineStr">
        <is>
          <t>I</t>
        </is>
      </c>
      <c r="C4365" s="12" t="inlineStr">
        <is>
          <t>Modular / portable power</t>
        </is>
      </c>
      <c r="D4365" s="12" t="inlineStr">
        <is>
          <t>Motor 2 of 4: control / local station</t>
        </is>
      </c>
      <c r="E4365" s="12" t="inlineStr"/>
      <c r="F4365" s="12" t="inlineStr">
        <is>
          <t>SC-1 PCM + 15 kV GCB</t>
        </is>
      </c>
      <c r="G4365" s="12" t="inlineStr"/>
      <c r="H4365" s="12" t="inlineStr">
        <is>
          <t>SC-1 lube-oil fin-fan cooler</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82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I-C-0152</t>
        </is>
      </c>
      <c r="B4366" s="12" t="inlineStr">
        <is>
          <t>I</t>
        </is>
      </c>
      <c r="C4366" s="12" t="inlineStr">
        <is>
          <t>Modular / portable power</t>
        </is>
      </c>
      <c r="D4366" s="12" t="inlineStr">
        <is>
          <t>Motor 3 of 4: control / local station</t>
        </is>
      </c>
      <c r="E4366" s="12" t="inlineStr"/>
      <c r="F4366" s="12" t="inlineStr">
        <is>
          <t>SC-1 PCM + 15 kV GCB</t>
        </is>
      </c>
      <c r="G4366" s="12" t="inlineStr"/>
      <c r="H4366" s="12" t="inlineStr">
        <is>
          <t>SC-1 lube-oil fin-fan cooler</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82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I-C-0153</t>
        </is>
      </c>
      <c r="B4367" s="12" t="inlineStr">
        <is>
          <t>I</t>
        </is>
      </c>
      <c r="C4367" s="12" t="inlineStr">
        <is>
          <t>Modular / portable power</t>
        </is>
      </c>
      <c r="D4367" s="12" t="inlineStr">
        <is>
          <t>Motor 4 of 4: control / local station</t>
        </is>
      </c>
      <c r="E4367" s="12" t="inlineStr"/>
      <c r="F4367" s="12" t="inlineStr">
        <is>
          <t>SC-1 PCM + 15 kV GCB</t>
        </is>
      </c>
      <c r="G4367" s="12" t="inlineStr"/>
      <c r="H4367" s="12" t="inlineStr">
        <is>
          <t>SC-1 lube-oil fin-fan cooler</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82</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I-C-0154</t>
        </is>
      </c>
      <c r="B4368" s="12" t="inlineStr">
        <is>
          <t>I</t>
        </is>
      </c>
      <c r="C4368" s="12" t="inlineStr">
        <is>
          <t>Modular / portable power</t>
        </is>
      </c>
      <c r="D4368" s="12" t="inlineStr">
        <is>
          <t>Motor 1 of 2: control / local station</t>
        </is>
      </c>
      <c r="E4368" s="12" t="inlineStr"/>
      <c r="F4368" s="12" t="inlineStr">
        <is>
          <t>SC-1 PCM + 15 kV GCB</t>
        </is>
      </c>
      <c r="G4368" s="12" t="inlineStr"/>
      <c r="H4368" s="12" t="inlineStr">
        <is>
          <t>SC-1 tempering-air fans (2 x 100 %)</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156</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I-C-0155</t>
        </is>
      </c>
      <c r="B4369" s="12" t="inlineStr">
        <is>
          <t>I</t>
        </is>
      </c>
      <c r="C4369" s="12" t="inlineStr">
        <is>
          <t>Modular / portable power</t>
        </is>
      </c>
      <c r="D4369" s="12" t="inlineStr">
        <is>
          <t>Motor 2 of 2: control / local station</t>
        </is>
      </c>
      <c r="E4369" s="12" t="inlineStr"/>
      <c r="F4369" s="12" t="inlineStr">
        <is>
          <t>SC-1 PCM + 15 kV GCB</t>
        </is>
      </c>
      <c r="G4369" s="12" t="inlineStr"/>
      <c r="H4369" s="12" t="inlineStr">
        <is>
          <t>SC-1 tempering-air fans (2 x 100 %)</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156</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I-C-0156</t>
        </is>
      </c>
      <c r="B4370" s="12" t="inlineStr">
        <is>
          <t>I</t>
        </is>
      </c>
      <c r="C4370" s="12" t="inlineStr">
        <is>
          <t>Modular / portable power</t>
        </is>
      </c>
      <c r="D4370" s="12" t="inlineStr">
        <is>
          <t>Motor 1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I-C-0157</t>
        </is>
      </c>
      <c r="B4371" s="12" t="inlineStr">
        <is>
          <t>I</t>
        </is>
      </c>
      <c r="C4371" s="12" t="inlineStr">
        <is>
          <t>Modular / portable power</t>
        </is>
      </c>
      <c r="D4371" s="12" t="inlineStr">
        <is>
          <t>Motor 2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I-C-0158</t>
        </is>
      </c>
      <c r="B4372" s="12" t="inlineStr">
        <is>
          <t>I</t>
        </is>
      </c>
      <c r="C4372" s="12" t="inlineStr">
        <is>
          <t>Modular / portable power</t>
        </is>
      </c>
      <c r="D4372" s="12" t="inlineStr">
        <is>
          <t>Motor 3 of 10: control / local station</t>
        </is>
      </c>
      <c r="E4372" s="12" t="inlineStr"/>
      <c r="F4372" s="12" t="inlineStr">
        <is>
          <t>SC-1 PCM + 15 kV GCB</t>
        </is>
      </c>
      <c r="G4372" s="12" t="inlineStr">
        <is>
          <t>SC-1</t>
        </is>
      </c>
      <c r="H4372" s="12" t="inlineStr">
        <is>
          <t>SC-1: aeroderivative simple-cycle unit (LM6000 class)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Tray</t>
        </is>
      </c>
      <c r="T4372" s="16" t="n">
        <v>0</v>
      </c>
      <c r="U4372" s="16" t="n">
        <v>64</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I-C-0159</t>
        </is>
      </c>
      <c r="B4373" s="12" t="inlineStr">
        <is>
          <t>I</t>
        </is>
      </c>
      <c r="C4373" s="12" t="inlineStr">
        <is>
          <t>Modular / portable power</t>
        </is>
      </c>
      <c r="D4373" s="12" t="inlineStr">
        <is>
          <t>Motor 4 of 10: control / local station</t>
        </is>
      </c>
      <c r="E4373" s="12" t="inlineStr"/>
      <c r="F4373" s="12" t="inlineStr">
        <is>
          <t>SC-1 PCM + 15 kV GCB</t>
        </is>
      </c>
      <c r="G4373" s="12" t="inlineStr">
        <is>
          <t>SC-1</t>
        </is>
      </c>
      <c r="H4373" s="12" t="inlineStr">
        <is>
          <t>SC-1: aeroderivative simple-cycle unit (LM6000 class)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Tray</t>
        </is>
      </c>
      <c r="T4373" s="16" t="n">
        <v>0</v>
      </c>
      <c r="U4373" s="16" t="n">
        <v>64</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I-C-0160</t>
        </is>
      </c>
      <c r="B4374" s="12" t="inlineStr">
        <is>
          <t>I</t>
        </is>
      </c>
      <c r="C4374" s="12" t="inlineStr">
        <is>
          <t>Modular / portable power</t>
        </is>
      </c>
      <c r="D4374" s="12" t="inlineStr">
        <is>
          <t>Motor 5 of 10: control / local station</t>
        </is>
      </c>
      <c r="E4374" s="12" t="inlineStr"/>
      <c r="F4374" s="12" t="inlineStr">
        <is>
          <t>SC-1 PCM + 15 kV GCB</t>
        </is>
      </c>
      <c r="G4374" s="12" t="inlineStr">
        <is>
          <t>SC-1</t>
        </is>
      </c>
      <c r="H4374" s="12" t="inlineStr">
        <is>
          <t>SC-1: aeroderivative simple-cycle unit (LM6000 class)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Tray</t>
        </is>
      </c>
      <c r="T4374" s="16" t="n">
        <v>0</v>
      </c>
      <c r="U4374" s="16" t="n">
        <v>64</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I-C-0161</t>
        </is>
      </c>
      <c r="B4375" s="12" t="inlineStr">
        <is>
          <t>I</t>
        </is>
      </c>
      <c r="C4375" s="12" t="inlineStr">
        <is>
          <t>Modular / portable power</t>
        </is>
      </c>
      <c r="D4375" s="12" t="inlineStr">
        <is>
          <t>Motor 6 of 10: control / local station</t>
        </is>
      </c>
      <c r="E4375" s="12" t="inlineStr"/>
      <c r="F4375" s="12" t="inlineStr">
        <is>
          <t>SC-1 PCM + 15 kV GCB</t>
        </is>
      </c>
      <c r="G4375" s="12" t="inlineStr">
        <is>
          <t>SC-1</t>
        </is>
      </c>
      <c r="H4375" s="12" t="inlineStr">
        <is>
          <t>SC-1: aeroderivative simple-cycle unit (LM6000 class)</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64</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I-C-0162</t>
        </is>
      </c>
      <c r="B4376" s="12" t="inlineStr">
        <is>
          <t>I</t>
        </is>
      </c>
      <c r="C4376" s="12" t="inlineStr">
        <is>
          <t>Modular / portable power</t>
        </is>
      </c>
      <c r="D4376" s="12" t="inlineStr">
        <is>
          <t>Motor 7 of 10: control / local station</t>
        </is>
      </c>
      <c r="E4376" s="12" t="inlineStr"/>
      <c r="F4376" s="12" t="inlineStr">
        <is>
          <t>SC-1 PCM + 15 kV GCB</t>
        </is>
      </c>
      <c r="G4376" s="12" t="inlineStr">
        <is>
          <t>SC-1</t>
        </is>
      </c>
      <c r="H4376" s="12" t="inlineStr">
        <is>
          <t>SC-1: aeroderivative simple-cycle unit (LM6000 class)</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64</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I-C-0163</t>
        </is>
      </c>
      <c r="B4377" s="12" t="inlineStr">
        <is>
          <t>I</t>
        </is>
      </c>
      <c r="C4377" s="12" t="inlineStr">
        <is>
          <t>Modular / portable power</t>
        </is>
      </c>
      <c r="D4377" s="12" t="inlineStr">
        <is>
          <t>Motor 8 of 10: control / local station</t>
        </is>
      </c>
      <c r="E4377" s="12" t="inlineStr"/>
      <c r="F4377" s="12" t="inlineStr">
        <is>
          <t>SC-1 PCM + 15 kV GCB</t>
        </is>
      </c>
      <c r="G4377" s="12" t="inlineStr">
        <is>
          <t>SC-1</t>
        </is>
      </c>
      <c r="H4377" s="12" t="inlineStr">
        <is>
          <t>SC-1: aeroderivative simple-cycle unit (LM6000 class)</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Tray</t>
        </is>
      </c>
      <c r="T4377" s="16" t="n">
        <v>0</v>
      </c>
      <c r="U4377" s="16" t="n">
        <v>64</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I-C-0164</t>
        </is>
      </c>
      <c r="B4378" s="12" t="inlineStr">
        <is>
          <t>I</t>
        </is>
      </c>
      <c r="C4378" s="12" t="inlineStr">
        <is>
          <t>Modular / portable power</t>
        </is>
      </c>
      <c r="D4378" s="12" t="inlineStr">
        <is>
          <t>Motor 9 of 10: control / local station</t>
        </is>
      </c>
      <c r="E4378" s="12" t="inlineStr"/>
      <c r="F4378" s="12" t="inlineStr">
        <is>
          <t>SC-1 PCM + 15 kV GCB</t>
        </is>
      </c>
      <c r="G4378" s="12" t="inlineStr">
        <is>
          <t>SC-1</t>
        </is>
      </c>
      <c r="H4378" s="12" t="inlineStr">
        <is>
          <t>SC-1: aeroderivative simple-cycle unit (LM6000 class)</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Tray</t>
        </is>
      </c>
      <c r="T4378" s="16" t="n">
        <v>0</v>
      </c>
      <c r="U4378" s="16" t="n">
        <v>64</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I-C-0165</t>
        </is>
      </c>
      <c r="B4379" s="12" t="inlineStr">
        <is>
          <t>I</t>
        </is>
      </c>
      <c r="C4379" s="12" t="inlineStr">
        <is>
          <t>Modular / portable power</t>
        </is>
      </c>
      <c r="D4379" s="12" t="inlineStr">
        <is>
          <t>Motor 10 of 10: control / local station</t>
        </is>
      </c>
      <c r="E4379" s="12" t="inlineStr"/>
      <c r="F4379" s="12" t="inlineStr">
        <is>
          <t>SC-1 PCM + 15 kV GCB</t>
        </is>
      </c>
      <c r="G4379" s="12" t="inlineStr">
        <is>
          <t>SC-1</t>
        </is>
      </c>
      <c r="H4379" s="12" t="inlineStr">
        <is>
          <t>SC-1: aeroderivative simple-cycle unit (LM6000 class)</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Tray</t>
        </is>
      </c>
      <c r="T4379" s="16" t="n">
        <v>0</v>
      </c>
      <c r="U4379" s="16" t="n">
        <v>64</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I-C-0166</t>
        </is>
      </c>
      <c r="B4380" s="12" t="inlineStr">
        <is>
          <t>I</t>
        </is>
      </c>
      <c r="C4380" s="12" t="inlineStr">
        <is>
          <t>Modular / portable power</t>
        </is>
      </c>
      <c r="D4380" s="12" t="inlineStr">
        <is>
          <t>Motor 1 of 2: control / local station</t>
        </is>
      </c>
      <c r="E4380" s="12" t="inlineStr"/>
      <c r="F4380" s="12" t="inlineStr">
        <is>
          <t>SC-2 PCM + 15 kV GCB</t>
        </is>
      </c>
      <c r="G4380" s="12" t="inlineStr"/>
      <c r="H4380" s="12" t="inlineStr">
        <is>
          <t>SC-2 CEMS shelter</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25</v>
      </c>
      <c r="U4380" s="16" t="n">
        <v>197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I-C-0167</t>
        </is>
      </c>
      <c r="B4381" s="12" t="inlineStr">
        <is>
          <t>I</t>
        </is>
      </c>
      <c r="C4381" s="12" t="inlineStr">
        <is>
          <t>Modular / portable power</t>
        </is>
      </c>
      <c r="D4381" s="12" t="inlineStr">
        <is>
          <t>Motor 2 of 2: control / local station</t>
        </is>
      </c>
      <c r="E4381" s="12" t="inlineStr"/>
      <c r="F4381" s="12" t="inlineStr">
        <is>
          <t>SC-2 PCM + 15 kV GCB</t>
        </is>
      </c>
      <c r="G4381" s="12" t="inlineStr"/>
      <c r="H4381" s="12" t="inlineStr">
        <is>
          <t>SC-2 CEMS shelter</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6" t="n">
        <v>25</v>
      </c>
      <c r="U4381" s="16" t="n">
        <v>197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I-C-0168</t>
        </is>
      </c>
      <c r="B4382" s="12" t="inlineStr">
        <is>
          <t>I</t>
        </is>
      </c>
      <c r="C4382" s="12" t="inlineStr">
        <is>
          <t>Modular / portable power</t>
        </is>
      </c>
      <c r="D4382" s="12" t="inlineStr">
        <is>
          <t>SC-2 generator CT / VT secondaries to the PCM protection</t>
        </is>
      </c>
      <c r="E4382" s="12" t="inlineStr">
        <is>
          <t>SC-2</t>
        </is>
      </c>
      <c r="F4382" s="12" t="inlineStr">
        <is>
          <t>SC-2: aeroderivative simple-cycle unit (LM6000 class)</t>
        </is>
      </c>
      <c r="G4382" s="12" t="inlineStr"/>
      <c r="H4382" s="12" t="inlineStr">
        <is>
          <t>SC-2 PCM + 15 kV GCB</t>
        </is>
      </c>
      <c r="I4382" s="12" t="inlineStr">
        <is>
          <t>Control</t>
        </is>
      </c>
      <c r="J4382" s="12" t="inlineStr">
        <is>
          <t>Control cable 600 V Type TC-ER, Cu #10 AWG (CT / VT circuits)</t>
        </is>
      </c>
      <c r="K4382" s="12" t="inlineStr">
        <is>
          <t>CTCT|12/C|10</t>
        </is>
      </c>
      <c r="L4382" s="12" t="inlineStr">
        <is>
          <t>12/C</t>
        </is>
      </c>
      <c r="M4382" s="12" t="inlineStr">
        <is>
          <t>10</t>
        </is>
      </c>
      <c r="N4382" s="12" t="n">
        <v>2</v>
      </c>
      <c r="O4382" s="12" t="n">
        <v>1</v>
      </c>
      <c r="P4382" s="12" t="n"/>
      <c r="Q4382" s="12" t="n"/>
      <c r="R4382" s="12" t="n"/>
      <c r="S4382" s="12" t="inlineStr">
        <is>
          <t>Tray</t>
        </is>
      </c>
      <c r="T4382" s="16" t="n">
        <v>0</v>
      </c>
      <c r="U4382" s="16" t="n">
        <v>57</v>
      </c>
      <c r="V4382" s="16">
        <f>ROUNDUP((T4382+U4382+2*'Read Me'!$B$13)*(1+'Read Me'!$B$12),-1)</f>
        <v/>
      </c>
      <c r="W4382" s="16">
        <f>V4382*N4382*O4382</f>
        <v/>
      </c>
      <c r="X4382" s="12">
        <f>IF(LEFT(I4382,2)="MV",2*N4382*IF(L4382="1/C",O4382,1),0)</f>
        <v/>
      </c>
      <c r="Y4382" s="12">
        <f>IF(OR(LEFT(K4382,4)="LVAX",LEFT(K4382,6)="MV15AX",LEFT(K4382,4)="CTAX",LEFT(K4382,2)="W|"),2*N4382*O4382,0)</f>
        <v/>
      </c>
      <c r="Z4382" s="12" t="inlineStr">
        <is>
          <t>line-side and neutral CTs, VTs in the terminal box</t>
        </is>
      </c>
      <c r="AA4382" s="12">
        <f>N4382*O4382</f>
        <v/>
      </c>
    </row>
    <row r="4383">
      <c r="A4383" s="12" t="inlineStr">
        <is>
          <t>I-C-0169</t>
        </is>
      </c>
      <c r="B4383" s="12" t="inlineStr">
        <is>
          <t>I</t>
        </is>
      </c>
      <c r="C4383" s="12" t="inlineStr">
        <is>
          <t>Modular / portable power</t>
        </is>
      </c>
      <c r="D4383" s="12" t="inlineStr">
        <is>
          <t>Motor 1 of 2: control / local station</t>
        </is>
      </c>
      <c r="E4383" s="12" t="inlineStr"/>
      <c r="F4383" s="12" t="inlineStr">
        <is>
          <t>SC-2 PCM + 15 kV GCB</t>
        </is>
      </c>
      <c r="G4383" s="12" t="inlineStr"/>
      <c r="H4383" s="12" t="inlineStr">
        <is>
          <t>SC-2 ammonia flow-control unit</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152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I-C-0170</t>
        </is>
      </c>
      <c r="B4384" s="12" t="inlineStr">
        <is>
          <t>I</t>
        </is>
      </c>
      <c r="C4384" s="12" t="inlineStr">
        <is>
          <t>Modular / portable power</t>
        </is>
      </c>
      <c r="D4384" s="12" t="inlineStr">
        <is>
          <t>Motor 2 of 2: control / local station</t>
        </is>
      </c>
      <c r="E4384" s="12" t="inlineStr"/>
      <c r="F4384" s="12" t="inlineStr">
        <is>
          <t>SC-2 PCM + 15 kV GCB</t>
        </is>
      </c>
      <c r="G4384" s="12" t="inlineStr"/>
      <c r="H4384" s="12" t="inlineStr">
        <is>
          <t>SC-2 ammonia flow-control unit</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152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I-C-0171</t>
        </is>
      </c>
      <c r="B4385" s="12" t="inlineStr">
        <is>
          <t>I</t>
        </is>
      </c>
      <c r="C4385" s="12" t="inlineStr">
        <is>
          <t>Modular / portable power</t>
        </is>
      </c>
      <c r="D4385" s="12" t="inlineStr">
        <is>
          <t>Solenoid to JB JB-SC-2 ammonia flow--SOL01: 4 x 2/C (field cables)</t>
        </is>
      </c>
      <c r="E4385" s="12" t="inlineStr"/>
      <c r="F4385" s="12" t="inlineStr">
        <is>
          <t>SC-2 ammonia flow-control unit</t>
        </is>
      </c>
      <c r="G4385" s="12" t="inlineStr">
        <is>
          <t>JB-SC-2 ammonia flow--SOL01</t>
        </is>
      </c>
      <c r="H4385" s="12" t="inlineStr">
        <is>
          <t>SC-2 ammonia flow-control unit</t>
        </is>
      </c>
      <c r="I4385" s="12" t="inlineStr">
        <is>
          <t>Control</t>
        </is>
      </c>
      <c r="J4385" s="12" t="inlineStr">
        <is>
          <t>Control cable 600 V Type TC-ER, Cu #14 AWG, PVC jacket</t>
        </is>
      </c>
      <c r="K4385" s="12" t="inlineStr">
        <is>
          <t>CT|2/C|14</t>
        </is>
      </c>
      <c r="L4385" s="12" t="inlineStr">
        <is>
          <t>2/C</t>
        </is>
      </c>
      <c r="M4385" s="12" t="inlineStr">
        <is>
          <t>14</t>
        </is>
      </c>
      <c r="N4385" s="12" t="n">
        <v>4</v>
      </c>
      <c r="O4385" s="12" t="n">
        <v>1</v>
      </c>
      <c r="P4385" s="12" t="n"/>
      <c r="Q4385" s="12" t="n"/>
      <c r="R4385" s="12" t="n"/>
      <c r="S4385" s="12" t="inlineStr">
        <is>
          <t>Tray / conduit</t>
        </is>
      </c>
      <c r="T4385" s="16" t="n">
        <v>40</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I-C-0172</t>
        </is>
      </c>
      <c r="B4386" s="12" t="inlineStr">
        <is>
          <t>I</t>
        </is>
      </c>
      <c r="C4386" s="12" t="inlineStr">
        <is>
          <t>Modular / portable power</t>
        </is>
      </c>
      <c r="D4386" s="12" t="inlineStr">
        <is>
          <t>Home run JB-SC-2 ammonia flow--SOL01 to the control / marshalling room</t>
        </is>
      </c>
      <c r="E4386" s="12" t="inlineStr"/>
      <c r="F4386" s="12" t="inlineStr">
        <is>
          <t>SC-2 PCM + 15 kV GCB</t>
        </is>
      </c>
      <c r="G4386" s="12" t="inlineStr">
        <is>
          <t>JB-SC-2 ammonia flow--SOL01</t>
        </is>
      </c>
      <c r="H4386" s="12" t="inlineStr">
        <is>
          <t>SC-2 ammonia flow-control unit</t>
        </is>
      </c>
      <c r="I4386" s="12" t="inlineStr">
        <is>
          <t>Control</t>
        </is>
      </c>
      <c r="J4386" s="12" t="inlineStr">
        <is>
          <t>Control cable 600 V Type TC-ER, Cu #14 AWG, PVC jacket</t>
        </is>
      </c>
      <c r="K4386" s="12" t="inlineStr">
        <is>
          <t>CT|25/C|14</t>
        </is>
      </c>
      <c r="L4386" s="12" t="inlineStr">
        <is>
          <t>25/C</t>
        </is>
      </c>
      <c r="M4386" s="12" t="inlineStr">
        <is>
          <t>14</t>
        </is>
      </c>
      <c r="N4386" s="12" t="n">
        <v>1</v>
      </c>
      <c r="O4386" s="12" t="n">
        <v>1</v>
      </c>
      <c r="P4386" s="12" t="n"/>
      <c r="Q4386" s="12" t="n"/>
      <c r="R4386" s="12" t="n"/>
      <c r="S4386" s="12" t="inlineStr">
        <is>
          <t>Tray</t>
        </is>
      </c>
      <c r="T4386" s="16" t="n">
        <v>0</v>
      </c>
      <c r="U4386" s="16" t="n">
        <v>152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I-C-0173</t>
        </is>
      </c>
      <c r="B4387" s="12" t="inlineStr">
        <is>
          <t>I</t>
        </is>
      </c>
      <c r="C4387" s="12" t="inlineStr">
        <is>
          <t>Modular / portable power</t>
        </is>
      </c>
      <c r="D4387" s="12" t="inlineStr">
        <is>
          <t>Motor 1 of 1: control / local station</t>
        </is>
      </c>
      <c r="E4387" s="12" t="inlineStr"/>
      <c r="F4387" s="12" t="inlineStr">
        <is>
          <t>SC-2 PCM + 15 kV GCB</t>
        </is>
      </c>
      <c r="G4387" s="12" t="inlineStr"/>
      <c r="H4387" s="12" t="inlineStr">
        <is>
          <t>SC-2 auxiliary skids: fuel-gas module, water-wash skid</t>
        </is>
      </c>
      <c r="I4387" s="12" t="inlineStr">
        <is>
          <t>Control</t>
        </is>
      </c>
      <c r="J4387" s="12" t="inlineStr">
        <is>
          <t>ARMOR-X MC-HL 600 V control, Cu #14 AWG (Class I Div 2)</t>
        </is>
      </c>
      <c r="K4387" s="12" t="inlineStr">
        <is>
          <t>CTAX|7/C|14</t>
        </is>
      </c>
      <c r="L4387" s="12" t="inlineStr">
        <is>
          <t>7/C</t>
        </is>
      </c>
      <c r="M4387" s="12" t="inlineStr">
        <is>
          <t>14</t>
        </is>
      </c>
      <c r="N4387" s="12" t="n">
        <v>1</v>
      </c>
      <c r="O4387" s="12" t="n">
        <v>1</v>
      </c>
      <c r="P4387" s="12" t="n"/>
      <c r="Q4387" s="12" t="n"/>
      <c r="R4387" s="12" t="n"/>
      <c r="S4387" s="12" t="inlineStr">
        <is>
          <t>Tray</t>
        </is>
      </c>
      <c r="T4387" s="16" t="n">
        <v>0</v>
      </c>
      <c r="U4387" s="16" t="n">
        <v>77</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I-C-0174</t>
        </is>
      </c>
      <c r="B4388" s="12" t="inlineStr">
        <is>
          <t>I</t>
        </is>
      </c>
      <c r="C4388" s="12" t="inlineStr">
        <is>
          <t>Modular / portable power</t>
        </is>
      </c>
      <c r="D4388" s="12" t="inlineStr">
        <is>
          <t>Solenoid to JB JB-SC-2 auxiliary ski-SOL01: 4 x 2/C (field cables)</t>
        </is>
      </c>
      <c r="E4388" s="12" t="inlineStr"/>
      <c r="F4388" s="12" t="inlineStr">
        <is>
          <t>SC-2 auxiliary skids: fuel-gas module, water-wash skid</t>
        </is>
      </c>
      <c r="G4388" s="12" t="inlineStr">
        <is>
          <t>JB-SC-2 auxiliary ski-SOL01</t>
        </is>
      </c>
      <c r="H4388" s="12" t="inlineStr">
        <is>
          <t>SC-2 auxiliary skids: fuel-gas module, water-wash skid</t>
        </is>
      </c>
      <c r="I4388" s="12" t="inlineStr">
        <is>
          <t>Control</t>
        </is>
      </c>
      <c r="J4388" s="12" t="inlineStr">
        <is>
          <t>ARMOR-X MC-HL 600 V control, Cu #14 AWG (Class I Div 2)</t>
        </is>
      </c>
      <c r="K4388" s="12" t="inlineStr">
        <is>
          <t>CTAX|2/C|14</t>
        </is>
      </c>
      <c r="L4388" s="12" t="inlineStr">
        <is>
          <t>2/C</t>
        </is>
      </c>
      <c r="M4388" s="12" t="inlineStr">
        <is>
          <t>14</t>
        </is>
      </c>
      <c r="N4388" s="12" t="n">
        <v>4</v>
      </c>
      <c r="O4388" s="12" t="n">
        <v>1</v>
      </c>
      <c r="P4388" s="12" t="n"/>
      <c r="Q4388" s="12" t="n"/>
      <c r="R4388" s="12" t="n"/>
      <c r="S4388" s="12" t="inlineStr">
        <is>
          <t>Tray / conduit</t>
        </is>
      </c>
      <c r="T4388" s="16" t="n">
        <v>63</v>
      </c>
      <c r="U4388" s="16" t="n">
        <v>10</v>
      </c>
      <c r="V4388" s="16">
        <f>ROUNDUP((T4388+U4388+2*'Read Me'!$B$13)*(1+'Read Me'!$B$12),-1)</f>
        <v/>
      </c>
      <c r="W4388" s="16">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I-C-0175</t>
        </is>
      </c>
      <c r="B4389" s="12" t="inlineStr">
        <is>
          <t>I</t>
        </is>
      </c>
      <c r="C4389" s="12" t="inlineStr">
        <is>
          <t>Modular / portable power</t>
        </is>
      </c>
      <c r="D4389" s="12" t="inlineStr">
        <is>
          <t>Home run JB-SC-2 auxiliary ski-SOL01 to the control / marshalling room</t>
        </is>
      </c>
      <c r="E4389" s="12" t="inlineStr"/>
      <c r="F4389" s="12" t="inlineStr">
        <is>
          <t>SC-2 PCM + 15 kV GCB</t>
        </is>
      </c>
      <c r="G4389" s="12" t="inlineStr">
        <is>
          <t>JB-SC-2 auxiliary ski-SOL01</t>
        </is>
      </c>
      <c r="H4389" s="12" t="inlineStr">
        <is>
          <t>SC-2 auxiliary skids: fuel-gas module, water-wash skid</t>
        </is>
      </c>
      <c r="I4389" s="12" t="inlineStr">
        <is>
          <t>Control</t>
        </is>
      </c>
      <c r="J4389" s="12" t="inlineStr">
        <is>
          <t>ARMOR-X MC-HL 600 V control, Cu #14 AWG (Class I Div 2)</t>
        </is>
      </c>
      <c r="K4389" s="12" t="inlineStr">
        <is>
          <t>CTAX|25/C|14</t>
        </is>
      </c>
      <c r="L4389" s="12" t="inlineStr">
        <is>
          <t>25/C</t>
        </is>
      </c>
      <c r="M4389" s="12" t="inlineStr">
        <is>
          <t>14</t>
        </is>
      </c>
      <c r="N4389" s="12" t="n">
        <v>1</v>
      </c>
      <c r="O4389" s="12" t="n">
        <v>1</v>
      </c>
      <c r="P4389" s="12" t="n"/>
      <c r="Q4389" s="12" t="n"/>
      <c r="R4389" s="12" t="n"/>
      <c r="S4389" s="12" t="inlineStr">
        <is>
          <t>Tray</t>
        </is>
      </c>
      <c r="T4389" s="16" t="n">
        <v>0</v>
      </c>
      <c r="U4389" s="16" t="n">
        <v>77</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I-C-0176</t>
        </is>
      </c>
      <c r="B4390" s="12" t="inlineStr">
        <is>
          <t>I</t>
        </is>
      </c>
      <c r="C4390" s="12" t="inlineStr">
        <is>
          <t>Modular / portable power</t>
        </is>
      </c>
      <c r="D4390" s="12" t="inlineStr">
        <is>
          <t>Motor 1 of 4: control / local station</t>
        </is>
      </c>
      <c r="E4390" s="12" t="inlineStr"/>
      <c r="F4390" s="12" t="inlineStr">
        <is>
          <t>SC-2 PCM + 15 kV GCB</t>
        </is>
      </c>
      <c r="G4390" s="12" t="inlineStr"/>
      <c r="H4390" s="12" t="inlineStr">
        <is>
          <t>SC-2 lube-oil fin-fan cooler</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Tray</t>
        </is>
      </c>
      <c r="T4390" s="16" t="n">
        <v>0</v>
      </c>
      <c r="U4390" s="16" t="n">
        <v>82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I-C-0177</t>
        </is>
      </c>
      <c r="B4391" s="12" t="inlineStr">
        <is>
          <t>I</t>
        </is>
      </c>
      <c r="C4391" s="12" t="inlineStr">
        <is>
          <t>Modular / portable power</t>
        </is>
      </c>
      <c r="D4391" s="12" t="inlineStr">
        <is>
          <t>Motor 2 of 4: control / local station</t>
        </is>
      </c>
      <c r="E4391" s="12" t="inlineStr"/>
      <c r="F4391" s="12" t="inlineStr">
        <is>
          <t>SC-2 PCM + 15 kV GCB</t>
        </is>
      </c>
      <c r="G4391" s="12" t="inlineStr"/>
      <c r="H4391" s="12" t="inlineStr">
        <is>
          <t>SC-2 lube-oil fin-fan cooler</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6" t="n">
        <v>0</v>
      </c>
      <c r="U4391" s="16" t="n">
        <v>82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I-C-0178</t>
        </is>
      </c>
      <c r="B4392" s="12" t="inlineStr">
        <is>
          <t>I</t>
        </is>
      </c>
      <c r="C4392" s="12" t="inlineStr">
        <is>
          <t>Modular / portable power</t>
        </is>
      </c>
      <c r="D4392" s="12" t="inlineStr">
        <is>
          <t>Motor 3 of 4: control / local station</t>
        </is>
      </c>
      <c r="E4392" s="12" t="inlineStr"/>
      <c r="F4392" s="12" t="inlineStr">
        <is>
          <t>SC-2 PCM + 15 kV GCB</t>
        </is>
      </c>
      <c r="G4392" s="12" t="inlineStr"/>
      <c r="H4392" s="12" t="inlineStr">
        <is>
          <t>SC-2 lube-oil fin-fan cooler</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6" t="n">
        <v>0</v>
      </c>
      <c r="U4392" s="16" t="n">
        <v>82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I-C-0179</t>
        </is>
      </c>
      <c r="B4393" s="12" t="inlineStr">
        <is>
          <t>I</t>
        </is>
      </c>
      <c r="C4393" s="12" t="inlineStr">
        <is>
          <t>Modular / portable power</t>
        </is>
      </c>
      <c r="D4393" s="12" t="inlineStr">
        <is>
          <t>Motor 4 of 4: control / local station</t>
        </is>
      </c>
      <c r="E4393" s="12" t="inlineStr"/>
      <c r="F4393" s="12" t="inlineStr">
        <is>
          <t>SC-2 PCM + 15 kV GCB</t>
        </is>
      </c>
      <c r="G4393" s="12" t="inlineStr"/>
      <c r="H4393" s="12" t="inlineStr">
        <is>
          <t>SC-2 lube-oil fin-fan cooler</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6" t="n">
        <v>0</v>
      </c>
      <c r="U4393" s="16" t="n">
        <v>82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I-C-0180</t>
        </is>
      </c>
      <c r="B4394" s="12" t="inlineStr">
        <is>
          <t>I</t>
        </is>
      </c>
      <c r="C4394" s="12" t="inlineStr">
        <is>
          <t>Modular / portable power</t>
        </is>
      </c>
      <c r="D4394" s="12" t="inlineStr">
        <is>
          <t>Motor 1 of 2: control / local station</t>
        </is>
      </c>
      <c r="E4394" s="12" t="inlineStr"/>
      <c r="F4394" s="12" t="inlineStr">
        <is>
          <t>SC-2 PCM + 15 kV GCB</t>
        </is>
      </c>
      <c r="G4394" s="12" t="inlineStr"/>
      <c r="H4394" s="12" t="inlineStr">
        <is>
          <t>SC-2 tempering-air fans (2 x 100 %)</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124</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I-C-0181</t>
        </is>
      </c>
      <c r="B4395" s="12" t="inlineStr">
        <is>
          <t>I</t>
        </is>
      </c>
      <c r="C4395" s="12" t="inlineStr">
        <is>
          <t>Modular / portable power</t>
        </is>
      </c>
      <c r="D4395" s="12" t="inlineStr">
        <is>
          <t>Motor 2 of 2: control / local station</t>
        </is>
      </c>
      <c r="E4395" s="12" t="inlineStr"/>
      <c r="F4395" s="12" t="inlineStr">
        <is>
          <t>SC-2 PCM + 15 kV GCB</t>
        </is>
      </c>
      <c r="G4395" s="12" t="inlineStr"/>
      <c r="H4395" s="12" t="inlineStr">
        <is>
          <t>SC-2 tempering-air fans (2 x 100 %)</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124</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I-C-0182</t>
        </is>
      </c>
      <c r="B4396" s="12" t="inlineStr">
        <is>
          <t>I</t>
        </is>
      </c>
      <c r="C4396" s="12" t="inlineStr">
        <is>
          <t>Modular / portable power</t>
        </is>
      </c>
      <c r="D4396" s="12" t="inlineStr">
        <is>
          <t>Motor 1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I-C-0183</t>
        </is>
      </c>
      <c r="B4397" s="12" t="inlineStr">
        <is>
          <t>I</t>
        </is>
      </c>
      <c r="C4397" s="12" t="inlineStr">
        <is>
          <t>Modular / portable power</t>
        </is>
      </c>
      <c r="D4397" s="12" t="inlineStr">
        <is>
          <t>Motor 2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I-C-0184</t>
        </is>
      </c>
      <c r="B4398" s="12" t="inlineStr">
        <is>
          <t>I</t>
        </is>
      </c>
      <c r="C4398" s="12" t="inlineStr">
        <is>
          <t>Modular / portable power</t>
        </is>
      </c>
      <c r="D4398" s="12" t="inlineStr">
        <is>
          <t>Motor 3 of 10: control / local station</t>
        </is>
      </c>
      <c r="E4398" s="12" t="inlineStr"/>
      <c r="F4398" s="12" t="inlineStr">
        <is>
          <t>SC-2 PCM + 15 kV GCB</t>
        </is>
      </c>
      <c r="G4398" s="12" t="inlineStr">
        <is>
          <t>SC-2</t>
        </is>
      </c>
      <c r="H4398" s="12" t="inlineStr">
        <is>
          <t>SC-2: aeroderivative simple-cycle unit (LM6000 class)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25</v>
      </c>
      <c r="U4398" s="16" t="n">
        <v>32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I-C-0185</t>
        </is>
      </c>
      <c r="B4399" s="12" t="inlineStr">
        <is>
          <t>I</t>
        </is>
      </c>
      <c r="C4399" s="12" t="inlineStr">
        <is>
          <t>Modular / portable power</t>
        </is>
      </c>
      <c r="D4399" s="12" t="inlineStr">
        <is>
          <t>Motor 4 of 10: control / local station</t>
        </is>
      </c>
      <c r="E4399" s="12" t="inlineStr"/>
      <c r="F4399" s="12" t="inlineStr">
        <is>
          <t>SC-2 PCM + 15 kV GCB</t>
        </is>
      </c>
      <c r="G4399" s="12" t="inlineStr">
        <is>
          <t>SC-2</t>
        </is>
      </c>
      <c r="H4399" s="12" t="inlineStr">
        <is>
          <t>SC-2: aeroderivative simple-cycle unit (LM6000 class)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25</v>
      </c>
      <c r="U4399" s="16" t="n">
        <v>32</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I-C-0186</t>
        </is>
      </c>
      <c r="B4400" s="12" t="inlineStr">
        <is>
          <t>I</t>
        </is>
      </c>
      <c r="C4400" s="12" t="inlineStr">
        <is>
          <t>Modular / portable power</t>
        </is>
      </c>
      <c r="D4400" s="12" t="inlineStr">
        <is>
          <t>Motor 5 of 10: control / local station</t>
        </is>
      </c>
      <c r="E4400" s="12" t="inlineStr"/>
      <c r="F4400" s="12" t="inlineStr">
        <is>
          <t>SC-2 PCM + 15 kV GCB</t>
        </is>
      </c>
      <c r="G4400" s="12" t="inlineStr">
        <is>
          <t>SC-2</t>
        </is>
      </c>
      <c r="H4400" s="12" t="inlineStr">
        <is>
          <t>SC-2: aeroderivative simple-cycle unit (LM6000 class)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25</v>
      </c>
      <c r="U4400" s="16" t="n">
        <v>32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I-C-0187</t>
        </is>
      </c>
      <c r="B4401" s="12" t="inlineStr">
        <is>
          <t>I</t>
        </is>
      </c>
      <c r="C4401" s="12" t="inlineStr">
        <is>
          <t>Modular / portable power</t>
        </is>
      </c>
      <c r="D4401" s="12" t="inlineStr">
        <is>
          <t>Motor 6 of 10: control / local station</t>
        </is>
      </c>
      <c r="E4401" s="12" t="inlineStr"/>
      <c r="F4401" s="12" t="inlineStr">
        <is>
          <t>SC-2 PCM + 15 kV GCB</t>
        </is>
      </c>
      <c r="G4401" s="12" t="inlineStr">
        <is>
          <t>SC-2</t>
        </is>
      </c>
      <c r="H4401" s="12" t="inlineStr">
        <is>
          <t>SC-2: aeroderivative simple-cycle unit (LM6000 class)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25</v>
      </c>
      <c r="U4401" s="16" t="n">
        <v>32</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I-C-0188</t>
        </is>
      </c>
      <c r="B4402" s="12" t="inlineStr">
        <is>
          <t>I</t>
        </is>
      </c>
      <c r="C4402" s="12" t="inlineStr">
        <is>
          <t>Modular / portable power</t>
        </is>
      </c>
      <c r="D4402" s="12" t="inlineStr">
        <is>
          <t>Motor 7 of 10: control / local station</t>
        </is>
      </c>
      <c r="E4402" s="12" t="inlineStr"/>
      <c r="F4402" s="12" t="inlineStr">
        <is>
          <t>SC-2 PCM + 15 kV GCB</t>
        </is>
      </c>
      <c r="G4402" s="12" t="inlineStr">
        <is>
          <t>SC-2</t>
        </is>
      </c>
      <c r="H4402" s="12" t="inlineStr">
        <is>
          <t>SC-2: aeroderivative simple-cycle unit (LM6000 class)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25</v>
      </c>
      <c r="U4402" s="16" t="n">
        <v>32</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I-C-0189</t>
        </is>
      </c>
      <c r="B4403" s="12" t="inlineStr">
        <is>
          <t>I</t>
        </is>
      </c>
      <c r="C4403" s="12" t="inlineStr">
        <is>
          <t>Modular / portable power</t>
        </is>
      </c>
      <c r="D4403" s="12" t="inlineStr">
        <is>
          <t>Motor 8 of 10: control / local station</t>
        </is>
      </c>
      <c r="E4403" s="12" t="inlineStr"/>
      <c r="F4403" s="12" t="inlineStr">
        <is>
          <t>SC-2 PCM + 15 kV GCB</t>
        </is>
      </c>
      <c r="G4403" s="12" t="inlineStr">
        <is>
          <t>SC-2</t>
        </is>
      </c>
      <c r="H4403" s="12" t="inlineStr">
        <is>
          <t>SC-2: aeroderivative simple-cycle unit (LM6000 class)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25</v>
      </c>
      <c r="U4403" s="16" t="n">
        <v>32</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I-C-0190</t>
        </is>
      </c>
      <c r="B4404" s="12" t="inlineStr">
        <is>
          <t>I</t>
        </is>
      </c>
      <c r="C4404" s="12" t="inlineStr">
        <is>
          <t>Modular / portable power</t>
        </is>
      </c>
      <c r="D4404" s="12" t="inlineStr">
        <is>
          <t>Motor 9 of 10: control / local station</t>
        </is>
      </c>
      <c r="E4404" s="12" t="inlineStr"/>
      <c r="F4404" s="12" t="inlineStr">
        <is>
          <t>SC-2 PCM + 15 kV GCB</t>
        </is>
      </c>
      <c r="G4404" s="12" t="inlineStr">
        <is>
          <t>SC-2</t>
        </is>
      </c>
      <c r="H4404" s="12" t="inlineStr">
        <is>
          <t>SC-2: aeroderivative simple-cycle unit (LM6000 class)</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25</v>
      </c>
      <c r="U4404" s="16" t="n">
        <v>32</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I-C-0191</t>
        </is>
      </c>
      <c r="B4405" s="12" t="inlineStr">
        <is>
          <t>I</t>
        </is>
      </c>
      <c r="C4405" s="12" t="inlineStr">
        <is>
          <t>Modular / portable power</t>
        </is>
      </c>
      <c r="D4405" s="12" t="inlineStr">
        <is>
          <t>Motor 10 of 10: control / local station</t>
        </is>
      </c>
      <c r="E4405" s="12" t="inlineStr"/>
      <c r="F4405" s="12" t="inlineStr">
        <is>
          <t>SC-2 PCM + 15 kV GCB</t>
        </is>
      </c>
      <c r="G4405" s="12" t="inlineStr">
        <is>
          <t>SC-2</t>
        </is>
      </c>
      <c r="H4405" s="12" t="inlineStr">
        <is>
          <t>SC-2: aeroderivative simple-cycle unit (LM6000 class)</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25</v>
      </c>
      <c r="U4405" s="16" t="n">
        <v>32</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I-C-0192</t>
        </is>
      </c>
      <c r="B4406" s="12" t="inlineStr">
        <is>
          <t>I</t>
        </is>
      </c>
      <c r="C4406" s="12" t="inlineStr">
        <is>
          <t>Modular / portable power</t>
        </is>
      </c>
      <c r="D4406" s="12" t="inlineStr">
        <is>
          <t>Motor 1 of 6: control / local station</t>
        </is>
      </c>
      <c r="E4406" s="12" t="inlineStr"/>
      <c r="F4406" s="12" t="inlineStr">
        <is>
          <t>MOD-LV 480 V board + 480 V : 13.8 kV step-up</t>
        </is>
      </c>
      <c r="G4406" s="12" t="inlineStr"/>
      <c r="H4406" s="12" t="inlineStr">
        <is>
          <t>T-MOD 230 kV take-off gantry with arresters</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370</v>
      </c>
      <c r="U4406" s="16" t="n">
        <v>128</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I-C-0193</t>
        </is>
      </c>
      <c r="B4407" s="12" t="inlineStr">
        <is>
          <t>I</t>
        </is>
      </c>
      <c r="C4407" s="12" t="inlineStr">
        <is>
          <t>Modular / portable power</t>
        </is>
      </c>
      <c r="D4407" s="12" t="inlineStr">
        <is>
          <t>Motor 2 of 6: control / local station</t>
        </is>
      </c>
      <c r="E4407" s="12" t="inlineStr"/>
      <c r="F4407" s="12" t="inlineStr">
        <is>
          <t>MOD-LV 480 V board + 480 V : 13.8 kV step-up</t>
        </is>
      </c>
      <c r="G4407" s="12" t="inlineStr"/>
      <c r="H4407" s="12" t="inlineStr">
        <is>
          <t>T-MOD 230 kV take-off gantry with arresters</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370</v>
      </c>
      <c r="U4407" s="16" t="n">
        <v>128</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I-C-0194</t>
        </is>
      </c>
      <c r="B4408" s="12" t="inlineStr">
        <is>
          <t>I</t>
        </is>
      </c>
      <c r="C4408" s="12" t="inlineStr">
        <is>
          <t>Modular / portable power</t>
        </is>
      </c>
      <c r="D4408" s="12" t="inlineStr">
        <is>
          <t>Motor 3 of 6: control / local station</t>
        </is>
      </c>
      <c r="E4408" s="12" t="inlineStr"/>
      <c r="F4408" s="12" t="inlineStr">
        <is>
          <t>MOD-LV 480 V board + 480 V : 13.8 kV step-up</t>
        </is>
      </c>
      <c r="G4408" s="12" t="inlineStr"/>
      <c r="H4408" s="12" t="inlineStr">
        <is>
          <t>T-MOD 230 kV take-off gantry with arresters</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370</v>
      </c>
      <c r="U4408" s="16" t="n">
        <v>128</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I-C-0195</t>
        </is>
      </c>
      <c r="B4409" s="12" t="inlineStr">
        <is>
          <t>I</t>
        </is>
      </c>
      <c r="C4409" s="12" t="inlineStr">
        <is>
          <t>Modular / portable power</t>
        </is>
      </c>
      <c r="D4409" s="12" t="inlineStr">
        <is>
          <t>Motor 4 of 6: control / local station</t>
        </is>
      </c>
      <c r="E4409" s="12" t="inlineStr"/>
      <c r="F4409" s="12" t="inlineStr">
        <is>
          <t>MOD-LV 480 V board + 480 V : 13.8 kV step-up</t>
        </is>
      </c>
      <c r="G4409" s="12" t="inlineStr"/>
      <c r="H4409" s="12" t="inlineStr">
        <is>
          <t>T-MOD 230 kV take-off gantry with arresters</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370</v>
      </c>
      <c r="U4409" s="16" t="n">
        <v>128</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I-C-0196</t>
        </is>
      </c>
      <c r="B4410" s="12" t="inlineStr">
        <is>
          <t>I</t>
        </is>
      </c>
      <c r="C4410" s="12" t="inlineStr">
        <is>
          <t>Modular / portable power</t>
        </is>
      </c>
      <c r="D4410" s="12" t="inlineStr">
        <is>
          <t>Motor 5 of 6: control / local station</t>
        </is>
      </c>
      <c r="E4410" s="12" t="inlineStr"/>
      <c r="F4410" s="12" t="inlineStr">
        <is>
          <t>MOD-LV 480 V board + 480 V : 13.8 kV step-up</t>
        </is>
      </c>
      <c r="G4410" s="12" t="inlineStr"/>
      <c r="H4410" s="12" t="inlineStr">
        <is>
          <t>T-MOD 230 kV take-off gantry with arresters</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370</v>
      </c>
      <c r="U4410" s="16" t="n">
        <v>128</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I-C-0197</t>
        </is>
      </c>
      <c r="B4411" s="12" t="inlineStr">
        <is>
          <t>I</t>
        </is>
      </c>
      <c r="C4411" s="12" t="inlineStr">
        <is>
          <t>Modular / portable power</t>
        </is>
      </c>
      <c r="D4411" s="12" t="inlineStr">
        <is>
          <t>Motor 6 of 6: control / local station</t>
        </is>
      </c>
      <c r="E4411" s="12" t="inlineStr"/>
      <c r="F4411" s="12" t="inlineStr">
        <is>
          <t>MOD-LV 480 V board + 480 V : 13.8 kV step-up</t>
        </is>
      </c>
      <c r="G4411" s="12" t="inlineStr"/>
      <c r="H4411" s="12" t="inlineStr">
        <is>
          <t>T-MOD 230 kV take-off gantry with arresters</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370</v>
      </c>
      <c r="U4411" s="16" t="n">
        <v>128</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I-C-0198</t>
        </is>
      </c>
      <c r="B4412" s="12" t="inlineStr">
        <is>
          <t>I</t>
        </is>
      </c>
      <c r="C4412" s="12" t="inlineStr">
        <is>
          <t>Modular / portable power</t>
        </is>
      </c>
      <c r="D4412" s="12" t="inlineStr">
        <is>
          <t>Motor 1 of 6: control / local station</t>
        </is>
      </c>
      <c r="E4412" s="12" t="inlineStr"/>
      <c r="F4412" s="12" t="inlineStr">
        <is>
          <t>MOD-LV 480 V board + 480 V : 13.8 kV step-up</t>
        </is>
      </c>
      <c r="G4412" s="12" t="inlineStr"/>
      <c r="H4412" s="12" t="inlineStr">
        <is>
          <t>T-MOD-1 / T-MOD-2 firewall</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362</v>
      </c>
      <c r="U4412" s="16" t="n">
        <v>130</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I-C-0199</t>
        </is>
      </c>
      <c r="B4413" s="12" t="inlineStr">
        <is>
          <t>I</t>
        </is>
      </c>
      <c r="C4413" s="12" t="inlineStr">
        <is>
          <t>Modular / portable power</t>
        </is>
      </c>
      <c r="D4413" s="12" t="inlineStr">
        <is>
          <t>Motor 2 of 6: control / local station</t>
        </is>
      </c>
      <c r="E4413" s="12" t="inlineStr"/>
      <c r="F4413" s="12" t="inlineStr">
        <is>
          <t>MOD-LV 480 V board + 480 V : 13.8 kV step-up</t>
        </is>
      </c>
      <c r="G4413" s="12" t="inlineStr"/>
      <c r="H4413" s="12" t="inlineStr">
        <is>
          <t>T-MOD-1 / T-MOD-2 firewall</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362</v>
      </c>
      <c r="U4413" s="16" t="n">
        <v>130</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I-C-0200</t>
        </is>
      </c>
      <c r="B4414" s="12" t="inlineStr">
        <is>
          <t>I</t>
        </is>
      </c>
      <c r="C4414" s="12" t="inlineStr">
        <is>
          <t>Modular / portable power</t>
        </is>
      </c>
      <c r="D4414" s="12" t="inlineStr">
        <is>
          <t>Motor 3 of 6: control / local station</t>
        </is>
      </c>
      <c r="E4414" s="12" t="inlineStr"/>
      <c r="F4414" s="12" t="inlineStr">
        <is>
          <t>MOD-LV 480 V board + 480 V : 13.8 kV step-up</t>
        </is>
      </c>
      <c r="G4414" s="12" t="inlineStr"/>
      <c r="H4414" s="12" t="inlineStr">
        <is>
          <t>T-MOD-1 / T-MOD-2 firewall</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362</v>
      </c>
      <c r="U4414" s="16" t="n">
        <v>130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I-C-0201</t>
        </is>
      </c>
      <c r="B4415" s="12" t="inlineStr">
        <is>
          <t>I</t>
        </is>
      </c>
      <c r="C4415" s="12" t="inlineStr">
        <is>
          <t>Modular / portable power</t>
        </is>
      </c>
      <c r="D4415" s="12" t="inlineStr">
        <is>
          <t>Motor 4 of 6: control / local station</t>
        </is>
      </c>
      <c r="E4415" s="12" t="inlineStr"/>
      <c r="F4415" s="12" t="inlineStr">
        <is>
          <t>MOD-LV 480 V board + 480 V : 13.8 kV step-up</t>
        </is>
      </c>
      <c r="G4415" s="12" t="inlineStr"/>
      <c r="H4415" s="12" t="inlineStr">
        <is>
          <t>T-MOD-1 / T-MOD-2 firewall</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362</v>
      </c>
      <c r="U4415" s="16" t="n">
        <v>130</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I-C-0202</t>
        </is>
      </c>
      <c r="B4416" s="12" t="inlineStr">
        <is>
          <t>I</t>
        </is>
      </c>
      <c r="C4416" s="12" t="inlineStr">
        <is>
          <t>Modular / portable power</t>
        </is>
      </c>
      <c r="D4416" s="12" t="inlineStr">
        <is>
          <t>Motor 5 of 6: control / local station</t>
        </is>
      </c>
      <c r="E4416" s="12" t="inlineStr"/>
      <c r="F4416" s="12" t="inlineStr">
        <is>
          <t>MOD-LV 480 V board + 480 V : 13.8 kV step-up</t>
        </is>
      </c>
      <c r="G4416" s="12" t="inlineStr"/>
      <c r="H4416" s="12" t="inlineStr">
        <is>
          <t>T-MOD-1 / T-MOD-2 firewall</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362</v>
      </c>
      <c r="U4416" s="16" t="n">
        <v>130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I-C-0203</t>
        </is>
      </c>
      <c r="B4417" s="12" t="inlineStr">
        <is>
          <t>I</t>
        </is>
      </c>
      <c r="C4417" s="12" t="inlineStr">
        <is>
          <t>Modular / portable power</t>
        </is>
      </c>
      <c r="D4417" s="12" t="inlineStr">
        <is>
          <t>Motor 6 of 6: control / local station</t>
        </is>
      </c>
      <c r="E4417" s="12" t="inlineStr"/>
      <c r="F4417" s="12" t="inlineStr">
        <is>
          <t>MOD-LV 480 V board + 480 V : 13.8 kV step-up</t>
        </is>
      </c>
      <c r="G4417" s="12" t="inlineStr"/>
      <c r="H4417" s="12" t="inlineStr">
        <is>
          <t>T-MOD-1 / T-MOD-2 firewall</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362</v>
      </c>
      <c r="U4417" s="16" t="n">
        <v>130</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I-C-0204</t>
        </is>
      </c>
      <c r="B4418" s="12" t="inlineStr">
        <is>
          <t>I</t>
        </is>
      </c>
      <c r="C4418" s="12" t="inlineStr">
        <is>
          <t>Modular / portable power</t>
        </is>
      </c>
      <c r="D4418" s="12" t="inlineStr">
        <is>
          <t>Motor 1 of 6: control / local station</t>
        </is>
      </c>
      <c r="E4418" s="12" t="inlineStr"/>
      <c r="F4418" s="12" t="inlineStr">
        <is>
          <t>MOD-LV 480 V board + 480 V : 13.8 kV step-up</t>
        </is>
      </c>
      <c r="G4418" s="12" t="inlineStr">
        <is>
          <t>T-MOD-1</t>
        </is>
      </c>
      <c r="H4418" s="12" t="inlineStr">
        <is>
          <t>T-MOD-1: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362</v>
      </c>
      <c r="U4418" s="16" t="n">
        <v>82</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I-C-0205</t>
        </is>
      </c>
      <c r="B4419" s="12" t="inlineStr">
        <is>
          <t>I</t>
        </is>
      </c>
      <c r="C4419" s="12" t="inlineStr">
        <is>
          <t>Modular / portable power</t>
        </is>
      </c>
      <c r="D4419" s="12" t="inlineStr">
        <is>
          <t>Motor 2 of 6: control / local station</t>
        </is>
      </c>
      <c r="E4419" s="12" t="inlineStr"/>
      <c r="F4419" s="12" t="inlineStr">
        <is>
          <t>MOD-LV 480 V board + 480 V : 13.8 kV step-up</t>
        </is>
      </c>
      <c r="G4419" s="12" t="inlineStr">
        <is>
          <t>T-MOD-1</t>
        </is>
      </c>
      <c r="H4419" s="12" t="inlineStr">
        <is>
          <t>T-MOD-1: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362</v>
      </c>
      <c r="U4419" s="16" t="n">
        <v>82</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I-C-0206</t>
        </is>
      </c>
      <c r="B4420" s="12" t="inlineStr">
        <is>
          <t>I</t>
        </is>
      </c>
      <c r="C4420" s="12" t="inlineStr">
        <is>
          <t>Modular / portable power</t>
        </is>
      </c>
      <c r="D4420" s="12" t="inlineStr">
        <is>
          <t>Motor 3 of 6: control / local station</t>
        </is>
      </c>
      <c r="E4420" s="12" t="inlineStr"/>
      <c r="F4420" s="12" t="inlineStr">
        <is>
          <t>MOD-LV 480 V board + 480 V : 13.8 kV step-up</t>
        </is>
      </c>
      <c r="G4420" s="12" t="inlineStr">
        <is>
          <t>T-MOD-1</t>
        </is>
      </c>
      <c r="H4420" s="12" t="inlineStr">
        <is>
          <t>T-MOD-1: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362</v>
      </c>
      <c r="U4420" s="16" t="n">
        <v>82</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I-C-0207</t>
        </is>
      </c>
      <c r="B4421" s="12" t="inlineStr">
        <is>
          <t>I</t>
        </is>
      </c>
      <c r="C4421" s="12" t="inlineStr">
        <is>
          <t>Modular / portable power</t>
        </is>
      </c>
      <c r="D4421" s="12" t="inlineStr">
        <is>
          <t>Motor 4 of 6: control / local station</t>
        </is>
      </c>
      <c r="E4421" s="12" t="inlineStr"/>
      <c r="F4421" s="12" t="inlineStr">
        <is>
          <t>MOD-LV 480 V board + 480 V : 13.8 kV step-up</t>
        </is>
      </c>
      <c r="G4421" s="12" t="inlineStr">
        <is>
          <t>T-MOD-1</t>
        </is>
      </c>
      <c r="H4421" s="12" t="inlineStr">
        <is>
          <t>T-MOD-1: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362</v>
      </c>
      <c r="U4421" s="16" t="n">
        <v>82</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I-C-0208</t>
        </is>
      </c>
      <c r="B4422" s="12" t="inlineStr">
        <is>
          <t>I</t>
        </is>
      </c>
      <c r="C4422" s="12" t="inlineStr">
        <is>
          <t>Modular / portable power</t>
        </is>
      </c>
      <c r="D4422" s="12" t="inlineStr">
        <is>
          <t>Motor 5 of 6: control / local station</t>
        </is>
      </c>
      <c r="E4422" s="12" t="inlineStr"/>
      <c r="F4422" s="12" t="inlineStr">
        <is>
          <t>MOD-LV 480 V board + 480 V : 13.8 kV step-up</t>
        </is>
      </c>
      <c r="G4422" s="12" t="inlineStr">
        <is>
          <t>T-MOD-1</t>
        </is>
      </c>
      <c r="H4422" s="12" t="inlineStr">
        <is>
          <t>T-MOD-1: 13.8/230 kV</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362</v>
      </c>
      <c r="U4422" s="16" t="n">
        <v>82</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I-C-0209</t>
        </is>
      </c>
      <c r="B4423" s="12" t="inlineStr">
        <is>
          <t>I</t>
        </is>
      </c>
      <c r="C4423" s="12" t="inlineStr">
        <is>
          <t>Modular / portable power</t>
        </is>
      </c>
      <c r="D4423" s="12" t="inlineStr">
        <is>
          <t>Motor 6 of 6: control / local station</t>
        </is>
      </c>
      <c r="E4423" s="12" t="inlineStr"/>
      <c r="F4423" s="12" t="inlineStr">
        <is>
          <t>MOD-LV 480 V board + 480 V : 13.8 kV step-up</t>
        </is>
      </c>
      <c r="G4423" s="12" t="inlineStr">
        <is>
          <t>T-MOD-1</t>
        </is>
      </c>
      <c r="H4423" s="12" t="inlineStr">
        <is>
          <t>T-MOD-1: 13.8/230 kV</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362</v>
      </c>
      <c r="U4423" s="16" t="n">
        <v>82</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I-C-0210</t>
        </is>
      </c>
      <c r="B4424" s="12" t="inlineStr">
        <is>
          <t>I</t>
        </is>
      </c>
      <c r="C4424" s="12" t="inlineStr">
        <is>
          <t>Modular / portable power</t>
        </is>
      </c>
      <c r="D4424" s="12" t="inlineStr">
        <is>
          <t>Motor 1 of 6: control / local station</t>
        </is>
      </c>
      <c r="E4424" s="12" t="inlineStr"/>
      <c r="F4424" s="12" t="inlineStr">
        <is>
          <t>MOD-LV 480 V board + 480 V : 13.8 kV step-up</t>
        </is>
      </c>
      <c r="G4424" s="12" t="inlineStr">
        <is>
          <t>T-MOD-2</t>
        </is>
      </c>
      <c r="H4424" s="12" t="inlineStr">
        <is>
          <t>T-MOD-2: 13.8/230 kV</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3219</v>
      </c>
      <c r="U4424" s="16" t="n">
        <v>165</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I-C-0211</t>
        </is>
      </c>
      <c r="B4425" s="12" t="inlineStr">
        <is>
          <t>I</t>
        </is>
      </c>
      <c r="C4425" s="12" t="inlineStr">
        <is>
          <t>Modular / portable power</t>
        </is>
      </c>
      <c r="D4425" s="12" t="inlineStr">
        <is>
          <t>Motor 2 of 6: control / local station</t>
        </is>
      </c>
      <c r="E4425" s="12" t="inlineStr"/>
      <c r="F4425" s="12" t="inlineStr">
        <is>
          <t>MOD-LV 480 V board + 480 V : 13.8 kV step-up</t>
        </is>
      </c>
      <c r="G4425" s="12" t="inlineStr">
        <is>
          <t>T-MOD-2</t>
        </is>
      </c>
      <c r="H4425" s="12" t="inlineStr">
        <is>
          <t>T-MOD-2: 13.8/230 kV</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3219</v>
      </c>
      <c r="U4425" s="16" t="n">
        <v>165</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I-C-0212</t>
        </is>
      </c>
      <c r="B4426" s="12" t="inlineStr">
        <is>
          <t>I</t>
        </is>
      </c>
      <c r="C4426" s="12" t="inlineStr">
        <is>
          <t>Modular / portable power</t>
        </is>
      </c>
      <c r="D4426" s="12" t="inlineStr">
        <is>
          <t>Motor 3 of 6: control / local station</t>
        </is>
      </c>
      <c r="E4426" s="12" t="inlineStr"/>
      <c r="F4426" s="12" t="inlineStr">
        <is>
          <t>MOD-LV 480 V board + 480 V : 13.8 kV step-up</t>
        </is>
      </c>
      <c r="G4426" s="12" t="inlineStr">
        <is>
          <t>T-MOD-2</t>
        </is>
      </c>
      <c r="H4426" s="12" t="inlineStr">
        <is>
          <t>T-MOD-2: 13.8/230 kV</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3219</v>
      </c>
      <c r="U4426" s="16" t="n">
        <v>165</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I-C-0213</t>
        </is>
      </c>
      <c r="B4427" s="12" t="inlineStr">
        <is>
          <t>I</t>
        </is>
      </c>
      <c r="C4427" s="12" t="inlineStr">
        <is>
          <t>Modular / portable power</t>
        </is>
      </c>
      <c r="D4427" s="12" t="inlineStr">
        <is>
          <t>Motor 4 of 6: control / local station</t>
        </is>
      </c>
      <c r="E4427" s="12" t="inlineStr"/>
      <c r="F4427" s="12" t="inlineStr">
        <is>
          <t>MOD-LV 480 V board + 480 V : 13.8 kV step-up</t>
        </is>
      </c>
      <c r="G4427" s="12" t="inlineStr">
        <is>
          <t>T-MOD-2</t>
        </is>
      </c>
      <c r="H4427" s="12" t="inlineStr">
        <is>
          <t>T-MOD-2: 13.8/230 kV</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3219</v>
      </c>
      <c r="U4427" s="16" t="n">
        <v>165</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I-C-0214</t>
        </is>
      </c>
      <c r="B4428" s="12" t="inlineStr">
        <is>
          <t>I</t>
        </is>
      </c>
      <c r="C4428" s="12" t="inlineStr">
        <is>
          <t>Modular / portable power</t>
        </is>
      </c>
      <c r="D4428" s="12" t="inlineStr">
        <is>
          <t>Motor 5 of 6: control / local station</t>
        </is>
      </c>
      <c r="E4428" s="12" t="inlineStr"/>
      <c r="F4428" s="12" t="inlineStr">
        <is>
          <t>MOD-LV 480 V board + 480 V : 13.8 kV step-up</t>
        </is>
      </c>
      <c r="G4428" s="12" t="inlineStr">
        <is>
          <t>T-MOD-2</t>
        </is>
      </c>
      <c r="H4428" s="12" t="inlineStr">
        <is>
          <t>T-MOD-2: 13.8/230 kV</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3219</v>
      </c>
      <c r="U4428" s="16" t="n">
        <v>165</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I-C-0215</t>
        </is>
      </c>
      <c r="B4429" s="12" t="inlineStr">
        <is>
          <t>I</t>
        </is>
      </c>
      <c r="C4429" s="12" t="inlineStr">
        <is>
          <t>Modular / portable power</t>
        </is>
      </c>
      <c r="D4429" s="12" t="inlineStr">
        <is>
          <t>Motor 6 of 6: control / local station</t>
        </is>
      </c>
      <c r="E4429" s="12" t="inlineStr"/>
      <c r="F4429" s="12" t="inlineStr">
        <is>
          <t>MOD-LV 480 V board + 480 V : 13.8 kV step-up</t>
        </is>
      </c>
      <c r="G4429" s="12" t="inlineStr">
        <is>
          <t>T-MOD-2</t>
        </is>
      </c>
      <c r="H4429" s="12" t="inlineStr">
        <is>
          <t>T-MOD-2: 13.8/230 kV</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3219</v>
      </c>
      <c r="U4429" s="16" t="n">
        <v>165</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I-C-0216</t>
        </is>
      </c>
      <c r="B4430" s="12" t="inlineStr">
        <is>
          <t>I</t>
        </is>
      </c>
      <c r="C4430" s="12" t="inlineStr">
        <is>
          <t>Modular / portable power</t>
        </is>
      </c>
      <c r="D4430" s="12" t="inlineStr">
        <is>
          <t>Motor 1 of 6: control / local station</t>
        </is>
      </c>
      <c r="E4430" s="12" t="inlineStr"/>
      <c r="F4430" s="12" t="inlineStr">
        <is>
          <t>MOD-LV 480 V board + 480 V : 13.8 kV step-up</t>
        </is>
      </c>
      <c r="G4430" s="12" t="inlineStr">
        <is>
          <t>TM-1</t>
        </is>
      </c>
      <c r="H4430" s="12" t="inlineStr">
        <is>
          <t>TM-1: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3178</v>
      </c>
      <c r="U4430" s="16" t="n">
        <v>68</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I-C-0217</t>
        </is>
      </c>
      <c r="B4431" s="12" t="inlineStr">
        <is>
          <t>I</t>
        </is>
      </c>
      <c r="C4431" s="12" t="inlineStr">
        <is>
          <t>Modular / portable power</t>
        </is>
      </c>
      <c r="D4431" s="12" t="inlineStr">
        <is>
          <t>Motor 2 of 6: control / local station</t>
        </is>
      </c>
      <c r="E4431" s="12" t="inlineStr"/>
      <c r="F4431" s="12" t="inlineStr">
        <is>
          <t>MOD-LV 480 V board + 480 V : 13.8 kV step-up</t>
        </is>
      </c>
      <c r="G4431" s="12" t="inlineStr">
        <is>
          <t>TM-1</t>
        </is>
      </c>
      <c r="H4431" s="12" t="inlineStr">
        <is>
          <t>TM-1: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3178</v>
      </c>
      <c r="U4431" s="16" t="n">
        <v>68</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I-C-0218</t>
        </is>
      </c>
      <c r="B4432" s="12" t="inlineStr">
        <is>
          <t>I</t>
        </is>
      </c>
      <c r="C4432" s="12" t="inlineStr">
        <is>
          <t>Modular / portable power</t>
        </is>
      </c>
      <c r="D4432" s="12" t="inlineStr">
        <is>
          <t>Motor 3 of 6: control / local station</t>
        </is>
      </c>
      <c r="E4432" s="12" t="inlineStr"/>
      <c r="F4432" s="12" t="inlineStr">
        <is>
          <t>MOD-LV 480 V board + 480 V : 13.8 kV step-up</t>
        </is>
      </c>
      <c r="G4432" s="12" t="inlineStr">
        <is>
          <t>TM-1</t>
        </is>
      </c>
      <c r="H4432" s="12" t="inlineStr">
        <is>
          <t>TM-1: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3178</v>
      </c>
      <c r="U4432" s="16" t="n">
        <v>68</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I-C-0219</t>
        </is>
      </c>
      <c r="B4433" s="12" t="inlineStr">
        <is>
          <t>I</t>
        </is>
      </c>
      <c r="C4433" s="12" t="inlineStr">
        <is>
          <t>Modular / portable power</t>
        </is>
      </c>
      <c r="D4433" s="12" t="inlineStr">
        <is>
          <t>Motor 4 of 6: control / local station</t>
        </is>
      </c>
      <c r="E4433" s="12" t="inlineStr"/>
      <c r="F4433" s="12" t="inlineStr">
        <is>
          <t>MOD-LV 480 V board + 480 V : 13.8 kV step-up</t>
        </is>
      </c>
      <c r="G4433" s="12" t="inlineStr">
        <is>
          <t>TM-1</t>
        </is>
      </c>
      <c r="H4433" s="12" t="inlineStr">
        <is>
          <t>TM-1: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3178</v>
      </c>
      <c r="U4433" s="16" t="n">
        <v>68</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I-C-0220</t>
        </is>
      </c>
      <c r="B4434" s="12" t="inlineStr">
        <is>
          <t>I</t>
        </is>
      </c>
      <c r="C4434" s="12" t="inlineStr">
        <is>
          <t>Modular / portable power</t>
        </is>
      </c>
      <c r="D4434" s="12" t="inlineStr">
        <is>
          <t>Motor 5 of 6: control / local station</t>
        </is>
      </c>
      <c r="E4434" s="12" t="inlineStr"/>
      <c r="F4434" s="12" t="inlineStr">
        <is>
          <t>MOD-LV 480 V board + 480 V : 13.8 kV step-up</t>
        </is>
      </c>
      <c r="G4434" s="12" t="inlineStr">
        <is>
          <t>TM-1</t>
        </is>
      </c>
      <c r="H4434" s="12" t="inlineStr">
        <is>
          <t>TM-1: trailer-mounted aeroderivative GT (TM2500 class, ~35 MW)</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6" t="n">
        <v>3178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I-C-0221</t>
        </is>
      </c>
      <c r="B4435" s="12" t="inlineStr">
        <is>
          <t>I</t>
        </is>
      </c>
      <c r="C4435" s="12" t="inlineStr">
        <is>
          <t>Modular / portable power</t>
        </is>
      </c>
      <c r="D4435" s="12" t="inlineStr">
        <is>
          <t>Motor 6 of 6: control / local station</t>
        </is>
      </c>
      <c r="E4435" s="12" t="inlineStr"/>
      <c r="F4435" s="12" t="inlineStr">
        <is>
          <t>MOD-LV 480 V board + 480 V : 13.8 kV step-up</t>
        </is>
      </c>
      <c r="G4435" s="12" t="inlineStr">
        <is>
          <t>TM-1</t>
        </is>
      </c>
      <c r="H4435" s="12" t="inlineStr">
        <is>
          <t>TM-1: trailer-mounted aeroderivative GT (TM2500 class, ~35 MW)</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6" t="n">
        <v>3178</v>
      </c>
      <c r="U4435" s="16" t="n">
        <v>68</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I-C-0222</t>
        </is>
      </c>
      <c r="B4436" s="12" t="inlineStr">
        <is>
          <t>I</t>
        </is>
      </c>
      <c r="C4436" s="12" t="inlineStr">
        <is>
          <t>Modular / portable power</t>
        </is>
      </c>
      <c r="D4436" s="12" t="inlineStr">
        <is>
          <t>Motor 1 of 6: control / local station</t>
        </is>
      </c>
      <c r="E4436" s="12" t="inlineStr"/>
      <c r="F4436" s="12" t="inlineStr">
        <is>
          <t>MOD-LV 480 V board + 480 V : 13.8 kV step-up</t>
        </is>
      </c>
      <c r="G4436" s="12" t="inlineStr">
        <is>
          <t>TM-2</t>
        </is>
      </c>
      <c r="H4436" s="12" t="inlineStr">
        <is>
          <t>TM-2: trailer-mounted aeroderivative GT (TM2500 class, ~35 MW)</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Duct bank</t>
        </is>
      </c>
      <c r="T4436" s="16" t="n">
        <v>3178</v>
      </c>
      <c r="U4436" s="16" t="n">
        <v>74</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I-C-0223</t>
        </is>
      </c>
      <c r="B4437" s="12" t="inlineStr">
        <is>
          <t>I</t>
        </is>
      </c>
      <c r="C4437" s="12" t="inlineStr">
        <is>
          <t>Modular / portable power</t>
        </is>
      </c>
      <c r="D4437" s="12" t="inlineStr">
        <is>
          <t>Motor 2 of 6: control / local station</t>
        </is>
      </c>
      <c r="E4437" s="12" t="inlineStr"/>
      <c r="F4437" s="12" t="inlineStr">
        <is>
          <t>MOD-LV 480 V board + 480 V : 13.8 kV step-up</t>
        </is>
      </c>
      <c r="G4437" s="12" t="inlineStr">
        <is>
          <t>TM-2</t>
        </is>
      </c>
      <c r="H4437" s="12" t="inlineStr">
        <is>
          <t>TM-2: trailer-mounted aeroderivative GT (TM2500 class, ~35 MW)</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6" t="n">
        <v>3178</v>
      </c>
      <c r="U4437" s="16" t="n">
        <v>74</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I-C-0224</t>
        </is>
      </c>
      <c r="B4438" s="12" t="inlineStr">
        <is>
          <t>I</t>
        </is>
      </c>
      <c r="C4438" s="12" t="inlineStr">
        <is>
          <t>Modular / portable power</t>
        </is>
      </c>
      <c r="D4438" s="12" t="inlineStr">
        <is>
          <t>Motor 3 of 6: control / local station</t>
        </is>
      </c>
      <c r="E4438" s="12" t="inlineStr"/>
      <c r="F4438" s="12" t="inlineStr">
        <is>
          <t>MOD-LV 480 V board + 480 V : 13.8 kV step-up</t>
        </is>
      </c>
      <c r="G4438" s="12" t="inlineStr">
        <is>
          <t>TM-2</t>
        </is>
      </c>
      <c r="H4438" s="12" t="inlineStr">
        <is>
          <t>TM-2: trailer-mounted aeroderivative GT (TM2500 class, ~35 MW)</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6" t="n">
        <v>3178</v>
      </c>
      <c r="U4438" s="16" t="n">
        <v>74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I-C-0225</t>
        </is>
      </c>
      <c r="B4439" s="12" t="inlineStr">
        <is>
          <t>I</t>
        </is>
      </c>
      <c r="C4439" s="12" t="inlineStr">
        <is>
          <t>Modular / portable power</t>
        </is>
      </c>
      <c r="D4439" s="12" t="inlineStr">
        <is>
          <t>Motor 4 of 6: control / local station</t>
        </is>
      </c>
      <c r="E4439" s="12" t="inlineStr"/>
      <c r="F4439" s="12" t="inlineStr">
        <is>
          <t>MOD-LV 480 V board + 480 V : 13.8 kV step-up</t>
        </is>
      </c>
      <c r="G4439" s="12" t="inlineStr">
        <is>
          <t>TM-2</t>
        </is>
      </c>
      <c r="H4439" s="12" t="inlineStr">
        <is>
          <t>TM-2: trailer-mounted aeroderivative GT (TM2500 class, ~35 MW)</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6" t="n">
        <v>3178</v>
      </c>
      <c r="U4439" s="16" t="n">
        <v>74</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I-C-0226</t>
        </is>
      </c>
      <c r="B4440" s="12" t="inlineStr">
        <is>
          <t>I</t>
        </is>
      </c>
      <c r="C4440" s="12" t="inlineStr">
        <is>
          <t>Modular / portable power</t>
        </is>
      </c>
      <c r="D4440" s="12" t="inlineStr">
        <is>
          <t>Motor 5 of 6: control / local station</t>
        </is>
      </c>
      <c r="E4440" s="12" t="inlineStr"/>
      <c r="F4440" s="12" t="inlineStr">
        <is>
          <t>MOD-LV 480 V board + 480 V : 13.8 kV step-up</t>
        </is>
      </c>
      <c r="G4440" s="12" t="inlineStr">
        <is>
          <t>TM-2</t>
        </is>
      </c>
      <c r="H4440" s="12" t="inlineStr">
        <is>
          <t>TM-2: trailer-mounted aeroderivative GT (TM2500 class, ~35 MW)</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6" t="n">
        <v>3178</v>
      </c>
      <c r="U4440" s="16" t="n">
        <v>74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I-C-0227</t>
        </is>
      </c>
      <c r="B4441" s="12" t="inlineStr">
        <is>
          <t>I</t>
        </is>
      </c>
      <c r="C4441" s="12" t="inlineStr">
        <is>
          <t>Modular / portable power</t>
        </is>
      </c>
      <c r="D4441" s="12" t="inlineStr">
        <is>
          <t>Motor 6 of 6: control / local station</t>
        </is>
      </c>
      <c r="E4441" s="12" t="inlineStr"/>
      <c r="F4441" s="12" t="inlineStr">
        <is>
          <t>MOD-LV 480 V board + 480 V : 13.8 kV step-up</t>
        </is>
      </c>
      <c r="G4441" s="12" t="inlineStr">
        <is>
          <t>TM-2</t>
        </is>
      </c>
      <c r="H4441" s="12" t="inlineStr">
        <is>
          <t>TM-2: trailer-mounted aeroderivative GT (TM2500 class, ~35 MW)</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6" t="n">
        <v>3178</v>
      </c>
      <c r="U4441" s="16" t="n">
        <v>74</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I-C-0228</t>
        </is>
      </c>
      <c r="B4442" s="12" t="inlineStr">
        <is>
          <t>I</t>
        </is>
      </c>
      <c r="C4442" s="12" t="inlineStr">
        <is>
          <t>Modular / portable power</t>
        </is>
      </c>
      <c r="D4442" s="12" t="inlineStr">
        <is>
          <t>Motor 1 of 2: control / local station</t>
        </is>
      </c>
      <c r="E4442" s="12" t="inlineStr"/>
      <c r="F4442" s="12" t="inlineStr">
        <is>
          <t>SC-2 PCM + 15 kV GCB</t>
        </is>
      </c>
      <c r="G4442" s="12" t="inlineStr"/>
      <c r="H4442" s="12" t="inlineStr">
        <is>
          <t>Water-injection skid</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Tray</t>
        </is>
      </c>
      <c r="T4442" s="16" t="n">
        <v>0</v>
      </c>
      <c r="U4442" s="16" t="n">
        <v>60</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I-C-0229</t>
        </is>
      </c>
      <c r="B4443" s="12" t="inlineStr">
        <is>
          <t>I</t>
        </is>
      </c>
      <c r="C4443" s="12" t="inlineStr">
        <is>
          <t>Modular / portable power</t>
        </is>
      </c>
      <c r="D4443" s="12" t="inlineStr">
        <is>
          <t>Motor 2 of 2: control / local station</t>
        </is>
      </c>
      <c r="E4443" s="12" t="inlineStr"/>
      <c r="F4443" s="12" t="inlineStr">
        <is>
          <t>SC-2 PCM + 15 kV GCB</t>
        </is>
      </c>
      <c r="G4443" s="12" t="inlineStr"/>
      <c r="H4443" s="12" t="inlineStr">
        <is>
          <t>Water-injection skid</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Tray</t>
        </is>
      </c>
      <c r="T4443" s="16" t="n">
        <v>0</v>
      </c>
      <c r="U4443" s="16" t="n">
        <v>60</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I-C-0230</t>
        </is>
      </c>
      <c r="B4444" s="12" t="inlineStr">
        <is>
          <t>I</t>
        </is>
      </c>
      <c r="C4444" s="12" t="inlineStr">
        <is>
          <t>Modular / portable power</t>
        </is>
      </c>
      <c r="D4444" s="12" t="inlineStr">
        <is>
          <t>Solenoid to JB JB-Water-injection sk-SOL01: 2 x 2/C (field cables)</t>
        </is>
      </c>
      <c r="E4444" s="12" t="inlineStr"/>
      <c r="F4444" s="12" t="inlineStr">
        <is>
          <t>Water-injection skid</t>
        </is>
      </c>
      <c r="G4444" s="12" t="inlineStr">
        <is>
          <t>JB-Water-injection sk-SOL01</t>
        </is>
      </c>
      <c r="H4444" s="12" t="inlineStr">
        <is>
          <t>Water-injection skid</t>
        </is>
      </c>
      <c r="I4444" s="12" t="inlineStr">
        <is>
          <t>Control</t>
        </is>
      </c>
      <c r="J4444" s="12" t="inlineStr">
        <is>
          <t>Control cable 600 V Type TC-ER, Cu #14 AWG, PVC jacket</t>
        </is>
      </c>
      <c r="K4444" s="12" t="inlineStr">
        <is>
          <t>CT|2/C|14</t>
        </is>
      </c>
      <c r="L4444" s="12" t="inlineStr">
        <is>
          <t>2/C</t>
        </is>
      </c>
      <c r="M4444" s="12" t="inlineStr">
        <is>
          <t>14</t>
        </is>
      </c>
      <c r="N4444" s="12" t="n">
        <v>2</v>
      </c>
      <c r="O4444" s="12" t="n">
        <v>1</v>
      </c>
      <c r="P4444" s="12" t="n"/>
      <c r="Q4444" s="12" t="n"/>
      <c r="R4444" s="12" t="n"/>
      <c r="S4444" s="12" t="inlineStr">
        <is>
          <t>Tray / conduit</t>
        </is>
      </c>
      <c r="T4444" s="16" t="n">
        <v>43</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I-C-0231</t>
        </is>
      </c>
      <c r="B4445" s="12" t="inlineStr">
        <is>
          <t>I</t>
        </is>
      </c>
      <c r="C4445" s="12" t="inlineStr">
        <is>
          <t>Modular / portable power</t>
        </is>
      </c>
      <c r="D4445" s="12" t="inlineStr">
        <is>
          <t>Home run JB-Water-injection sk-SOL01 to the control / marshalling room</t>
        </is>
      </c>
      <c r="E4445" s="12" t="inlineStr"/>
      <c r="F4445" s="12" t="inlineStr">
        <is>
          <t>SC-2 PCM + 15 kV GCB</t>
        </is>
      </c>
      <c r="G4445" s="12" t="inlineStr">
        <is>
          <t>JB-Water-injection sk-SOL01</t>
        </is>
      </c>
      <c r="H4445" s="12" t="inlineStr">
        <is>
          <t>Water-injection skid</t>
        </is>
      </c>
      <c r="I4445" s="12" t="inlineStr">
        <is>
          <t>Control</t>
        </is>
      </c>
      <c r="J4445" s="12" t="inlineStr">
        <is>
          <t>Control cable 600 V Type TC-ER, Cu #14 AWG, PVC jacket</t>
        </is>
      </c>
      <c r="K4445" s="12" t="inlineStr">
        <is>
          <t>CT|25/C|14</t>
        </is>
      </c>
      <c r="L4445" s="12" t="inlineStr">
        <is>
          <t>25/C</t>
        </is>
      </c>
      <c r="M4445" s="12" t="inlineStr">
        <is>
          <t>14</t>
        </is>
      </c>
      <c r="N4445" s="12" t="n">
        <v>1</v>
      </c>
      <c r="O4445" s="12" t="n">
        <v>1</v>
      </c>
      <c r="P4445" s="12" t="n"/>
      <c r="Q4445" s="12" t="n"/>
      <c r="R4445" s="12" t="n"/>
      <c r="S4445" s="12" t="inlineStr">
        <is>
          <t>Tray</t>
        </is>
      </c>
      <c r="T4445" s="16" t="n">
        <v>0</v>
      </c>
      <c r="U4445" s="16" t="n">
        <v>60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I-F-0001</t>
        </is>
      </c>
      <c r="B4446" s="12" t="inlineStr">
        <is>
          <t>I</t>
        </is>
      </c>
      <c r="C4446" s="12" t="inlineStr">
        <is>
          <t>Modular / portable power</t>
        </is>
      </c>
      <c r="D4446" s="12" t="inlineStr">
        <is>
          <t>Plant network / DCS fibre</t>
        </is>
      </c>
      <c r="E4446" s="12" t="inlineStr">
        <is>
          <t>CR</t>
        </is>
      </c>
      <c r="F4446" s="12" t="inlineStr">
        <is>
          <t>Control / admin building (main control room)</t>
        </is>
      </c>
      <c r="G4446" s="12" t="inlineStr"/>
      <c r="H4446" s="12" t="inlineStr">
        <is>
          <t>Lube oil / starting air / oily water building</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2703</v>
      </c>
      <c r="U4446" s="16" t="n">
        <v>394</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I-F-0002</t>
        </is>
      </c>
      <c r="B4447" s="12" t="inlineStr">
        <is>
          <t>I</t>
        </is>
      </c>
      <c r="C4447" s="12" t="inlineStr">
        <is>
          <t>Modular / portable power</t>
        </is>
      </c>
      <c r="D4447" s="12" t="inlineStr">
        <is>
          <t>Plant network / DCS fibre</t>
        </is>
      </c>
      <c r="E4447" s="12" t="inlineStr">
        <is>
          <t>CR</t>
        </is>
      </c>
      <c r="F4447" s="12" t="inlineStr">
        <is>
          <t>Control / admin building (main control room)</t>
        </is>
      </c>
      <c r="G4447" s="12" t="inlineStr">
        <is>
          <t>MOD-EH</t>
        </is>
      </c>
      <c r="H4447" s="12" t="inlineStr">
        <is>
          <t>MOD-EH: 13.8 kV modular collector e-house</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4273</v>
      </c>
      <c r="U4447" s="16" t="n">
        <v>36</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I-F-0003</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c r="H4448" s="12" t="inlineStr">
        <is>
          <t>PCM: power control module</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Duct bank</t>
        </is>
      </c>
      <c r="T4448" s="16" t="n">
        <v>4696</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I-F-0004</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c r="H4449" s="12" t="inlineStr">
        <is>
          <t>RICE CEMS</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Duct bank</t>
        </is>
      </c>
      <c r="T4449" s="16" t="n">
        <v>4436</v>
      </c>
      <c r="U4449" s="16" t="n">
        <v>135</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I-F-0005</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RICE</t>
        </is>
      </c>
      <c r="H4450" s="12" t="inlineStr">
        <is>
          <t>RICE engine hall (8 engines)</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Tray</t>
        </is>
      </c>
      <c r="T4450" s="16" t="n">
        <v>2186</v>
      </c>
      <c r="U4450" s="16" t="n">
        <v>334</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I-F-0006</t>
        </is>
      </c>
      <c r="B4451" s="12" t="inlineStr">
        <is>
          <t>I</t>
        </is>
      </c>
      <c r="C4451" s="12" t="inlineStr">
        <is>
          <t>Modular / portable power</t>
        </is>
      </c>
      <c r="D4451" s="12" t="inlineStr">
        <is>
          <t>SC-1 CEMS data to the unit control (Modbus TCP)</t>
        </is>
      </c>
      <c r="E4451" s="12" t="inlineStr"/>
      <c r="F4451" s="12" t="inlineStr">
        <is>
          <t>SC-1 PCM + 15 kV GCB</t>
        </is>
      </c>
      <c r="G4451" s="12" t="inlineStr"/>
      <c r="H4451" s="12" t="inlineStr">
        <is>
          <t>SC-1 CEMS shelter</t>
        </is>
      </c>
      <c r="I4451" s="12" t="inlineStr">
        <is>
          <t>Fibre / data</t>
        </is>
      </c>
      <c r="J4451" s="12" t="inlineStr">
        <is>
          <t>Fibre optic, single-mode, 12-fibre, armored, orange jacket</t>
        </is>
      </c>
      <c r="K4451" s="12" t="inlineStr">
        <is>
          <t>FO|12 SM|-</t>
        </is>
      </c>
      <c r="L4451" s="12" t="inlineStr">
        <is>
          <t>12 SM</t>
        </is>
      </c>
      <c r="M4451" s="12" t="inlineStr">
        <is>
          <t>-</t>
        </is>
      </c>
      <c r="N4451" s="12" t="n">
        <v>1</v>
      </c>
      <c r="O4451" s="12" t="n">
        <v>1</v>
      </c>
      <c r="P4451" s="12" t="n"/>
      <c r="Q4451" s="12" t="n"/>
      <c r="R4451" s="12" t="n"/>
      <c r="S4451" s="12" t="inlineStr">
        <is>
          <t>Tray</t>
        </is>
      </c>
      <c r="T4451" s="16" t="n">
        <v>0</v>
      </c>
      <c r="U4451" s="16" t="n">
        <v>229</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I-F-0007</t>
        </is>
      </c>
      <c r="B4452" s="12" t="inlineStr">
        <is>
          <t>I</t>
        </is>
      </c>
      <c r="C4452" s="12" t="inlineStr">
        <is>
          <t>Modular / portable power</t>
        </is>
      </c>
      <c r="D4452" s="12" t="inlineStr">
        <is>
          <t>SC-1 unit control panel: plant network / DCS fibre</t>
        </is>
      </c>
      <c r="E4452" s="12" t="inlineStr">
        <is>
          <t>CR</t>
        </is>
      </c>
      <c r="F4452" s="12" t="inlineStr">
        <is>
          <t>Control / admin building (main control room)</t>
        </is>
      </c>
      <c r="G4452" s="12" t="inlineStr"/>
      <c r="H4452" s="12" t="inlineStr">
        <is>
          <t>SC-1 PCM + 15 kV GCB</t>
        </is>
      </c>
      <c r="I4452" s="12" t="inlineStr">
        <is>
          <t>Fibre / data</t>
        </is>
      </c>
      <c r="J4452" s="12" t="inlineStr">
        <is>
          <t>Fibre optic, single-mode, 12-fibre, armored, orange jacket</t>
        </is>
      </c>
      <c r="K4452" s="12" t="inlineStr">
        <is>
          <t>FO|12 SM|-</t>
        </is>
      </c>
      <c r="L4452" s="12" t="inlineStr">
        <is>
          <t>12 SM</t>
        </is>
      </c>
      <c r="M4452" s="12" t="inlineStr">
        <is>
          <t>-</t>
        </is>
      </c>
      <c r="N4452" s="12" t="n">
        <v>1</v>
      </c>
      <c r="O4452" s="12" t="n">
        <v>1</v>
      </c>
      <c r="P4452" s="12" t="n"/>
      <c r="Q4452" s="12" t="n"/>
      <c r="R4452" s="12" t="n"/>
      <c r="S4452" s="12" t="inlineStr">
        <is>
          <t>Duct bank</t>
        </is>
      </c>
      <c r="T4452" s="16" t="n">
        <v>4738</v>
      </c>
      <c r="U4452" s="16" t="n">
        <v>36</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I-F-0008</t>
        </is>
      </c>
      <c r="B4453" s="12" t="inlineStr">
        <is>
          <t>I</t>
        </is>
      </c>
      <c r="C4453" s="12" t="inlineStr">
        <is>
          <t>Modular / portable power</t>
        </is>
      </c>
      <c r="D4453" s="12" t="inlineStr">
        <is>
          <t>Plant network / DCS fibre</t>
        </is>
      </c>
      <c r="E4453" s="12" t="inlineStr">
        <is>
          <t>CR</t>
        </is>
      </c>
      <c r="F4453" s="12" t="inlineStr">
        <is>
          <t>Control / admin building (main control room)</t>
        </is>
      </c>
      <c r="G4453" s="12" t="inlineStr">
        <is>
          <t>SC-1</t>
        </is>
      </c>
      <c r="H4453" s="12" t="inlineStr">
        <is>
          <t>SC-1: aeroderivative simple-cycle unit (LM6000 class)</t>
        </is>
      </c>
      <c r="I4453" s="12" t="inlineStr">
        <is>
          <t>Fibre / data</t>
        </is>
      </c>
      <c r="J4453" s="12" t="inlineStr">
        <is>
          <t>Fibre optic, single-mode, 12-fibre, armored, orange jacket</t>
        </is>
      </c>
      <c r="K4453" s="12" t="inlineStr">
        <is>
          <t>FO|12 SM|-</t>
        </is>
      </c>
      <c r="L4453" s="12" t="inlineStr">
        <is>
          <t>12 SM</t>
        </is>
      </c>
      <c r="M4453" s="12" t="inlineStr">
        <is>
          <t>-</t>
        </is>
      </c>
      <c r="N4453" s="12" t="n">
        <v>1</v>
      </c>
      <c r="O4453" s="12" t="n">
        <v>1</v>
      </c>
      <c r="P4453" s="12" t="n"/>
      <c r="Q4453" s="12" t="n"/>
      <c r="R4453" s="12" t="n"/>
      <c r="S4453" s="12" t="inlineStr">
        <is>
          <t>Duct bank</t>
        </is>
      </c>
      <c r="T4453" s="16" t="n">
        <v>4656</v>
      </c>
      <c r="U4453" s="16" t="n">
        <v>56</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I-F-0009</t>
        </is>
      </c>
      <c r="B4454" s="12" t="inlineStr">
        <is>
          <t>I</t>
        </is>
      </c>
      <c r="C4454" s="12" t="inlineStr">
        <is>
          <t>Modular / portable power</t>
        </is>
      </c>
      <c r="D4454" s="12" t="inlineStr">
        <is>
          <t>SC-2 CEMS data to the unit control (Modbus TCP)</t>
        </is>
      </c>
      <c r="E4454" s="12" t="inlineStr"/>
      <c r="F4454" s="12" t="inlineStr">
        <is>
          <t>SC-2 PCM + 15 kV GCB</t>
        </is>
      </c>
      <c r="G4454" s="12" t="inlineStr"/>
      <c r="H4454" s="12" t="inlineStr">
        <is>
          <t>SC-2 CEMS shelter</t>
        </is>
      </c>
      <c r="I4454" s="12" t="inlineStr">
        <is>
          <t>Fibre / data</t>
        </is>
      </c>
      <c r="J4454" s="12" t="inlineStr">
        <is>
          <t>Fibre optic, single-mode, 12-fibre, armored, orange jacket</t>
        </is>
      </c>
      <c r="K4454" s="12" t="inlineStr">
        <is>
          <t>FO|12 SM|-</t>
        </is>
      </c>
      <c r="L4454" s="12" t="inlineStr">
        <is>
          <t>12 SM</t>
        </is>
      </c>
      <c r="M4454" s="12" t="inlineStr">
        <is>
          <t>-</t>
        </is>
      </c>
      <c r="N4454" s="12" t="n">
        <v>1</v>
      </c>
      <c r="O4454" s="12" t="n">
        <v>1</v>
      </c>
      <c r="P4454" s="12" t="n"/>
      <c r="Q4454" s="12" t="n"/>
      <c r="R4454" s="12" t="n"/>
      <c r="S4454" s="12" t="inlineStr">
        <is>
          <t>Duct bank</t>
        </is>
      </c>
      <c r="T4454" s="16" t="n">
        <v>25</v>
      </c>
      <c r="U4454" s="16" t="n">
        <v>197</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I-F-0010</t>
        </is>
      </c>
      <c r="B4455" s="12" t="inlineStr">
        <is>
          <t>I</t>
        </is>
      </c>
      <c r="C4455" s="12" t="inlineStr">
        <is>
          <t>Modular / portable power</t>
        </is>
      </c>
      <c r="D4455" s="12" t="inlineStr">
        <is>
          <t>SC-2 unit control panel: plant network / DCS fibre</t>
        </is>
      </c>
      <c r="E4455" s="12" t="inlineStr">
        <is>
          <t>CR</t>
        </is>
      </c>
      <c r="F4455" s="12" t="inlineStr">
        <is>
          <t>Control / admin building (main control room)</t>
        </is>
      </c>
      <c r="G4455" s="12" t="inlineStr"/>
      <c r="H4455" s="12" t="inlineStr">
        <is>
          <t>SC-2 PCM + 15 kV GCB</t>
        </is>
      </c>
      <c r="I4455" s="12" t="inlineStr">
        <is>
          <t>Fibre / data</t>
        </is>
      </c>
      <c r="J4455" s="12" t="inlineStr">
        <is>
          <t>Fibre optic, single-mode, 12-fibre, armored, orange jacket</t>
        </is>
      </c>
      <c r="K4455" s="12" t="inlineStr">
        <is>
          <t>FO|12 SM|-</t>
        </is>
      </c>
      <c r="L4455" s="12" t="inlineStr">
        <is>
          <t>12 SM</t>
        </is>
      </c>
      <c r="M4455" s="12" t="inlineStr">
        <is>
          <t>-</t>
        </is>
      </c>
      <c r="N4455" s="12" t="n">
        <v>1</v>
      </c>
      <c r="O4455" s="12" t="n">
        <v>1</v>
      </c>
      <c r="P4455" s="12" t="n"/>
      <c r="Q4455" s="12" t="n"/>
      <c r="R4455" s="12" t="n"/>
      <c r="S4455" s="12" t="inlineStr">
        <is>
          <t>Trench</t>
        </is>
      </c>
      <c r="T4455" s="16" t="n">
        <v>4547</v>
      </c>
      <c r="U4455" s="16" t="n">
        <v>90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I-F-0011</t>
        </is>
      </c>
      <c r="B4456" s="12" t="inlineStr">
        <is>
          <t>I</t>
        </is>
      </c>
      <c r="C4456" s="12" t="inlineStr">
        <is>
          <t>Modular / portable power</t>
        </is>
      </c>
      <c r="D4456" s="12" t="inlineStr">
        <is>
          <t>Plant network / DCS fibre</t>
        </is>
      </c>
      <c r="E4456" s="12" t="inlineStr">
        <is>
          <t>CR</t>
        </is>
      </c>
      <c r="F4456" s="12" t="inlineStr">
        <is>
          <t>Control / admin building (main control room)</t>
        </is>
      </c>
      <c r="G4456" s="12" t="inlineStr">
        <is>
          <t>SC-2</t>
        </is>
      </c>
      <c r="H4456" s="12" t="inlineStr">
        <is>
          <t>SC-2: aeroderivative simple-cycle unit (LM6000 class)</t>
        </is>
      </c>
      <c r="I4456" s="12" t="inlineStr">
        <is>
          <t>Fibre / data</t>
        </is>
      </c>
      <c r="J4456" s="12" t="inlineStr">
        <is>
          <t>Fibre optic, single-mode, 12-fibre, armored, orange jacket</t>
        </is>
      </c>
      <c r="K4456" s="12" t="inlineStr">
        <is>
          <t>FO|12 SM|-</t>
        </is>
      </c>
      <c r="L4456" s="12" t="inlineStr">
        <is>
          <t>12 SM</t>
        </is>
      </c>
      <c r="M4456" s="12" t="inlineStr">
        <is>
          <t>-</t>
        </is>
      </c>
      <c r="N4456" s="12" t="n">
        <v>1</v>
      </c>
      <c r="O4456" s="12" t="n">
        <v>1</v>
      </c>
      <c r="P4456" s="12" t="n"/>
      <c r="Q4456" s="12" t="n"/>
      <c r="R4456" s="12" t="n"/>
      <c r="S4456" s="12" t="inlineStr">
        <is>
          <t>Trench</t>
        </is>
      </c>
      <c r="T4456" s="16" t="n">
        <v>4640</v>
      </c>
      <c r="U4456" s="16" t="n">
        <v>36</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I-F-0012</t>
        </is>
      </c>
      <c r="B4457" s="12" t="inlineStr">
        <is>
          <t>I</t>
        </is>
      </c>
      <c r="C4457" s="12" t="inlineStr">
        <is>
          <t>Modular / portable power</t>
        </is>
      </c>
      <c r="D4457" s="12" t="inlineStr">
        <is>
          <t>Plant network / DCS fibre</t>
        </is>
      </c>
      <c r="E4457" s="12" t="inlineStr">
        <is>
          <t>CR</t>
        </is>
      </c>
      <c r="F4457" s="12" t="inlineStr">
        <is>
          <t>Control / admin building (main control room)</t>
        </is>
      </c>
      <c r="G4457" s="12" t="inlineStr">
        <is>
          <t>TM-1</t>
        </is>
      </c>
      <c r="H4457" s="12" t="inlineStr">
        <is>
          <t>TM-1: trailer-mounted aeroderivative GT (TM2500 class, ~35 MW)</t>
        </is>
      </c>
      <c r="I4457" s="12" t="inlineStr">
        <is>
          <t>Fibre / data</t>
        </is>
      </c>
      <c r="J4457" s="12" t="inlineStr">
        <is>
          <t>Fibre optic, single-mode, 12-fibre, armored, orange jacket</t>
        </is>
      </c>
      <c r="K4457" s="12" t="inlineStr">
        <is>
          <t>FO|12 SM|-</t>
        </is>
      </c>
      <c r="L4457" s="12" t="inlineStr">
        <is>
          <t>12 SM</t>
        </is>
      </c>
      <c r="M4457" s="12" t="inlineStr">
        <is>
          <t>-</t>
        </is>
      </c>
      <c r="N4457" s="12" t="n">
        <v>1</v>
      </c>
      <c r="O4457" s="12" t="n">
        <v>1</v>
      </c>
      <c r="P4457" s="12" t="n"/>
      <c r="Q4457" s="12" t="n"/>
      <c r="R4457" s="12" t="n"/>
      <c r="S4457" s="12" t="inlineStr">
        <is>
          <t>Trench</t>
        </is>
      </c>
      <c r="T4457" s="16" t="n">
        <v>3434</v>
      </c>
      <c r="U4457" s="16" t="n">
        <v>66</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I-F-0013</t>
        </is>
      </c>
      <c r="B4458" s="12" t="inlineStr">
        <is>
          <t>I</t>
        </is>
      </c>
      <c r="C4458" s="12" t="inlineStr">
        <is>
          <t>Modular / portable power</t>
        </is>
      </c>
      <c r="D4458" s="12" t="inlineStr">
        <is>
          <t>Plant network / DCS fibre</t>
        </is>
      </c>
      <c r="E4458" s="12" t="inlineStr">
        <is>
          <t>CR</t>
        </is>
      </c>
      <c r="F4458" s="12" t="inlineStr">
        <is>
          <t>Control / admin building (main control room)</t>
        </is>
      </c>
      <c r="G4458" s="12" t="inlineStr">
        <is>
          <t>TM-2</t>
        </is>
      </c>
      <c r="H4458" s="12" t="inlineStr">
        <is>
          <t>TM-2: trailer-mounted aeroderivative GT (TM2500 class, ~35 MW)</t>
        </is>
      </c>
      <c r="I4458" s="12" t="inlineStr">
        <is>
          <t>Fibre / data</t>
        </is>
      </c>
      <c r="J4458" s="12" t="inlineStr">
        <is>
          <t>Fibre optic, single-mode, 12-fibre, armored, orange jacket</t>
        </is>
      </c>
      <c r="K4458" s="12" t="inlineStr">
        <is>
          <t>FO|12 SM|-</t>
        </is>
      </c>
      <c r="L4458" s="12" t="inlineStr">
        <is>
          <t>12 SM</t>
        </is>
      </c>
      <c r="M4458" s="12" t="inlineStr">
        <is>
          <t>-</t>
        </is>
      </c>
      <c r="N4458" s="12" t="n">
        <v>1</v>
      </c>
      <c r="O4458" s="12" t="n">
        <v>1</v>
      </c>
      <c r="P4458" s="12" t="n"/>
      <c r="Q4458" s="12" t="n"/>
      <c r="R4458" s="12" t="n"/>
      <c r="S4458" s="12" t="inlineStr">
        <is>
          <t>Trench</t>
        </is>
      </c>
      <c r="T4458" s="16" t="n">
        <v>3434</v>
      </c>
      <c r="U4458" s="16" t="n">
        <v>72</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I-FA-0001</t>
        </is>
      </c>
      <c r="B4459" s="12" t="inlineStr">
        <is>
          <t>I</t>
        </is>
      </c>
      <c r="C4459" s="12" t="inlineStr">
        <is>
          <t>Modular / portable power</t>
        </is>
      </c>
      <c r="D4459" s="12" t="inlineStr">
        <is>
          <t>Fire alarm / F&amp;G loop (to the local FACP / F&amp;G node)</t>
        </is>
      </c>
      <c r="E4459" s="12" t="inlineStr"/>
      <c r="F4459" s="12" t="inlineStr">
        <is>
          <t>PCM: power control module</t>
        </is>
      </c>
      <c r="G4459" s="12" t="inlineStr"/>
      <c r="H4459" s="12" t="inlineStr">
        <is>
          <t>BS black-start switchgear</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Duct bank</t>
        </is>
      </c>
      <c r="T4459" s="16" t="n">
        <v>562</v>
      </c>
      <c r="U4459" s="16" t="n">
        <v>64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I-FA-0002</t>
        </is>
      </c>
      <c r="B4460" s="12" t="inlineStr">
        <is>
          <t>I</t>
        </is>
      </c>
      <c r="C4460" s="12" t="inlineStr">
        <is>
          <t>Modular / portable power</t>
        </is>
      </c>
      <c r="D4460" s="12" t="inlineStr">
        <is>
          <t>Fire alarm / F&amp;G loop (to the local FACP / F&amp;G node)</t>
        </is>
      </c>
      <c r="E4460" s="12" t="inlineStr"/>
      <c r="F4460" s="12" t="inlineStr">
        <is>
          <t>PCM: power control module</t>
        </is>
      </c>
      <c r="G4460" s="12" t="inlineStr"/>
      <c r="H4460" s="12" t="inlineStr">
        <is>
          <t>Black-start genset (proposed; requires study)</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624</v>
      </c>
      <c r="U4460" s="16" t="n">
        <v>32</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I-FA-0003</t>
        </is>
      </c>
      <c r="B4461" s="12" t="inlineStr">
        <is>
          <t>I</t>
        </is>
      </c>
      <c r="C4461" s="12" t="inlineStr">
        <is>
          <t>Modular / portable power</t>
        </is>
      </c>
      <c r="D4461" s="12" t="inlineStr">
        <is>
          <t>Fire alarm / F&amp;G loop (to the local FACP / F&amp;G node)</t>
        </is>
      </c>
      <c r="E4461" s="12" t="inlineStr"/>
      <c r="F4461" s="12" t="inlineStr">
        <is>
          <t>PCM: power control module</t>
        </is>
      </c>
      <c r="G4461" s="12" t="inlineStr"/>
      <c r="H4461" s="12" t="inlineStr">
        <is>
          <t>Black-start genset (proposed; requires study)</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624</v>
      </c>
      <c r="U4461" s="16" t="n">
        <v>40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I-FA-0004</t>
        </is>
      </c>
      <c r="B4462" s="12" t="inlineStr">
        <is>
          <t>I</t>
        </is>
      </c>
      <c r="C4462" s="12" t="inlineStr">
        <is>
          <t>Modular / portable power</t>
        </is>
      </c>
      <c r="D4462" s="12" t="inlineStr">
        <is>
          <t>Fire alarm / F&amp;G loop (to the local FACP / F&amp;G node)</t>
        </is>
      </c>
      <c r="E4462" s="12" t="inlineStr"/>
      <c r="F4462" s="12" t="inlineStr">
        <is>
          <t>PCM: power control module</t>
        </is>
      </c>
      <c r="G4462" s="12" t="inlineStr"/>
      <c r="H4462" s="12" t="inlineStr">
        <is>
          <t>CONDITIONAL: BESS black-start alternative</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Duct bank</t>
        </is>
      </c>
      <c r="T4462" s="16" t="n">
        <v>550</v>
      </c>
      <c r="U4462" s="16" t="n">
        <v>32</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I-FA-0005</t>
        </is>
      </c>
      <c r="B4463" s="12" t="inlineStr">
        <is>
          <t>I</t>
        </is>
      </c>
      <c r="C4463" s="12" t="inlineStr">
        <is>
          <t>Modular / portable power</t>
        </is>
      </c>
      <c r="D4463" s="12" t="inlineStr">
        <is>
          <t>Fire alarm / F&amp;G loop (to the local FACP / F&amp;G node)</t>
        </is>
      </c>
      <c r="E4463" s="12" t="inlineStr"/>
      <c r="F4463" s="12" t="inlineStr">
        <is>
          <t>SC-1 PCM + 15 kV GCB</t>
        </is>
      </c>
      <c r="G4463" s="12" t="inlineStr"/>
      <c r="H4463" s="12" t="inlineStr">
        <is>
          <t>CONDITIONAL: SC-1 inlet chiller / evaporative cooler</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Tray</t>
        </is>
      </c>
      <c r="T4463" s="16" t="n">
        <v>0</v>
      </c>
      <c r="U4463" s="16" t="n">
        <v>114</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I-FA-0006</t>
        </is>
      </c>
      <c r="B4464" s="12" t="inlineStr">
        <is>
          <t>I</t>
        </is>
      </c>
      <c r="C4464" s="12" t="inlineStr">
        <is>
          <t>Modular / portable power</t>
        </is>
      </c>
      <c r="D4464" s="12" t="inlineStr">
        <is>
          <t>Fire alarm / F&amp;G loop (to the local FACP / F&amp;G node)</t>
        </is>
      </c>
      <c r="E4464" s="12" t="inlineStr"/>
      <c r="F4464" s="12" t="inlineStr">
        <is>
          <t>SC-2 PCM + 15 kV GCB</t>
        </is>
      </c>
      <c r="G4464" s="12" t="inlineStr"/>
      <c r="H4464" s="12" t="inlineStr">
        <is>
          <t>CONDITIONAL: SC-2 inlet chiller / evaporative cooler</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Duct bank</t>
        </is>
      </c>
      <c r="T4464" s="16" t="n">
        <v>75</v>
      </c>
      <c r="U4464" s="16" t="n">
        <v>32</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I-FA-0007</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CONT-1</t>
        </is>
      </c>
      <c r="H4465" s="12" t="inlineStr">
        <is>
          <t>CONT-1: containerized genset 13.8 kV (40 ft)</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Surface</t>
        </is>
      </c>
      <c r="T4465" s="16" t="n">
        <v>298</v>
      </c>
      <c r="U4465" s="16" t="n">
        <v>37</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I-FA-0008</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CONT-2</t>
        </is>
      </c>
      <c r="H4466" s="12" t="inlineStr">
        <is>
          <t>CONT-2: containerized genset 13.8 kV (40 ft)</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Surface</t>
        </is>
      </c>
      <c r="T4466" s="16" t="n">
        <v>267</v>
      </c>
      <c r="U4466" s="16" t="n">
        <v>37</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I-FA-0009</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CONT-3</t>
        </is>
      </c>
      <c r="H4467" s="12" t="inlineStr">
        <is>
          <t>CONT-3: containerized gas genset 13.8 kV (40 ft)</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Surface</t>
        </is>
      </c>
      <c r="T4467" s="16" t="n">
        <v>191</v>
      </c>
      <c r="U4467" s="16" t="n">
        <v>32</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I-FA-0010</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is>
          <t>CONT-4</t>
        </is>
      </c>
      <c r="H4468" s="12" t="inlineStr">
        <is>
          <t>CONT-4: containerized gas genset 13.8 kV (40 ft)</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Duct bank</t>
        </is>
      </c>
      <c r="T4468" s="16" t="n">
        <v>62</v>
      </c>
      <c r="U4468" s="16" t="n">
        <v>81</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I-FA-0011</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CONT-5</t>
        </is>
      </c>
      <c r="H4469" s="12" t="inlineStr">
        <is>
          <t>CONT-5: containerized gas genset 13.8 kV (40 ft)</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25</v>
      </c>
      <c r="U4469" s="16" t="n">
        <v>58</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I-FA-0012</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CONT-6</t>
        </is>
      </c>
      <c r="H4470" s="12" t="inlineStr">
        <is>
          <t>CONT-6: containerized gas genset 13.8 kV (40 ft)</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Surface</t>
        </is>
      </c>
      <c r="T4470" s="16" t="n">
        <v>228</v>
      </c>
      <c r="U4470" s="16" t="n">
        <v>46</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I-FA-0013</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CONT-7</t>
        </is>
      </c>
      <c r="H4471" s="12" t="inlineStr">
        <is>
          <t>CONT-7: containerized gas genset 13.8 kV (40 ft)</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Surface</t>
        </is>
      </c>
      <c r="T4471" s="16" t="n">
        <v>228</v>
      </c>
      <c r="U4471" s="16" t="n">
        <v>46</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I-FA-0014</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CONT-8</t>
        </is>
      </c>
      <c r="H4472" s="12" t="inlineStr">
        <is>
          <t>CONT-8: containerized gas genset 13.8 kV (40 ft)</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Surface</t>
        </is>
      </c>
      <c r="T4472" s="16" t="n">
        <v>16</v>
      </c>
      <c r="U4472" s="16" t="n">
        <v>117</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I-FA-0015</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FC-10</t>
        </is>
      </c>
      <c r="H4473" s="12" t="inlineStr">
        <is>
          <t>FC-10: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286</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I-FA-0016</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FC-11</t>
        </is>
      </c>
      <c r="H4474" s="12" t="inlineStr">
        <is>
          <t>FC-11: SOFC module (Bloom ES5 class, 200-300 kW)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Duct bank</t>
        </is>
      </c>
      <c r="T4474" s="16" t="n">
        <v>272</v>
      </c>
      <c r="U4474" s="16" t="n">
        <v>50</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I-FA-0017</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FC-12</t>
        </is>
      </c>
      <c r="H4475" s="12" t="inlineStr">
        <is>
          <t>FC-12: SOFC module (Bloom ES5 class, 200-300 kW)</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Duct bank</t>
        </is>
      </c>
      <c r="T4475" s="16" t="n">
        <v>272</v>
      </c>
      <c r="U4475" s="16" t="n">
        <v>41</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I-FA-0018</t>
        </is>
      </c>
      <c r="B4476" s="12" t="inlineStr">
        <is>
          <t>I</t>
        </is>
      </c>
      <c r="C4476" s="12" t="inlineStr">
        <is>
          <t>Modular / portable power</t>
        </is>
      </c>
      <c r="D4476" s="12" t="inlineStr">
        <is>
          <t>Fire alarm / F&amp;G loop (to the local FACP / F&amp;G node)</t>
        </is>
      </c>
      <c r="E4476" s="12" t="inlineStr">
        <is>
          <t>PAD-EH</t>
        </is>
      </c>
      <c r="F4476" s="12" t="inlineStr">
        <is>
          <t>PAD-EH 13.8 kV switchgear e-house</t>
        </is>
      </c>
      <c r="G4476" s="12" t="inlineStr"/>
      <c r="H4476" s="12" t="inlineStr">
        <is>
          <t>FC-5..12 inverter / AC cabinet / desulfurizer</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Surface</t>
        </is>
      </c>
      <c r="T4476" s="16" t="n">
        <v>202</v>
      </c>
      <c r="U4476" s="16" t="n">
        <v>37</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I-FA-0019</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FC-5</t>
        </is>
      </c>
      <c r="H4477" s="12" t="inlineStr">
        <is>
          <t>FC-5: SOFC module (Bloom ES5 class, 200-300 kW)</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Duct bank</t>
        </is>
      </c>
      <c r="T4477" s="16" t="n">
        <v>356</v>
      </c>
      <c r="U4477" s="16" t="n">
        <v>50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I-FA-0020</t>
        </is>
      </c>
      <c r="B4478" s="12" t="inlineStr">
        <is>
          <t>I</t>
        </is>
      </c>
      <c r="C4478" s="12" t="inlineStr">
        <is>
          <t>Modular / portable power</t>
        </is>
      </c>
      <c r="D4478" s="12" t="inlineStr">
        <is>
          <t>Fire alarm / F&amp;G loop (to the local FACP / F&amp;G node)</t>
        </is>
      </c>
      <c r="E4478" s="12" t="inlineStr">
        <is>
          <t>PAD-EH</t>
        </is>
      </c>
      <c r="F4478" s="12" t="inlineStr">
        <is>
          <t>PAD-EH 13.8 kV switchgear e-house</t>
        </is>
      </c>
      <c r="G4478" s="12" t="inlineStr">
        <is>
          <t>FC-6</t>
        </is>
      </c>
      <c r="H4478" s="12" t="inlineStr">
        <is>
          <t>FC-6: SOFC module (Bloom ES5 class, 200-300 kW)</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342</v>
      </c>
      <c r="U4478" s="16" t="n">
        <v>50</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I-FA-0021</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FC-7</t>
        </is>
      </c>
      <c r="H4479" s="12" t="inlineStr">
        <is>
          <t>FC-7: SOFC module (Bloom ES5 class, 200-300 kW)</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Duct bank</t>
        </is>
      </c>
      <c r="T4479" s="16" t="n">
        <v>328</v>
      </c>
      <c r="U4479" s="16" t="n">
        <v>50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I-FA-0022</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FC-8</t>
        </is>
      </c>
      <c r="H4480" s="12" t="inlineStr">
        <is>
          <t>FC-8: SOFC module (Bloom ES5 class, 200-300 kW)</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Duct bank</t>
        </is>
      </c>
      <c r="T4480" s="16" t="n">
        <v>314</v>
      </c>
      <c r="U4480" s="16" t="n">
        <v>50</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I-FA-0023</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FC-9</t>
        </is>
      </c>
      <c r="H4481" s="12" t="inlineStr">
        <is>
          <t>FC-9: SOFC module (Bloom ES5 class, 200-300 kW)</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Duct bank</t>
        </is>
      </c>
      <c r="T4481" s="16" t="n">
        <v>300</v>
      </c>
      <c r="U4481" s="16" t="n">
        <v>50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I-FA-0024</t>
        </is>
      </c>
      <c r="B4482" s="12" t="inlineStr">
        <is>
          <t>I</t>
        </is>
      </c>
      <c r="C4482" s="12" t="inlineStr">
        <is>
          <t>Modular / portable power</t>
        </is>
      </c>
      <c r="D4482" s="12" t="inlineStr">
        <is>
          <t>Fire alarm / F&amp;G loop (to the local FACP / F&amp;G node)</t>
        </is>
      </c>
      <c r="E4482" s="12" t="inlineStr">
        <is>
          <t>PAD-EH</t>
        </is>
      </c>
      <c r="F4482" s="12" t="inlineStr">
        <is>
          <t>PAD-EH 13.8 kV switchgear e-house</t>
        </is>
      </c>
      <c r="G4482" s="12" t="inlineStr">
        <is>
          <t>GEN-E</t>
        </is>
      </c>
      <c r="H4482" s="12" t="inlineStr">
        <is>
          <t>GEN-E: enclosed industrial gas genset 2 MW</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Surface</t>
        </is>
      </c>
      <c r="T4482" s="16" t="n">
        <v>153</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I-FA-0025</t>
        </is>
      </c>
      <c r="B4483" s="12" t="inlineStr">
        <is>
          <t>I</t>
        </is>
      </c>
      <c r="C4483" s="12" t="inlineStr">
        <is>
          <t>Modular / portable power</t>
        </is>
      </c>
      <c r="D4483" s="12" t="inlineStr">
        <is>
          <t>Fire alarm / F&amp;G loop (to the local FACP / F&amp;G node)</t>
        </is>
      </c>
      <c r="E4483" s="12" t="inlineStr">
        <is>
          <t>PAD-EH</t>
        </is>
      </c>
      <c r="F4483" s="12" t="inlineStr">
        <is>
          <t>PAD-EH 13.8 kV switchgear e-house</t>
        </is>
      </c>
      <c r="G4483" s="12" t="inlineStr">
        <is>
          <t>GEN-O</t>
        </is>
      </c>
      <c r="H4483" s="12" t="inlineStr">
        <is>
          <t>GEN-O: open engine-generator skid</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Surface</t>
        </is>
      </c>
      <c r="T4483" s="16" t="n">
        <v>153</v>
      </c>
      <c r="U4483" s="16" t="n">
        <v>79</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I-FA-0026</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c r="H4484" s="12" t="inlineStr">
        <is>
          <t>Lube oil / starting air / oily water building</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Tray</t>
        </is>
      </c>
      <c r="T4484" s="16" t="n">
        <v>40</v>
      </c>
      <c r="U4484" s="16" t="n">
        <v>164</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I-FA-0027</t>
        </is>
      </c>
      <c r="B4485" s="12" t="inlineStr">
        <is>
          <t>I</t>
        </is>
      </c>
      <c r="C4485" s="12" t="inlineStr">
        <is>
          <t>Modular / portable power</t>
        </is>
      </c>
      <c r="D4485" s="12" t="inlineStr">
        <is>
          <t>Fire alarm / F&amp;G loop (to the local FACP / F&amp;G node)</t>
        </is>
      </c>
      <c r="E4485" s="12" t="inlineStr">
        <is>
          <t>PAD-EH</t>
        </is>
      </c>
      <c r="F4485" s="12" t="inlineStr">
        <is>
          <t>PAD-EH 13.8 kV switchgear e-house</t>
        </is>
      </c>
      <c r="G4485" s="12" t="inlineStr">
        <is>
          <t>MOB-1</t>
        </is>
      </c>
      <c r="H4485" s="12" t="inlineStr">
        <is>
          <t>MOB-1: trailer genset</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Surface</t>
        </is>
      </c>
      <c r="T4485" s="16" t="n">
        <v>113</v>
      </c>
      <c r="U4485" s="16" t="n">
        <v>160</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I-FA-0028</t>
        </is>
      </c>
      <c r="B4486" s="12" t="inlineStr">
        <is>
          <t>I</t>
        </is>
      </c>
      <c r="C4486" s="12" t="inlineStr">
        <is>
          <t>Modular / portable power</t>
        </is>
      </c>
      <c r="D4486" s="12" t="inlineStr">
        <is>
          <t>Fire alarm / F&amp;G loop (to the local FACP / F&amp;G node)</t>
        </is>
      </c>
      <c r="E4486" s="12" t="inlineStr"/>
      <c r="F4486" s="12" t="inlineStr">
        <is>
          <t>PCM: power control module</t>
        </is>
      </c>
      <c r="G4486" s="12" t="inlineStr">
        <is>
          <t>MOD-EH</t>
        </is>
      </c>
      <c r="H4486" s="12" t="inlineStr">
        <is>
          <t>MOD-EH: 13.8 kV modular collector e-house</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355</v>
      </c>
      <c r="U4486" s="16" t="n">
        <v>32</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I-FA-0029</t>
        </is>
      </c>
      <c r="B4487" s="12" t="inlineStr">
        <is>
          <t>I</t>
        </is>
      </c>
      <c r="C4487" s="12" t="inlineStr">
        <is>
          <t>Modular / portable power</t>
        </is>
      </c>
      <c r="D4487" s="12" t="inlineStr">
        <is>
          <t>Fire alarm / F&amp;G loop (to the local FACP / F&amp;G node)</t>
        </is>
      </c>
      <c r="E4487" s="12" t="inlineStr">
        <is>
          <t>PAD-EH</t>
        </is>
      </c>
      <c r="F4487" s="12" t="inlineStr">
        <is>
          <t>PAD-EH 13.8 kV switchgear e-house</t>
        </is>
      </c>
      <c r="G4487" s="12" t="inlineStr">
        <is>
          <t>MT-4</t>
        </is>
      </c>
      <c r="H4487" s="12" t="inlineStr">
        <is>
          <t>MT-4: microturbine 1 MW (Capstone C1000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Surface</t>
        </is>
      </c>
      <c r="T4487" s="16" t="n">
        <v>198</v>
      </c>
      <c r="U4487" s="16" t="n">
        <v>47</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I-FA-0030</t>
        </is>
      </c>
      <c r="B4488" s="12" t="inlineStr">
        <is>
          <t>I</t>
        </is>
      </c>
      <c r="C4488" s="12" t="inlineStr">
        <is>
          <t>Modular / portable power</t>
        </is>
      </c>
      <c r="D4488" s="12" t="inlineStr">
        <is>
          <t>Fire alarm / F&amp;G loop (to the local FACP / F&amp;G node)</t>
        </is>
      </c>
      <c r="E4488" s="12" t="inlineStr">
        <is>
          <t>PAD-EH</t>
        </is>
      </c>
      <c r="F4488" s="12" t="inlineStr">
        <is>
          <t>PAD-EH 13.8 kV switchgear e-house</t>
        </is>
      </c>
      <c r="G4488" s="12" t="inlineStr">
        <is>
          <t>MT-5</t>
        </is>
      </c>
      <c r="H4488" s="12" t="inlineStr">
        <is>
          <t>MT-5: microturbine 1 MW (Capstone C1000 class)</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Surface</t>
        </is>
      </c>
      <c r="T4488" s="16" t="n">
        <v>198</v>
      </c>
      <c r="U4488" s="16" t="n">
        <v>37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I-FA-0031</t>
        </is>
      </c>
      <c r="B4489" s="12" t="inlineStr">
        <is>
          <t>I</t>
        </is>
      </c>
      <c r="C4489" s="12" t="inlineStr">
        <is>
          <t>Modular / portable power</t>
        </is>
      </c>
      <c r="D4489" s="12" t="inlineStr">
        <is>
          <t>Fire alarm / F&amp;G loop (to the local FACP / F&amp;G node)</t>
        </is>
      </c>
      <c r="E4489" s="12" t="inlineStr">
        <is>
          <t>PAD-EH</t>
        </is>
      </c>
      <c r="F4489" s="12" t="inlineStr">
        <is>
          <t>PAD-EH 13.8 kV switchgear e-house</t>
        </is>
      </c>
      <c r="G4489" s="12" t="inlineStr">
        <is>
          <t>MT-6</t>
        </is>
      </c>
      <c r="H4489" s="12" t="inlineStr">
        <is>
          <t>MT-6: microturbine 1 MW (Capstone C1000 class)</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Surface</t>
        </is>
      </c>
      <c r="T4489" s="16" t="n">
        <v>67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I-FA-0032</t>
        </is>
      </c>
      <c r="B4490" s="12" t="inlineStr">
        <is>
          <t>I</t>
        </is>
      </c>
      <c r="C4490" s="12" t="inlineStr">
        <is>
          <t>Modular / portable power</t>
        </is>
      </c>
      <c r="D4490" s="12" t="inlineStr">
        <is>
          <t>Fire alarm / F&amp;G loop (to the local FACP / F&amp;G node)</t>
        </is>
      </c>
      <c r="E4490" s="12" t="inlineStr"/>
      <c r="F4490" s="12" t="inlineStr">
        <is>
          <t>PCM: power control module</t>
        </is>
      </c>
      <c r="G4490" s="12" t="inlineStr"/>
      <c r="H4490" s="12" t="inlineStr">
        <is>
          <t>PCM: power control module</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Tray</t>
        </is>
      </c>
      <c r="T4490" s="16" t="n">
        <v>0</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I-FA-0033</t>
        </is>
      </c>
      <c r="B4491" s="12" t="inlineStr">
        <is>
          <t>I</t>
        </is>
      </c>
      <c r="C4491" s="12" t="inlineStr">
        <is>
          <t>Modular / portable power</t>
        </is>
      </c>
      <c r="D4491" s="12" t="inlineStr">
        <is>
          <t>Fire alarm / F&amp;G loop (to the local FACP / F&amp;G node)</t>
        </is>
      </c>
      <c r="E4491" s="12" t="inlineStr"/>
      <c r="F4491" s="12" t="inlineStr">
        <is>
          <t>PCM: power control module</t>
        </is>
      </c>
      <c r="G4491" s="12" t="inlineStr"/>
      <c r="H4491" s="12" t="inlineStr">
        <is>
          <t>RICE CEMS</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Duct bank</t>
        </is>
      </c>
      <c r="T4491" s="16" t="n">
        <v>260</v>
      </c>
      <c r="U4491" s="16" t="n">
        <v>131</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I-FA-0034</t>
        </is>
      </c>
      <c r="B4492" s="12" t="inlineStr">
        <is>
          <t>I</t>
        </is>
      </c>
      <c r="C4492" s="12" t="inlineStr">
        <is>
          <t>Modular / portable power</t>
        </is>
      </c>
      <c r="D4492" s="12" t="inlineStr">
        <is>
          <t>Fire alarm / F&amp;G loop (to the local FACP / F&amp;G node)</t>
        </is>
      </c>
      <c r="E4492" s="12" t="inlineStr"/>
      <c r="F4492" s="12" t="inlineStr">
        <is>
          <t>PCM: power control module</t>
        </is>
      </c>
      <c r="G4492" s="12" t="inlineStr">
        <is>
          <t>RICE</t>
        </is>
      </c>
      <c r="H4492" s="12" t="inlineStr">
        <is>
          <t>RICE engine hall (8 engines)</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Duct bank</t>
        </is>
      </c>
      <c r="T4492" s="16" t="n">
        <v>367</v>
      </c>
      <c r="U4492" s="16" t="n">
        <v>95</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I-FA-0035</t>
        </is>
      </c>
      <c r="B4493" s="12" t="inlineStr">
        <is>
          <t>I</t>
        </is>
      </c>
      <c r="C4493" s="12" t="inlineStr">
        <is>
          <t>Modular / portable power</t>
        </is>
      </c>
      <c r="D4493" s="12" t="inlineStr">
        <is>
          <t>SC-1 CEMS shelter fire alarm loop</t>
        </is>
      </c>
      <c r="E4493" s="12" t="inlineStr"/>
      <c r="F4493" s="12" t="inlineStr">
        <is>
          <t>SC-1 PCM + 15 kV GCB</t>
        </is>
      </c>
      <c r="G4493" s="12" t="inlineStr"/>
      <c r="H4493" s="12" t="inlineStr">
        <is>
          <t>SC-1 CEMS shelter</t>
        </is>
      </c>
      <c r="I4493" s="12" t="inlineStr">
        <is>
          <t>Fire alarm</t>
        </is>
      </c>
      <c r="J4493" s="12" t="inlineStr">
        <is>
          <t>Fire alarm FPLR 2/C #14 shielded, red jacket (NEC 760)</t>
        </is>
      </c>
      <c r="K4493" s="12" t="inlineStr">
        <is>
          <t>FA|2/C|14</t>
        </is>
      </c>
      <c r="L4493" s="12" t="inlineStr">
        <is>
          <t>2/C</t>
        </is>
      </c>
      <c r="M4493" s="12" t="inlineStr">
        <is>
          <t>14</t>
        </is>
      </c>
      <c r="N4493" s="12" t="n">
        <v>1</v>
      </c>
      <c r="O4493" s="12" t="n">
        <v>1</v>
      </c>
      <c r="P4493" s="12" t="n"/>
      <c r="Q4493" s="12" t="n"/>
      <c r="R4493" s="12" t="n"/>
      <c r="S4493" s="12" t="inlineStr">
        <is>
          <t>Tray</t>
        </is>
      </c>
      <c r="T4493" s="16" t="n">
        <v>0</v>
      </c>
      <c r="U4493" s="16" t="n">
        <v>229</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I-FA-0036</t>
        </is>
      </c>
      <c r="B4494" s="12" t="inlineStr">
        <is>
          <t>I</t>
        </is>
      </c>
      <c r="C4494" s="12" t="inlineStr">
        <is>
          <t>Modular / portable power</t>
        </is>
      </c>
      <c r="D4494" s="12" t="inlineStr">
        <is>
          <t>SC-1 PCM fire alarm / F&amp;G node to the plant FACP</t>
        </is>
      </c>
      <c r="E4494" s="12" t="inlineStr">
        <is>
          <t>CR</t>
        </is>
      </c>
      <c r="F4494" s="12" t="inlineStr">
        <is>
          <t>Control / admin building (main control room)</t>
        </is>
      </c>
      <c r="G4494" s="12" t="inlineStr"/>
      <c r="H4494" s="12" t="inlineStr">
        <is>
          <t>SC-1 PCM + 15 kV GCB</t>
        </is>
      </c>
      <c r="I4494" s="12" t="inlineStr">
        <is>
          <t>Fire alarm</t>
        </is>
      </c>
      <c r="J4494" s="12" t="inlineStr">
        <is>
          <t>Fire alarm FPLR 2/C #14 shielded, red jacket (NEC 760)</t>
        </is>
      </c>
      <c r="K4494" s="12" t="inlineStr">
        <is>
          <t>FA|2/C|14</t>
        </is>
      </c>
      <c r="L4494" s="12" t="inlineStr">
        <is>
          <t>2/C</t>
        </is>
      </c>
      <c r="M4494" s="12" t="inlineStr">
        <is>
          <t>14</t>
        </is>
      </c>
      <c r="N4494" s="12" t="n">
        <v>1</v>
      </c>
      <c r="O4494" s="12" t="n">
        <v>1</v>
      </c>
      <c r="P4494" s="12" t="n"/>
      <c r="Q4494" s="12" t="n"/>
      <c r="R4494" s="12" t="n"/>
      <c r="S4494" s="12" t="inlineStr">
        <is>
          <t>Duct bank</t>
        </is>
      </c>
      <c r="T4494" s="16" t="n">
        <v>4738</v>
      </c>
      <c r="U4494" s="16" t="n">
        <v>36</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I-FA-0037</t>
        </is>
      </c>
      <c r="B4495" s="12" t="inlineStr">
        <is>
          <t>I</t>
        </is>
      </c>
      <c r="C4495" s="12" t="inlineStr">
        <is>
          <t>Modular / portable power</t>
        </is>
      </c>
      <c r="D4495" s="12" t="inlineStr">
        <is>
          <t>Fire alarm / F&amp;G loop (to the local FACP / F&amp;G node)</t>
        </is>
      </c>
      <c r="E4495" s="12" t="inlineStr"/>
      <c r="F4495" s="12" t="inlineStr">
        <is>
          <t>SC-1 PCM + 15 kV GCB</t>
        </is>
      </c>
      <c r="G4495" s="12" t="inlineStr">
        <is>
          <t>SC-1</t>
        </is>
      </c>
      <c r="H4495" s="12" t="inlineStr">
        <is>
          <t>SC-1: aeroderivative simple-cycle unit (LM6000 class)</t>
        </is>
      </c>
      <c r="I4495" s="12" t="inlineStr">
        <is>
          <t>Fire alarm</t>
        </is>
      </c>
      <c r="J4495" s="12" t="inlineStr">
        <is>
          <t>Fire alarm FPLR 2/C #14 shielded, red jacket (NEC 760)</t>
        </is>
      </c>
      <c r="K4495" s="12" t="inlineStr">
        <is>
          <t>FA|2/C|14</t>
        </is>
      </c>
      <c r="L4495" s="12" t="inlineStr">
        <is>
          <t>2/C</t>
        </is>
      </c>
      <c r="M4495" s="12" t="inlineStr">
        <is>
          <t>14</t>
        </is>
      </c>
      <c r="N4495" s="12" t="n">
        <v>1</v>
      </c>
      <c r="O4495" s="12" t="n">
        <v>1</v>
      </c>
      <c r="P4495" s="12" t="n"/>
      <c r="Q4495" s="12" t="n"/>
      <c r="R4495" s="12" t="n"/>
      <c r="S4495" s="12" t="inlineStr">
        <is>
          <t>Tray</t>
        </is>
      </c>
      <c r="T4495" s="16" t="n">
        <v>0</v>
      </c>
      <c r="U4495" s="16" t="n">
        <v>64</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I-FA-0038</t>
        </is>
      </c>
      <c r="B4496" s="12" t="inlineStr">
        <is>
          <t>I</t>
        </is>
      </c>
      <c r="C4496" s="12" t="inlineStr">
        <is>
          <t>Modular / portable power</t>
        </is>
      </c>
      <c r="D4496" s="12" t="inlineStr">
        <is>
          <t>SC-2 CEMS shelter fire alarm loop</t>
        </is>
      </c>
      <c r="E4496" s="12" t="inlineStr"/>
      <c r="F4496" s="12" t="inlineStr">
        <is>
          <t>SC-2 PCM + 15 kV GCB</t>
        </is>
      </c>
      <c r="G4496" s="12" t="inlineStr"/>
      <c r="H4496" s="12" t="inlineStr">
        <is>
          <t>SC-2 CEMS shelter</t>
        </is>
      </c>
      <c r="I4496" s="12" t="inlineStr">
        <is>
          <t>Fire alarm</t>
        </is>
      </c>
      <c r="J4496" s="12" t="inlineStr">
        <is>
          <t>Fire alarm FPLR 2/C #14 shielded, red jacket (NEC 760)</t>
        </is>
      </c>
      <c r="K4496" s="12" t="inlineStr">
        <is>
          <t>FA|2/C|14</t>
        </is>
      </c>
      <c r="L4496" s="12" t="inlineStr">
        <is>
          <t>2/C</t>
        </is>
      </c>
      <c r="M4496" s="12" t="inlineStr">
        <is>
          <t>14</t>
        </is>
      </c>
      <c r="N4496" s="12" t="n">
        <v>1</v>
      </c>
      <c r="O4496" s="12" t="n">
        <v>1</v>
      </c>
      <c r="P4496" s="12" t="n"/>
      <c r="Q4496" s="12" t="n"/>
      <c r="R4496" s="12" t="n"/>
      <c r="S4496" s="12" t="inlineStr">
        <is>
          <t>Duct bank</t>
        </is>
      </c>
      <c r="T4496" s="16" t="n">
        <v>25</v>
      </c>
      <c r="U4496" s="16" t="n">
        <v>197</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I-FA-0039</t>
        </is>
      </c>
      <c r="B4497" s="12" t="inlineStr">
        <is>
          <t>I</t>
        </is>
      </c>
      <c r="C4497" s="12" t="inlineStr">
        <is>
          <t>Modular / portable power</t>
        </is>
      </c>
      <c r="D4497" s="12" t="inlineStr">
        <is>
          <t>SC-2 PCM fire alarm / F&amp;G node to the plant FACP</t>
        </is>
      </c>
      <c r="E4497" s="12" t="inlineStr">
        <is>
          <t>CR</t>
        </is>
      </c>
      <c r="F4497" s="12" t="inlineStr">
        <is>
          <t>Control / admin building (main control room)</t>
        </is>
      </c>
      <c r="G4497" s="12" t="inlineStr"/>
      <c r="H4497" s="12" t="inlineStr">
        <is>
          <t>SC-2 PCM + 15 kV GCB</t>
        </is>
      </c>
      <c r="I4497" s="12" t="inlineStr">
        <is>
          <t>Fire alarm</t>
        </is>
      </c>
      <c r="J4497" s="12" t="inlineStr">
        <is>
          <t>Fire alarm FPLR 2/C #14 shielded, red jacket (NEC 760)</t>
        </is>
      </c>
      <c r="K4497" s="12" t="inlineStr">
        <is>
          <t>FA|2/C|14</t>
        </is>
      </c>
      <c r="L4497" s="12" t="inlineStr">
        <is>
          <t>2/C</t>
        </is>
      </c>
      <c r="M4497" s="12" t="inlineStr">
        <is>
          <t>14</t>
        </is>
      </c>
      <c r="N4497" s="12" t="n">
        <v>1</v>
      </c>
      <c r="O4497" s="12" t="n">
        <v>1</v>
      </c>
      <c r="P4497" s="12" t="n"/>
      <c r="Q4497" s="12" t="n"/>
      <c r="R4497" s="12" t="n"/>
      <c r="S4497" s="12" t="inlineStr">
        <is>
          <t>Trench</t>
        </is>
      </c>
      <c r="T4497" s="16" t="n">
        <v>4547</v>
      </c>
      <c r="U4497" s="16" t="n">
        <v>90</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I-FA-0040</t>
        </is>
      </c>
      <c r="B4498" s="12" t="inlineStr">
        <is>
          <t>I</t>
        </is>
      </c>
      <c r="C4498" s="12" t="inlineStr">
        <is>
          <t>Modular / portable power</t>
        </is>
      </c>
      <c r="D4498" s="12" t="inlineStr">
        <is>
          <t>Fire alarm / F&amp;G loop (to the local FACP / F&amp;G node)</t>
        </is>
      </c>
      <c r="E4498" s="12" t="inlineStr"/>
      <c r="F4498" s="12" t="inlineStr">
        <is>
          <t>SC-2 PCM + 15 kV GCB</t>
        </is>
      </c>
      <c r="G4498" s="12" t="inlineStr">
        <is>
          <t>SC-2</t>
        </is>
      </c>
      <c r="H4498" s="12" t="inlineStr">
        <is>
          <t>SC-2: aeroderivative simple-cycle unit (LM6000 class)</t>
        </is>
      </c>
      <c r="I4498" s="12" t="inlineStr">
        <is>
          <t>Fire alarm</t>
        </is>
      </c>
      <c r="J4498" s="12" t="inlineStr">
        <is>
          <t>Fire alarm FPLR 2/C #14 shielded, red jacket (NEC 760)</t>
        </is>
      </c>
      <c r="K4498" s="12" t="inlineStr">
        <is>
          <t>FA|2/C|14</t>
        </is>
      </c>
      <c r="L4498" s="12" t="inlineStr">
        <is>
          <t>2/C</t>
        </is>
      </c>
      <c r="M4498" s="12" t="inlineStr">
        <is>
          <t>14</t>
        </is>
      </c>
      <c r="N4498" s="12" t="n">
        <v>1</v>
      </c>
      <c r="O4498" s="12" t="n">
        <v>1</v>
      </c>
      <c r="P4498" s="12" t="n"/>
      <c r="Q4498" s="12" t="n"/>
      <c r="R4498" s="12" t="n"/>
      <c r="S4498" s="12" t="inlineStr">
        <is>
          <t>Duct bank</t>
        </is>
      </c>
      <c r="T4498" s="16" t="n">
        <v>25</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I-FA-0041</t>
        </is>
      </c>
      <c r="B4499" s="12" t="inlineStr">
        <is>
          <t>I</t>
        </is>
      </c>
      <c r="C4499" s="12" t="inlineStr">
        <is>
          <t>Modular / portable power</t>
        </is>
      </c>
      <c r="D4499" s="12" t="inlineStr">
        <is>
          <t>Fire alarm / F&amp;G loop (to the local FACP / F&amp;G node)</t>
        </is>
      </c>
      <c r="E4499" s="12" t="inlineStr">
        <is>
          <t>PAD-EH</t>
        </is>
      </c>
      <c r="F4499" s="12" t="inlineStr">
        <is>
          <t>PAD-EH 13.8 kV switchgear e-house</t>
        </is>
      </c>
      <c r="G4499" s="12" t="inlineStr">
        <is>
          <t>TM-1</t>
        </is>
      </c>
      <c r="H4499" s="12" t="inlineStr">
        <is>
          <t>TM-1: trailer-mounted aeroderivative GT (TM2500 class, ~35 MW)</t>
        </is>
      </c>
      <c r="I4499" s="12" t="inlineStr">
        <is>
          <t>Fire alarm</t>
        </is>
      </c>
      <c r="J4499" s="12" t="inlineStr">
        <is>
          <t>Fire alarm FPLR 2/C #14 shielded, red jacket (NEC 760)</t>
        </is>
      </c>
      <c r="K4499" s="12" t="inlineStr">
        <is>
          <t>FA|2/C|14</t>
        </is>
      </c>
      <c r="L4499" s="12" t="inlineStr">
        <is>
          <t>2/C</t>
        </is>
      </c>
      <c r="M4499" s="12" t="inlineStr">
        <is>
          <t>14</t>
        </is>
      </c>
      <c r="N4499" s="12" t="n">
        <v>1</v>
      </c>
      <c r="O4499" s="12" t="n">
        <v>1</v>
      </c>
      <c r="P4499" s="12" t="n"/>
      <c r="Q4499" s="12" t="n"/>
      <c r="R4499" s="12" t="n"/>
      <c r="S4499" s="12" t="inlineStr">
        <is>
          <t>Surface</t>
        </is>
      </c>
      <c r="T4499" s="16" t="n">
        <v>382</v>
      </c>
      <c r="U4499" s="16" t="n">
        <v>50</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I-FA-0042</t>
        </is>
      </c>
      <c r="B4500" s="12" t="inlineStr">
        <is>
          <t>I</t>
        </is>
      </c>
      <c r="C4500" s="12" t="inlineStr">
        <is>
          <t>Modular / portable power</t>
        </is>
      </c>
      <c r="D4500" s="12" t="inlineStr">
        <is>
          <t>Fire alarm / F&amp;G loop (to the local FACP / F&amp;G node)</t>
        </is>
      </c>
      <c r="E4500" s="12" t="inlineStr">
        <is>
          <t>PAD-EH</t>
        </is>
      </c>
      <c r="F4500" s="12" t="inlineStr">
        <is>
          <t>PAD-EH 13.8 kV switchgear e-house</t>
        </is>
      </c>
      <c r="G4500" s="12" t="inlineStr">
        <is>
          <t>TM-2</t>
        </is>
      </c>
      <c r="H4500" s="12" t="inlineStr">
        <is>
          <t>TM-2: trailer-mounted aeroderivative GT (TM2500 class, ~35 MW)</t>
        </is>
      </c>
      <c r="I4500" s="12" t="inlineStr">
        <is>
          <t>Fire alarm</t>
        </is>
      </c>
      <c r="J4500" s="12" t="inlineStr">
        <is>
          <t>Fire alarm FPLR 2/C #14 shielded, red jacket (NEC 760)</t>
        </is>
      </c>
      <c r="K4500" s="12" t="inlineStr">
        <is>
          <t>FA|2/C|14</t>
        </is>
      </c>
      <c r="L4500" s="12" t="inlineStr">
        <is>
          <t>2/C</t>
        </is>
      </c>
      <c r="M4500" s="12" t="inlineStr">
        <is>
          <t>14</t>
        </is>
      </c>
      <c r="N4500" s="12" t="n">
        <v>1</v>
      </c>
      <c r="O4500" s="12" t="n">
        <v>1</v>
      </c>
      <c r="P4500" s="12" t="n"/>
      <c r="Q4500" s="12" t="n"/>
      <c r="R4500" s="12" t="n"/>
      <c r="S4500" s="12" t="inlineStr">
        <is>
          <t>Surface</t>
        </is>
      </c>
      <c r="T4500" s="16" t="n">
        <v>386</v>
      </c>
      <c r="U4500" s="16" t="n">
        <v>52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I-I-0001</t>
        </is>
      </c>
      <c r="B4501" s="12" t="inlineStr">
        <is>
          <t>I</t>
        </is>
      </c>
      <c r="C4501" s="12" t="inlineStr">
        <is>
          <t>Modular / portable power</t>
        </is>
      </c>
      <c r="D4501" s="12" t="inlineStr">
        <is>
          <t>Analog instrument to JB JB-Aqueous ammonia (S-AI01: 6 x 1 pr (field cables)</t>
        </is>
      </c>
      <c r="E4501" s="12" t="inlineStr"/>
      <c r="F4501" s="12" t="inlineStr">
        <is>
          <t>Aqueous ammonia (SC units)</t>
        </is>
      </c>
      <c r="G4501" s="12" t="inlineStr">
        <is>
          <t>JB-Aqueous ammonia (S-AI01</t>
        </is>
      </c>
      <c r="H4501" s="12" t="inlineStr">
        <is>
          <t>Aqueous ammonia (SC units)</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6</v>
      </c>
      <c r="O4501" s="12" t="n">
        <v>1</v>
      </c>
      <c r="P4501" s="12" t="n"/>
      <c r="Q4501" s="12" t="n"/>
      <c r="R4501" s="12" t="n"/>
      <c r="S4501" s="12" t="inlineStr">
        <is>
          <t>Tray / conduit</t>
        </is>
      </c>
      <c r="T4501" s="16" t="n">
        <v>55</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I-I-0002</t>
        </is>
      </c>
      <c r="B4502" s="12" t="inlineStr">
        <is>
          <t>I</t>
        </is>
      </c>
      <c r="C4502" s="12" t="inlineStr">
        <is>
          <t>Modular / portable power</t>
        </is>
      </c>
      <c r="D4502" s="12" t="inlineStr">
        <is>
          <t>Home run JB-Aqueous ammonia (S-AI01 to the control / marshalling room</t>
        </is>
      </c>
      <c r="E4502" s="12" t="inlineStr"/>
      <c r="F4502" s="12" t="inlineStr">
        <is>
          <t>SC-2 PCM + 15 kV GCB</t>
        </is>
      </c>
      <c r="G4502" s="12" t="inlineStr">
        <is>
          <t>JB-Aqueous ammonia (S-AI01</t>
        </is>
      </c>
      <c r="H4502" s="12" t="inlineStr">
        <is>
          <t>Aqueous ammonia (SC units)</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Tray</t>
        </is>
      </c>
      <c r="T4502" s="16" t="n">
        <v>0</v>
      </c>
      <c r="U4502" s="16" t="n">
        <v>98</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I-I-0003</t>
        </is>
      </c>
      <c r="B4503" s="12" t="inlineStr">
        <is>
          <t>I</t>
        </is>
      </c>
      <c r="C4503" s="12" t="inlineStr">
        <is>
          <t>Modular / portable power</t>
        </is>
      </c>
      <c r="D4503" s="12" t="inlineStr">
        <is>
          <t>Discrete device to JB JB-Aqueous ammonia (S-DI01: 6 x 1 pr (field cables)</t>
        </is>
      </c>
      <c r="E4503" s="12" t="inlineStr"/>
      <c r="F4503" s="12" t="inlineStr">
        <is>
          <t>Aqueous ammonia (SC units)</t>
        </is>
      </c>
      <c r="G4503" s="12" t="inlineStr">
        <is>
          <t>JB-Aqueous ammonia (S-DI01</t>
        </is>
      </c>
      <c r="H4503" s="12" t="inlineStr">
        <is>
          <t>Aqueous ammonia (SC units)</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6</v>
      </c>
      <c r="O4503" s="12" t="n">
        <v>1</v>
      </c>
      <c r="P4503" s="12" t="n"/>
      <c r="Q4503" s="12" t="n"/>
      <c r="R4503" s="12" t="n"/>
      <c r="S4503" s="12" t="inlineStr">
        <is>
          <t>Tray / conduit</t>
        </is>
      </c>
      <c r="T4503" s="16" t="n">
        <v>55</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I-I-0004</t>
        </is>
      </c>
      <c r="B4504" s="12" t="inlineStr">
        <is>
          <t>I</t>
        </is>
      </c>
      <c r="C4504" s="12" t="inlineStr">
        <is>
          <t>Modular / portable power</t>
        </is>
      </c>
      <c r="D4504" s="12" t="inlineStr">
        <is>
          <t>Home run JB-Aqueous ammonia (S-DI01 to the control / marshalling room</t>
        </is>
      </c>
      <c r="E4504" s="12" t="inlineStr"/>
      <c r="F4504" s="12" t="inlineStr">
        <is>
          <t>SC-2 PCM + 15 kV GCB</t>
        </is>
      </c>
      <c r="G4504" s="12" t="inlineStr">
        <is>
          <t>JB-Aqueous ammonia (S-DI01</t>
        </is>
      </c>
      <c r="H4504" s="12" t="inlineStr">
        <is>
          <t>Aqueous ammonia (SC units)</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Tray</t>
        </is>
      </c>
      <c r="T4504" s="16" t="n">
        <v>0</v>
      </c>
      <c r="U4504" s="16" t="n">
        <v>98</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I-I-0005</t>
        </is>
      </c>
      <c r="B4505" s="12" t="inlineStr">
        <is>
          <t>I</t>
        </is>
      </c>
      <c r="C4505" s="12" t="inlineStr">
        <is>
          <t>Modular / portable power</t>
        </is>
      </c>
      <c r="D4505" s="12" t="inlineStr">
        <is>
          <t>Analog instrument to JB JB-Black-start genset-AI01: 20 x 1 pr (field cables)</t>
        </is>
      </c>
      <c r="E4505" s="12" t="inlineStr"/>
      <c r="F4505" s="12" t="inlineStr">
        <is>
          <t>Black-start genset (proposed; requires study)</t>
        </is>
      </c>
      <c r="G4505" s="12" t="inlineStr">
        <is>
          <t>JB-Black-start genset-AI01</t>
        </is>
      </c>
      <c r="H4505" s="12" t="inlineStr">
        <is>
          <t>Black-start genset (proposed; requires study)</t>
        </is>
      </c>
      <c r="I4505" s="12" t="inlineStr">
        <is>
          <t>Instrumentation</t>
        </is>
      </c>
      <c r="J4505" s="12" t="inlineStr">
        <is>
          <t>Instrumentation PLTC / TC-ER 300 V, #18 twisted shielded pairs, overall shield</t>
        </is>
      </c>
      <c r="K4505" s="12" t="inlineStr">
        <is>
          <t>PLTC|1 pr|16</t>
        </is>
      </c>
      <c r="L4505" s="12" t="inlineStr">
        <is>
          <t>1 pr</t>
        </is>
      </c>
      <c r="M4505" s="12" t="inlineStr">
        <is>
          <t>16</t>
        </is>
      </c>
      <c r="N4505" s="12" t="n">
        <v>20</v>
      </c>
      <c r="O4505" s="12" t="n">
        <v>1</v>
      </c>
      <c r="P4505" s="12" t="n"/>
      <c r="Q4505" s="12" t="n"/>
      <c r="R4505" s="12" t="n"/>
      <c r="S4505" s="12" t="inlineStr">
        <is>
          <t>Tray / conduit</t>
        </is>
      </c>
      <c r="T4505" s="16" t="n">
        <v>59</v>
      </c>
      <c r="U4505" s="16" t="n">
        <v>10</v>
      </c>
      <c r="V4505" s="16">
        <f>ROUNDUP((T4505+U4505+2*'Read Me'!$B$13)*(1+'Read Me'!$B$12),-1)</f>
        <v/>
      </c>
      <c r="W4505" s="16">
        <f>V4505*N4505*O4505</f>
        <v/>
      </c>
      <c r="X4505" s="12">
        <f>IF(LEFT(I4505,2)="MV",2*N4505*IF(L4505="1/C",O4505,1),0)</f>
        <v/>
      </c>
      <c r="Y4505" s="12">
        <f>IF(OR(LEFT(K4505,4)="LVAX",LEFT(K4505,6)="MV15AX",LEFT(K4505,4)="CTAX",LEFT(K4505,2)="W|"),2*N4505*O4505,0)</f>
        <v/>
      </c>
      <c r="Z4505" s="12" t="inlineStr">
        <is>
          <t>device-to-JB field wiring, one cable per device</t>
        </is>
      </c>
      <c r="AA4505" s="12">
        <f>N4505*O4505</f>
        <v/>
      </c>
    </row>
    <row r="4506">
      <c r="A4506" s="12" t="inlineStr">
        <is>
          <t>I-I-0006</t>
        </is>
      </c>
      <c r="B4506" s="12" t="inlineStr">
        <is>
          <t>I</t>
        </is>
      </c>
      <c r="C4506" s="12" t="inlineStr">
        <is>
          <t>Modular / portable power</t>
        </is>
      </c>
      <c r="D4506" s="12" t="inlineStr">
        <is>
          <t>Home run JB-Black-start genset-AI01 to the control / marshalling room</t>
        </is>
      </c>
      <c r="E4506" s="12" t="inlineStr"/>
      <c r="F4506" s="12" t="inlineStr">
        <is>
          <t>PCM: power control module</t>
        </is>
      </c>
      <c r="G4506" s="12" t="inlineStr">
        <is>
          <t>JB-Black-start genset-AI01</t>
        </is>
      </c>
      <c r="H4506" s="12" t="inlineStr">
        <is>
          <t>Black-start genset (proposed; requires study)</t>
        </is>
      </c>
      <c r="I4506" s="12" t="inlineStr">
        <is>
          <t>Instrumentation</t>
        </is>
      </c>
      <c r="J4506" s="12" t="inlineStr">
        <is>
          <t>Instrumentation PLTC / TC-ER 300 V, #18 twisted shielded pairs, overall shield</t>
        </is>
      </c>
      <c r="K4506" s="12" t="inlineStr">
        <is>
          <t>PLTC|24 pr|18</t>
        </is>
      </c>
      <c r="L4506" s="12" t="inlineStr">
        <is>
          <t>24 pr</t>
        </is>
      </c>
      <c r="M4506" s="12" t="inlineStr">
        <is>
          <t>18</t>
        </is>
      </c>
      <c r="N4506" s="12" t="n">
        <v>1</v>
      </c>
      <c r="O4506" s="12" t="n">
        <v>1</v>
      </c>
      <c r="P4506" s="12" t="n"/>
      <c r="Q4506" s="12" t="n"/>
      <c r="R4506" s="12" t="n"/>
      <c r="S4506" s="12" t="inlineStr">
        <is>
          <t>Duct bank</t>
        </is>
      </c>
      <c r="T4506" s="16" t="n">
        <v>624</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I-I-0007</t>
        </is>
      </c>
      <c r="B4507" s="12" t="inlineStr">
        <is>
          <t>I</t>
        </is>
      </c>
      <c r="C4507" s="12" t="inlineStr">
        <is>
          <t>Modular / portable power</t>
        </is>
      </c>
      <c r="D4507" s="12" t="inlineStr">
        <is>
          <t>Discrete device to JB JB-Black-start genset-DI01: 20 x 1 pr (field cables)</t>
        </is>
      </c>
      <c r="E4507" s="12" t="inlineStr"/>
      <c r="F4507" s="12" t="inlineStr">
        <is>
          <t>Black-start genset (proposed; requires study)</t>
        </is>
      </c>
      <c r="G4507" s="12" t="inlineStr">
        <is>
          <t>JB-Black-start genset-DI01</t>
        </is>
      </c>
      <c r="H4507" s="12" t="inlineStr">
        <is>
          <t>Black-start genset (proposed; requires study)</t>
        </is>
      </c>
      <c r="I4507" s="12" t="inlineStr">
        <is>
          <t>Instrumentation</t>
        </is>
      </c>
      <c r="J4507" s="12" t="inlineStr">
        <is>
          <t>Instrumentation PLTC / TC-ER 300 V, #18 twisted shielded pairs, overall shield</t>
        </is>
      </c>
      <c r="K4507" s="12" t="inlineStr">
        <is>
          <t>PLTC|1 pr|16</t>
        </is>
      </c>
      <c r="L4507" s="12" t="inlineStr">
        <is>
          <t>1 pr</t>
        </is>
      </c>
      <c r="M4507" s="12" t="inlineStr">
        <is>
          <t>16</t>
        </is>
      </c>
      <c r="N4507" s="12" t="n">
        <v>20</v>
      </c>
      <c r="O4507" s="12" t="n">
        <v>1</v>
      </c>
      <c r="P4507" s="12" t="n"/>
      <c r="Q4507" s="12" t="n"/>
      <c r="R4507" s="12" t="n"/>
      <c r="S4507" s="12" t="inlineStr">
        <is>
          <t>Tray / conduit</t>
        </is>
      </c>
      <c r="T4507" s="16" t="n">
        <v>59</v>
      </c>
      <c r="U4507" s="16" t="n">
        <v>10</v>
      </c>
      <c r="V4507" s="16">
        <f>ROUNDUP((T4507+U4507+2*'Read Me'!$B$13)*(1+'Read Me'!$B$12),-1)</f>
        <v/>
      </c>
      <c r="W4507" s="16">
        <f>V4507*N4507*O4507</f>
        <v/>
      </c>
      <c r="X4507" s="12">
        <f>IF(LEFT(I4507,2)="MV",2*N4507*IF(L4507="1/C",O4507,1),0)</f>
        <v/>
      </c>
      <c r="Y4507" s="12">
        <f>IF(OR(LEFT(K4507,4)="LVAX",LEFT(K4507,6)="MV15AX",LEFT(K4507,4)="CTAX",LEFT(K4507,2)="W|"),2*N4507*O4507,0)</f>
        <v/>
      </c>
      <c r="Z4507" s="12" t="inlineStr">
        <is>
          <t>device-to-JB field wiring, one cable per device</t>
        </is>
      </c>
      <c r="AA4507" s="12">
        <f>N4507*O4507</f>
        <v/>
      </c>
    </row>
    <row r="4508">
      <c r="A4508" s="12" t="inlineStr">
        <is>
          <t>I-I-0008</t>
        </is>
      </c>
      <c r="B4508" s="12" t="inlineStr">
        <is>
          <t>I</t>
        </is>
      </c>
      <c r="C4508" s="12" t="inlineStr">
        <is>
          <t>Modular / portable power</t>
        </is>
      </c>
      <c r="D4508" s="12" t="inlineStr">
        <is>
          <t>Home run JB-Black-start genset-DI01 to the control / marshalling room</t>
        </is>
      </c>
      <c r="E4508" s="12" t="inlineStr"/>
      <c r="F4508" s="12" t="inlineStr">
        <is>
          <t>PCM: power control module</t>
        </is>
      </c>
      <c r="G4508" s="12" t="inlineStr">
        <is>
          <t>JB-Black-start genset-DI01</t>
        </is>
      </c>
      <c r="H4508" s="12" t="inlineStr">
        <is>
          <t>Black-start genset (proposed; requires study)</t>
        </is>
      </c>
      <c r="I4508" s="12" t="inlineStr">
        <is>
          <t>Instrumentation</t>
        </is>
      </c>
      <c r="J4508" s="12" t="inlineStr">
        <is>
          <t>Instrumentation PLTC / TC-ER 300 V, #18 twisted shielded pairs, overall shield</t>
        </is>
      </c>
      <c r="K4508" s="12" t="inlineStr">
        <is>
          <t>PLTC|24 pr|18</t>
        </is>
      </c>
      <c r="L4508" s="12" t="inlineStr">
        <is>
          <t>24 pr</t>
        </is>
      </c>
      <c r="M4508" s="12" t="inlineStr">
        <is>
          <t>18</t>
        </is>
      </c>
      <c r="N4508" s="12" t="n">
        <v>1</v>
      </c>
      <c r="O4508" s="12" t="n">
        <v>1</v>
      </c>
      <c r="P4508" s="12" t="n"/>
      <c r="Q4508" s="12" t="n"/>
      <c r="R4508" s="12" t="n"/>
      <c r="S4508" s="12" t="inlineStr">
        <is>
          <t>Duct bank</t>
        </is>
      </c>
      <c r="T4508" s="16" t="n">
        <v>624</v>
      </c>
      <c r="U4508" s="16" t="n">
        <v>32</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I-I-0009</t>
        </is>
      </c>
      <c r="B4509" s="12" t="inlineStr">
        <is>
          <t>I</t>
        </is>
      </c>
      <c r="C4509" s="12" t="inlineStr">
        <is>
          <t>Modular / portable power</t>
        </is>
      </c>
      <c r="D4509" s="12" t="inlineStr">
        <is>
          <t>Analog instrument to JB JB-Black-start genset-AI01: 20 x 1 pr (field cables)</t>
        </is>
      </c>
      <c r="E4509" s="12" t="inlineStr"/>
      <c r="F4509" s="12" t="inlineStr">
        <is>
          <t>Black-start genset (proposed; requires study)</t>
        </is>
      </c>
      <c r="G4509" s="12" t="inlineStr">
        <is>
          <t>JB-Black-start genset-AI01</t>
        </is>
      </c>
      <c r="H4509" s="12" t="inlineStr">
        <is>
          <t>Black-start genset (proposed; requires study)</t>
        </is>
      </c>
      <c r="I4509" s="12" t="inlineStr">
        <is>
          <t>Instrumentation</t>
        </is>
      </c>
      <c r="J4509" s="12" t="inlineStr">
        <is>
          <t>Instrumentation PLTC / TC-ER 300 V, #18 twisted shielded pairs, overall shield</t>
        </is>
      </c>
      <c r="K4509" s="12" t="inlineStr">
        <is>
          <t>PLTC|1 pr|16</t>
        </is>
      </c>
      <c r="L4509" s="12" t="inlineStr">
        <is>
          <t>1 pr</t>
        </is>
      </c>
      <c r="M4509" s="12" t="inlineStr">
        <is>
          <t>16</t>
        </is>
      </c>
      <c r="N4509" s="12" t="n">
        <v>20</v>
      </c>
      <c r="O4509" s="12" t="n">
        <v>1</v>
      </c>
      <c r="P4509" s="12" t="n"/>
      <c r="Q4509" s="12" t="n"/>
      <c r="R4509" s="12" t="n"/>
      <c r="S4509" s="12" t="inlineStr">
        <is>
          <t>Tray / conduit</t>
        </is>
      </c>
      <c r="T4509" s="16" t="n">
        <v>59</v>
      </c>
      <c r="U4509" s="16" t="n">
        <v>10</v>
      </c>
      <c r="V4509" s="16">
        <f>ROUNDUP((T4509+U4509+2*'Read Me'!$B$13)*(1+'Read Me'!$B$12),-1)</f>
        <v/>
      </c>
      <c r="W4509" s="16">
        <f>V4509*N4509*O4509</f>
        <v/>
      </c>
      <c r="X4509" s="12">
        <f>IF(LEFT(I4509,2)="MV",2*N4509*IF(L4509="1/C",O4509,1),0)</f>
        <v/>
      </c>
      <c r="Y4509" s="12">
        <f>IF(OR(LEFT(K4509,4)="LVAX",LEFT(K4509,6)="MV15AX",LEFT(K4509,4)="CTAX",LEFT(K4509,2)="W|"),2*N4509*O4509,0)</f>
        <v/>
      </c>
      <c r="Z4509" s="12" t="inlineStr">
        <is>
          <t>device-to-JB field wiring, one cable per device</t>
        </is>
      </c>
      <c r="AA4509" s="12">
        <f>N4509*O4509</f>
        <v/>
      </c>
    </row>
    <row r="4510">
      <c r="A4510" s="12" t="inlineStr">
        <is>
          <t>I-I-0010</t>
        </is>
      </c>
      <c r="B4510" s="12" t="inlineStr">
        <is>
          <t>I</t>
        </is>
      </c>
      <c r="C4510" s="12" t="inlineStr">
        <is>
          <t>Modular / portable power</t>
        </is>
      </c>
      <c r="D4510" s="12" t="inlineStr">
        <is>
          <t>Home run JB-Black-start genset-AI01 to the control / marshalling room</t>
        </is>
      </c>
      <c r="E4510" s="12" t="inlineStr"/>
      <c r="F4510" s="12" t="inlineStr">
        <is>
          <t>PCM: power control module</t>
        </is>
      </c>
      <c r="G4510" s="12" t="inlineStr">
        <is>
          <t>JB-Black-start genset-AI01</t>
        </is>
      </c>
      <c r="H4510" s="12" t="inlineStr">
        <is>
          <t>Black-start genset (proposed; requires study)</t>
        </is>
      </c>
      <c r="I4510" s="12" t="inlineStr">
        <is>
          <t>Instrumentation</t>
        </is>
      </c>
      <c r="J4510" s="12" t="inlineStr">
        <is>
          <t>Instrumentation PLTC / TC-ER 300 V, #18 twisted shielded pairs, overall shield</t>
        </is>
      </c>
      <c r="K4510" s="12" t="inlineStr">
        <is>
          <t>PLTC|24 pr|18</t>
        </is>
      </c>
      <c r="L4510" s="12" t="inlineStr">
        <is>
          <t>24 pr</t>
        </is>
      </c>
      <c r="M4510" s="12" t="inlineStr">
        <is>
          <t>18</t>
        </is>
      </c>
      <c r="N4510" s="12" t="n">
        <v>1</v>
      </c>
      <c r="O4510" s="12" t="n">
        <v>1</v>
      </c>
      <c r="P4510" s="12" t="n"/>
      <c r="Q4510" s="12" t="n"/>
      <c r="R4510" s="12" t="n"/>
      <c r="S4510" s="12" t="inlineStr">
        <is>
          <t>Duct bank</t>
        </is>
      </c>
      <c r="T4510" s="16" t="n">
        <v>624</v>
      </c>
      <c r="U4510" s="16" t="n">
        <v>40</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I-I-0011</t>
        </is>
      </c>
      <c r="B4511" s="12" t="inlineStr">
        <is>
          <t>I</t>
        </is>
      </c>
      <c r="C4511" s="12" t="inlineStr">
        <is>
          <t>Modular / portable power</t>
        </is>
      </c>
      <c r="D4511" s="12" t="inlineStr">
        <is>
          <t>Discrete device to JB JB-Black-start genset-DI01: 20 x 1 pr (field cables)</t>
        </is>
      </c>
      <c r="E4511" s="12" t="inlineStr"/>
      <c r="F4511" s="12" t="inlineStr">
        <is>
          <t>Black-start genset (proposed; requires study)</t>
        </is>
      </c>
      <c r="G4511" s="12" t="inlineStr">
        <is>
          <t>JB-Black-start genset-DI01</t>
        </is>
      </c>
      <c r="H4511" s="12" t="inlineStr">
        <is>
          <t>Black-start genset (proposed; requires study)</t>
        </is>
      </c>
      <c r="I4511" s="12" t="inlineStr">
        <is>
          <t>Instrumentation</t>
        </is>
      </c>
      <c r="J4511" s="12" t="inlineStr">
        <is>
          <t>Instrumentation PLTC / TC-ER 300 V, #18 twisted shielded pairs, overall shield</t>
        </is>
      </c>
      <c r="K4511" s="12" t="inlineStr">
        <is>
          <t>PLTC|1 pr|16</t>
        </is>
      </c>
      <c r="L4511" s="12" t="inlineStr">
        <is>
          <t>1 pr</t>
        </is>
      </c>
      <c r="M4511" s="12" t="inlineStr">
        <is>
          <t>16</t>
        </is>
      </c>
      <c r="N4511" s="12" t="n">
        <v>20</v>
      </c>
      <c r="O4511" s="12" t="n">
        <v>1</v>
      </c>
      <c r="P4511" s="12" t="n"/>
      <c r="Q4511" s="12" t="n"/>
      <c r="R4511" s="12" t="n"/>
      <c r="S4511" s="12" t="inlineStr">
        <is>
          <t>Tray / conduit</t>
        </is>
      </c>
      <c r="T4511" s="16" t="n">
        <v>59</v>
      </c>
      <c r="U4511" s="16" t="n">
        <v>10</v>
      </c>
      <c r="V4511" s="16">
        <f>ROUNDUP((T4511+U4511+2*'Read Me'!$B$13)*(1+'Read Me'!$B$12),-1)</f>
        <v/>
      </c>
      <c r="W4511" s="16">
        <f>V4511*N4511*O4511</f>
        <v/>
      </c>
      <c r="X4511" s="12">
        <f>IF(LEFT(I4511,2)="MV",2*N4511*IF(L4511="1/C",O4511,1),0)</f>
        <v/>
      </c>
      <c r="Y4511" s="12">
        <f>IF(OR(LEFT(K4511,4)="LVAX",LEFT(K4511,6)="MV15AX",LEFT(K4511,4)="CTAX",LEFT(K4511,2)="W|"),2*N4511*O4511,0)</f>
        <v/>
      </c>
      <c r="Z4511" s="12" t="inlineStr">
        <is>
          <t>device-to-JB field wiring, one cable per device</t>
        </is>
      </c>
      <c r="AA4511" s="12">
        <f>N4511*O4511</f>
        <v/>
      </c>
    </row>
    <row r="4512">
      <c r="A4512" s="12" t="inlineStr">
        <is>
          <t>I-I-0012</t>
        </is>
      </c>
      <c r="B4512" s="12" t="inlineStr">
        <is>
          <t>I</t>
        </is>
      </c>
      <c r="C4512" s="12" t="inlineStr">
        <is>
          <t>Modular / portable power</t>
        </is>
      </c>
      <c r="D4512" s="12" t="inlineStr">
        <is>
          <t>Home run JB-Black-start genset-DI01 to the control / marshalling room</t>
        </is>
      </c>
      <c r="E4512" s="12" t="inlineStr"/>
      <c r="F4512" s="12" t="inlineStr">
        <is>
          <t>PCM: power control module</t>
        </is>
      </c>
      <c r="G4512" s="12" t="inlineStr">
        <is>
          <t>JB-Black-start genset-DI01</t>
        </is>
      </c>
      <c r="H4512" s="12" t="inlineStr">
        <is>
          <t>Black-start genset (proposed; requires study)</t>
        </is>
      </c>
      <c r="I4512" s="12" t="inlineStr">
        <is>
          <t>Instrumentation</t>
        </is>
      </c>
      <c r="J4512" s="12" t="inlineStr">
        <is>
          <t>Instrumentation PLTC / TC-ER 300 V, #18 twisted shielded pairs, overall shield</t>
        </is>
      </c>
      <c r="K4512" s="12" t="inlineStr">
        <is>
          <t>PLTC|24 pr|18</t>
        </is>
      </c>
      <c r="L4512" s="12" t="inlineStr">
        <is>
          <t>24 pr</t>
        </is>
      </c>
      <c r="M4512" s="12" t="inlineStr">
        <is>
          <t>18</t>
        </is>
      </c>
      <c r="N4512" s="12" t="n">
        <v>1</v>
      </c>
      <c r="O4512" s="12" t="n">
        <v>1</v>
      </c>
      <c r="P4512" s="12" t="n"/>
      <c r="Q4512" s="12" t="n"/>
      <c r="R4512" s="12" t="n"/>
      <c r="S4512" s="12" t="inlineStr">
        <is>
          <t>Duct bank</t>
        </is>
      </c>
      <c r="T4512" s="16" t="n">
        <v>624</v>
      </c>
      <c r="U4512" s="16" t="n">
        <v>40</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I-I-0013</t>
        </is>
      </c>
      <c r="B4513" s="12" t="inlineStr">
        <is>
          <t>I</t>
        </is>
      </c>
      <c r="C4513" s="12" t="inlineStr">
        <is>
          <t>Modular / portable power</t>
        </is>
      </c>
      <c r="D4513" s="12" t="inlineStr">
        <is>
          <t>Instrumentation</t>
        </is>
      </c>
      <c r="E4513" s="12" t="inlineStr"/>
      <c r="F4513" s="12" t="inlineStr">
        <is>
          <t>PCM: power control module</t>
        </is>
      </c>
      <c r="G4513" s="12" t="inlineStr"/>
      <c r="H4513" s="12" t="inlineStr">
        <is>
          <t>CONDITIONAL: BESS black-start alternative</t>
        </is>
      </c>
      <c r="I4513" s="12" t="inlineStr">
        <is>
          <t>Instrumentation</t>
        </is>
      </c>
      <c r="J4513" s="12" t="inlineStr">
        <is>
          <t>Instrumentation PLTC / TC-ER 300 V, #18 twisted shielded pairs, overall shield</t>
        </is>
      </c>
      <c r="K4513" s="12" t="inlineStr">
        <is>
          <t>PLTC|4 pr|18</t>
        </is>
      </c>
      <c r="L4513" s="12" t="inlineStr">
        <is>
          <t>4 pr</t>
        </is>
      </c>
      <c r="M4513" s="12" t="inlineStr">
        <is>
          <t>18</t>
        </is>
      </c>
      <c r="N4513" s="12" t="n">
        <v>1</v>
      </c>
      <c r="O4513" s="12" t="n">
        <v>1</v>
      </c>
      <c r="P4513" s="12" t="n"/>
      <c r="Q4513" s="12" t="n"/>
      <c r="R4513" s="12" t="n"/>
      <c r="S4513" s="12" t="inlineStr">
        <is>
          <t>Duct bank</t>
        </is>
      </c>
      <c r="T4513" s="16" t="n">
        <v>550</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I-I-0014</t>
        </is>
      </c>
      <c r="B4514" s="12" t="inlineStr">
        <is>
          <t>I</t>
        </is>
      </c>
      <c r="C4514" s="12" t="inlineStr">
        <is>
          <t>Modular / portable power</t>
        </is>
      </c>
      <c r="D4514" s="12" t="inlineStr">
        <is>
          <t>Thermocouples</t>
        </is>
      </c>
      <c r="E4514" s="12" t="inlineStr"/>
      <c r="F4514" s="12" t="inlineStr">
        <is>
          <t>PCM: power control module</t>
        </is>
      </c>
      <c r="G4514" s="12" t="inlineStr"/>
      <c r="H4514" s="12" t="inlineStr">
        <is>
          <t>CONDITIONAL: BESS black-start alternative</t>
        </is>
      </c>
      <c r="I4514" s="12" t="inlineStr">
        <is>
          <t>Instrumentation</t>
        </is>
      </c>
      <c r="J4514" s="12" t="inlineStr">
        <is>
          <t>Thermocouple extension KX, #16 shielded pairs, PLTC</t>
        </is>
      </c>
      <c r="K4514" s="12" t="inlineStr">
        <is>
          <t>TCX|12 pr|16</t>
        </is>
      </c>
      <c r="L4514" s="12" t="inlineStr">
        <is>
          <t>12 pr</t>
        </is>
      </c>
      <c r="M4514" s="12" t="inlineStr">
        <is>
          <t>16</t>
        </is>
      </c>
      <c r="N4514" s="12" t="n">
        <v>1</v>
      </c>
      <c r="O4514" s="12" t="n">
        <v>1</v>
      </c>
      <c r="P4514" s="12" t="n"/>
      <c r="Q4514" s="12" t="n"/>
      <c r="R4514" s="12" t="n"/>
      <c r="S4514" s="12" t="inlineStr">
        <is>
          <t>Duct bank</t>
        </is>
      </c>
      <c r="T4514" s="16" t="n">
        <v>550</v>
      </c>
      <c r="U4514" s="16" t="n">
        <v>32</v>
      </c>
      <c r="V4514" s="16">
        <f>ROUNDUP((T4514+U4514+2*'Read Me'!$B$13)*(1+'Read Me'!$B$12),-1)</f>
        <v/>
      </c>
      <c r="W4514" s="16">
        <f>V4514*N4514*O4514</f>
        <v/>
      </c>
      <c r="X4514" s="12">
        <f>IF(LEFT(I4514,2)="MV",2*N4514*IF(L4514="1/C",O4514,1),0)</f>
        <v/>
      </c>
      <c r="Y4514" s="12">
        <f>IF(OR(LEFT(K4514,4)="LVAX",LEFT(K4514,6)="MV15AX",LEFT(K4514,4)="CTAX",LEFT(K4514,2)="W|"),2*N4514*O4514,0)</f>
        <v/>
      </c>
      <c r="Z4514" s="12" t="inlineStr"/>
      <c r="AA4514" s="12">
        <f>N4514*O4514</f>
        <v/>
      </c>
    </row>
    <row r="4515">
      <c r="A4515" s="12" t="inlineStr">
        <is>
          <t>I-I-0015</t>
        </is>
      </c>
      <c r="B4515" s="12" t="inlineStr">
        <is>
          <t>I</t>
        </is>
      </c>
      <c r="C4515" s="12" t="inlineStr">
        <is>
          <t>Modular / portable power</t>
        </is>
      </c>
      <c r="D4515" s="12" t="inlineStr">
        <is>
          <t>Thermocouples</t>
        </is>
      </c>
      <c r="E4515" s="12" t="inlineStr"/>
      <c r="F4515" s="12" t="inlineStr">
        <is>
          <t>PCM: power control module</t>
        </is>
      </c>
      <c r="G4515" s="12" t="inlineStr"/>
      <c r="H4515" s="12" t="inlineStr">
        <is>
          <t>CONDITIONAL: BESS black-start alternative</t>
        </is>
      </c>
      <c r="I4515" s="12" t="inlineStr">
        <is>
          <t>Instrumentation</t>
        </is>
      </c>
      <c r="J4515" s="12" t="inlineStr">
        <is>
          <t>Thermocouple extension KX, #16 shielded pairs, PLTC</t>
        </is>
      </c>
      <c r="K4515" s="12" t="inlineStr">
        <is>
          <t>TCX|12 pr|16</t>
        </is>
      </c>
      <c r="L4515" s="12" t="inlineStr">
        <is>
          <t>12 pr</t>
        </is>
      </c>
      <c r="M4515" s="12" t="inlineStr">
        <is>
          <t>16</t>
        </is>
      </c>
      <c r="N4515" s="12" t="n">
        <v>1</v>
      </c>
      <c r="O4515" s="12" t="n">
        <v>1</v>
      </c>
      <c r="P4515" s="12" t="n"/>
      <c r="Q4515" s="12" t="n"/>
      <c r="R4515" s="12" t="n"/>
      <c r="S4515" s="12" t="inlineStr">
        <is>
          <t>Duct bank</t>
        </is>
      </c>
      <c r="T4515" s="16" t="n">
        <v>550</v>
      </c>
      <c r="U4515" s="16" t="n">
        <v>32</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I-I-0016</t>
        </is>
      </c>
      <c r="B4516" s="12" t="inlineStr">
        <is>
          <t>I</t>
        </is>
      </c>
      <c r="C4516" s="12" t="inlineStr">
        <is>
          <t>Modular / portable power</t>
        </is>
      </c>
      <c r="D4516" s="12" t="inlineStr">
        <is>
          <t>Instrumentation</t>
        </is>
      </c>
      <c r="E4516" s="12" t="inlineStr"/>
      <c r="F4516" s="12" t="inlineStr">
        <is>
          <t>SC-1 PCM + 15 kV GCB</t>
        </is>
      </c>
      <c r="G4516" s="12" t="inlineStr"/>
      <c r="H4516" s="12" t="inlineStr">
        <is>
          <t>CONDITIONAL: SC-1 inlet chiller / evaporative cooler</t>
        </is>
      </c>
      <c r="I4516" s="12" t="inlineStr">
        <is>
          <t>Instrumentation</t>
        </is>
      </c>
      <c r="J4516" s="12" t="inlineStr">
        <is>
          <t>Instrumentation PLTC / TC-ER 300 V, #18 twisted shielded pairs, overall shield</t>
        </is>
      </c>
      <c r="K4516" s="12" t="inlineStr">
        <is>
          <t>PLTC|4 pr|18</t>
        </is>
      </c>
      <c r="L4516" s="12" t="inlineStr">
        <is>
          <t>4 pr</t>
        </is>
      </c>
      <c r="M4516" s="12" t="inlineStr">
        <is>
          <t>18</t>
        </is>
      </c>
      <c r="N4516" s="12" t="n">
        <v>1</v>
      </c>
      <c r="O4516" s="12" t="n">
        <v>1</v>
      </c>
      <c r="P4516" s="12" t="n"/>
      <c r="Q4516" s="12" t="n"/>
      <c r="R4516" s="12" t="n"/>
      <c r="S4516" s="12" t="inlineStr">
        <is>
          <t>Tray</t>
        </is>
      </c>
      <c r="T4516" s="16" t="n">
        <v>0</v>
      </c>
      <c r="U4516" s="16" t="n">
        <v>114</v>
      </c>
      <c r="V4516" s="16">
        <f>ROUNDUP((T4516+U4516+2*'Read Me'!$B$13)*(1+'Read Me'!$B$12),-1)</f>
        <v/>
      </c>
      <c r="W4516" s="16">
        <f>V4516*N4516*O4516</f>
        <v/>
      </c>
      <c r="X4516" s="12">
        <f>IF(LEFT(I4516,2)="MV",2*N4516*IF(L4516="1/C",O4516,1),0)</f>
        <v/>
      </c>
      <c r="Y4516" s="12">
        <f>IF(OR(LEFT(K4516,4)="LVAX",LEFT(K4516,6)="MV15AX",LEFT(K4516,4)="CTAX",LEFT(K4516,2)="W|"),2*N4516*O4516,0)</f>
        <v/>
      </c>
      <c r="Z4516" s="12" t="inlineStr"/>
      <c r="AA4516" s="12">
        <f>N4516*O4516</f>
        <v/>
      </c>
    </row>
    <row r="4517">
      <c r="A4517" s="12" t="inlineStr">
        <is>
          <t>I-I-0017</t>
        </is>
      </c>
      <c r="B4517" s="12" t="inlineStr">
        <is>
          <t>I</t>
        </is>
      </c>
      <c r="C4517" s="12" t="inlineStr">
        <is>
          <t>Modular / portable power</t>
        </is>
      </c>
      <c r="D4517" s="12" t="inlineStr">
        <is>
          <t>Thermocouples</t>
        </is>
      </c>
      <c r="E4517" s="12" t="inlineStr"/>
      <c r="F4517" s="12" t="inlineStr">
        <is>
          <t>SC-1 PCM + 15 kV GCB</t>
        </is>
      </c>
      <c r="G4517" s="12" t="inlineStr"/>
      <c r="H4517" s="12" t="inlineStr">
        <is>
          <t>CONDITIONAL: SC-1 inlet chiller / evaporative cooler</t>
        </is>
      </c>
      <c r="I4517" s="12" t="inlineStr">
        <is>
          <t>Instrumentation</t>
        </is>
      </c>
      <c r="J4517" s="12" t="inlineStr">
        <is>
          <t>Thermocouple extension KX, #16 shielded pairs, PLTC</t>
        </is>
      </c>
      <c r="K4517" s="12" t="inlineStr">
        <is>
          <t>TCX|12 pr|16</t>
        </is>
      </c>
      <c r="L4517" s="12" t="inlineStr">
        <is>
          <t>12 pr</t>
        </is>
      </c>
      <c r="M4517" s="12" t="inlineStr">
        <is>
          <t>16</t>
        </is>
      </c>
      <c r="N4517" s="12" t="n">
        <v>1</v>
      </c>
      <c r="O4517" s="12" t="n">
        <v>1</v>
      </c>
      <c r="P4517" s="12" t="n"/>
      <c r="Q4517" s="12" t="n"/>
      <c r="R4517" s="12" t="n"/>
      <c r="S4517" s="12" t="inlineStr">
        <is>
          <t>Tray</t>
        </is>
      </c>
      <c r="T4517" s="16" t="n">
        <v>0</v>
      </c>
      <c r="U4517" s="16" t="n">
        <v>114</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I-I-0018</t>
        </is>
      </c>
      <c r="B4518" s="12" t="inlineStr">
        <is>
          <t>I</t>
        </is>
      </c>
      <c r="C4518" s="12" t="inlineStr">
        <is>
          <t>Modular / portable power</t>
        </is>
      </c>
      <c r="D4518" s="12" t="inlineStr">
        <is>
          <t>Thermocouples</t>
        </is>
      </c>
      <c r="E4518" s="12" t="inlineStr"/>
      <c r="F4518" s="12" t="inlineStr">
        <is>
          <t>SC-1 PCM + 15 kV GCB</t>
        </is>
      </c>
      <c r="G4518" s="12" t="inlineStr"/>
      <c r="H4518" s="12" t="inlineStr">
        <is>
          <t>CONDITIONAL: SC-1 inlet chiller / evaporative cooler</t>
        </is>
      </c>
      <c r="I4518" s="12" t="inlineStr">
        <is>
          <t>Instrumentation</t>
        </is>
      </c>
      <c r="J4518" s="12" t="inlineStr">
        <is>
          <t>Thermocouple extension KX, #16 shielded pairs, PLTC</t>
        </is>
      </c>
      <c r="K4518" s="12" t="inlineStr">
        <is>
          <t>TCX|12 pr|16</t>
        </is>
      </c>
      <c r="L4518" s="12" t="inlineStr">
        <is>
          <t>12 pr</t>
        </is>
      </c>
      <c r="M4518" s="12" t="inlineStr">
        <is>
          <t>16</t>
        </is>
      </c>
      <c r="N4518" s="12" t="n">
        <v>1</v>
      </c>
      <c r="O4518" s="12" t="n">
        <v>1</v>
      </c>
      <c r="P4518" s="12" t="n"/>
      <c r="Q4518" s="12" t="n"/>
      <c r="R4518" s="12" t="n"/>
      <c r="S4518" s="12" t="inlineStr">
        <is>
          <t>Tray</t>
        </is>
      </c>
      <c r="T4518" s="16" t="n">
        <v>0</v>
      </c>
      <c r="U4518" s="16" t="n">
        <v>114</v>
      </c>
      <c r="V4518" s="16">
        <f>ROUNDUP((T4518+U4518+2*'Read Me'!$B$13)*(1+'Read Me'!$B$12),-1)</f>
        <v/>
      </c>
      <c r="W4518" s="16">
        <f>V4518*N4518*O4518</f>
        <v/>
      </c>
      <c r="X4518" s="12">
        <f>IF(LEFT(I4518,2)="MV",2*N4518*IF(L4518="1/C",O4518,1),0)</f>
        <v/>
      </c>
      <c r="Y4518" s="12">
        <f>IF(OR(LEFT(K4518,4)="LVAX",LEFT(K4518,6)="MV15AX",LEFT(K4518,4)="CTAX",LEFT(K4518,2)="W|"),2*N4518*O4518,0)</f>
        <v/>
      </c>
      <c r="Z4518" s="12" t="inlineStr"/>
      <c r="AA4518" s="12">
        <f>N4518*O4518</f>
        <v/>
      </c>
    </row>
    <row r="4519">
      <c r="A4519" s="12" t="inlineStr">
        <is>
          <t>I-I-0019</t>
        </is>
      </c>
      <c r="B4519" s="12" t="inlineStr">
        <is>
          <t>I</t>
        </is>
      </c>
      <c r="C4519" s="12" t="inlineStr">
        <is>
          <t>Modular / portable power</t>
        </is>
      </c>
      <c r="D4519" s="12" t="inlineStr">
        <is>
          <t>Instrumentation</t>
        </is>
      </c>
      <c r="E4519" s="12" t="inlineStr"/>
      <c r="F4519" s="12" t="inlineStr">
        <is>
          <t>SC-2 PCM + 15 kV GCB</t>
        </is>
      </c>
      <c r="G4519" s="12" t="inlineStr"/>
      <c r="H4519" s="12" t="inlineStr">
        <is>
          <t>CONDITIONAL: SC-2 inlet chiller / evaporative cooler</t>
        </is>
      </c>
      <c r="I4519" s="12" t="inlineStr">
        <is>
          <t>Instrumentation</t>
        </is>
      </c>
      <c r="J4519" s="12" t="inlineStr">
        <is>
          <t>Instrumentation PLTC / TC-ER 300 V, #18 twisted shielded pairs, overall shield</t>
        </is>
      </c>
      <c r="K4519" s="12" t="inlineStr">
        <is>
          <t>PLTC|4 pr|18</t>
        </is>
      </c>
      <c r="L4519" s="12" t="inlineStr">
        <is>
          <t>4 pr</t>
        </is>
      </c>
      <c r="M4519" s="12" t="inlineStr">
        <is>
          <t>18</t>
        </is>
      </c>
      <c r="N4519" s="12" t="n">
        <v>1</v>
      </c>
      <c r="O4519" s="12" t="n">
        <v>1</v>
      </c>
      <c r="P4519" s="12" t="n"/>
      <c r="Q4519" s="12" t="n"/>
      <c r="R4519" s="12" t="n"/>
      <c r="S4519" s="12" t="inlineStr">
        <is>
          <t>Duct bank</t>
        </is>
      </c>
      <c r="T4519" s="16" t="n">
        <v>75</v>
      </c>
      <c r="U4519" s="16" t="n">
        <v>32</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I-I-0020</t>
        </is>
      </c>
      <c r="B4520" s="12" t="inlineStr">
        <is>
          <t>I</t>
        </is>
      </c>
      <c r="C4520" s="12" t="inlineStr">
        <is>
          <t>Modular / portable power</t>
        </is>
      </c>
      <c r="D4520" s="12" t="inlineStr">
        <is>
          <t>Thermocouples</t>
        </is>
      </c>
      <c r="E4520" s="12" t="inlineStr"/>
      <c r="F4520" s="12" t="inlineStr">
        <is>
          <t>SC-2 PCM + 15 kV GCB</t>
        </is>
      </c>
      <c r="G4520" s="12" t="inlineStr"/>
      <c r="H4520" s="12" t="inlineStr">
        <is>
          <t>CONDITIONAL: SC-2 inlet chiller / evaporative cooler</t>
        </is>
      </c>
      <c r="I4520" s="12" t="inlineStr">
        <is>
          <t>Instrumentation</t>
        </is>
      </c>
      <c r="J4520" s="12" t="inlineStr">
        <is>
          <t>Thermocouple extension KX, #16 shielded pairs, PLTC</t>
        </is>
      </c>
      <c r="K4520" s="12" t="inlineStr">
        <is>
          <t>TCX|12 pr|16</t>
        </is>
      </c>
      <c r="L4520" s="12" t="inlineStr">
        <is>
          <t>12 pr</t>
        </is>
      </c>
      <c r="M4520" s="12" t="inlineStr">
        <is>
          <t>16</t>
        </is>
      </c>
      <c r="N4520" s="12" t="n">
        <v>1</v>
      </c>
      <c r="O4520" s="12" t="n">
        <v>1</v>
      </c>
      <c r="P4520" s="12" t="n"/>
      <c r="Q4520" s="12" t="n"/>
      <c r="R4520" s="12" t="n"/>
      <c r="S4520" s="12" t="inlineStr">
        <is>
          <t>Duct bank</t>
        </is>
      </c>
      <c r="T4520" s="16" t="n">
        <v>75</v>
      </c>
      <c r="U4520" s="16" t="n">
        <v>32</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I-I-0021</t>
        </is>
      </c>
      <c r="B4521" s="12" t="inlineStr">
        <is>
          <t>I</t>
        </is>
      </c>
      <c r="C4521" s="12" t="inlineStr">
        <is>
          <t>Modular / portable power</t>
        </is>
      </c>
      <c r="D4521" s="12" t="inlineStr">
        <is>
          <t>Thermocouples</t>
        </is>
      </c>
      <c r="E4521" s="12" t="inlineStr"/>
      <c r="F4521" s="12" t="inlineStr">
        <is>
          <t>SC-2 PCM + 15 kV GCB</t>
        </is>
      </c>
      <c r="G4521" s="12" t="inlineStr"/>
      <c r="H4521" s="12" t="inlineStr">
        <is>
          <t>CONDITIONAL: SC-2 inlet chiller / evaporative cooler</t>
        </is>
      </c>
      <c r="I4521" s="12" t="inlineStr">
        <is>
          <t>Instrumentation</t>
        </is>
      </c>
      <c r="J4521" s="12" t="inlineStr">
        <is>
          <t>Thermocouple extension KX, #16 shielded pairs, PLTC</t>
        </is>
      </c>
      <c r="K4521" s="12" t="inlineStr">
        <is>
          <t>TCX|12 pr|16</t>
        </is>
      </c>
      <c r="L4521" s="12" t="inlineStr">
        <is>
          <t>12 pr</t>
        </is>
      </c>
      <c r="M4521" s="12" t="inlineStr">
        <is>
          <t>16</t>
        </is>
      </c>
      <c r="N4521" s="12" t="n">
        <v>1</v>
      </c>
      <c r="O4521" s="12" t="n">
        <v>1</v>
      </c>
      <c r="P4521" s="12" t="n"/>
      <c r="Q4521" s="12" t="n"/>
      <c r="R4521" s="12" t="n"/>
      <c r="S4521" s="12" t="inlineStr">
        <is>
          <t>Duct bank</t>
        </is>
      </c>
      <c r="T4521" s="16" t="n">
        <v>75</v>
      </c>
      <c r="U4521" s="16" t="n">
        <v>32</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I-I-0022</t>
        </is>
      </c>
      <c r="B4522" s="12" t="inlineStr">
        <is>
          <t>I</t>
        </is>
      </c>
      <c r="C4522" s="12" t="inlineStr">
        <is>
          <t>Modular / portable power</t>
        </is>
      </c>
      <c r="D4522" s="12" t="inlineStr">
        <is>
          <t>Analog instrument to JB JB-CONT-1-AI01: 20 x 1 pr (field cables)</t>
        </is>
      </c>
      <c r="E4522" s="12" t="inlineStr">
        <is>
          <t>CONT-1</t>
        </is>
      </c>
      <c r="F4522" s="12" t="inlineStr">
        <is>
          <t>CONT-1: containerized genset 13.8 kV (40 ft)</t>
        </is>
      </c>
      <c r="G4522" s="12" t="inlineStr">
        <is>
          <t>JB-CONT-1-AI01</t>
        </is>
      </c>
      <c r="H4522" s="12" t="inlineStr">
        <is>
          <t>CONT-1: containerized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I-I-0023</t>
        </is>
      </c>
      <c r="B4523" s="12" t="inlineStr">
        <is>
          <t>I</t>
        </is>
      </c>
      <c r="C4523" s="12" t="inlineStr">
        <is>
          <t>Modular / portable power</t>
        </is>
      </c>
      <c r="D4523" s="12" t="inlineStr">
        <is>
          <t>Home run JB-CONT-1-AI01 to the control / marshalling room</t>
        </is>
      </c>
      <c r="E4523" s="12" t="inlineStr">
        <is>
          <t>PAD-EH</t>
        </is>
      </c>
      <c r="F4523" s="12" t="inlineStr">
        <is>
          <t>PAD-EH 13.8 kV switchgear e-house</t>
        </is>
      </c>
      <c r="G4523" s="12" t="inlineStr">
        <is>
          <t>JB-CONT-1-AI01</t>
        </is>
      </c>
      <c r="H4523" s="12" t="inlineStr">
        <is>
          <t>CONT-1: containerized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298</v>
      </c>
      <c r="U4523" s="16" t="n">
        <v>37</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I-I-0024</t>
        </is>
      </c>
      <c r="B4524" s="12" t="inlineStr">
        <is>
          <t>I</t>
        </is>
      </c>
      <c r="C4524" s="12" t="inlineStr">
        <is>
          <t>Modular / portable power</t>
        </is>
      </c>
      <c r="D4524" s="12" t="inlineStr">
        <is>
          <t>Discrete device to JB JB-CONT-1-DI01: 20 x 1 pr (field cables)</t>
        </is>
      </c>
      <c r="E4524" s="12" t="inlineStr">
        <is>
          <t>CONT-1</t>
        </is>
      </c>
      <c r="F4524" s="12" t="inlineStr">
        <is>
          <t>CONT-1: containerized genset 13.8 kV (40 ft)</t>
        </is>
      </c>
      <c r="G4524" s="12" t="inlineStr">
        <is>
          <t>JB-CONT-1-DI01</t>
        </is>
      </c>
      <c r="H4524" s="12" t="inlineStr">
        <is>
          <t>CONT-1: containerized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I-I-0025</t>
        </is>
      </c>
      <c r="B4525" s="12" t="inlineStr">
        <is>
          <t>I</t>
        </is>
      </c>
      <c r="C4525" s="12" t="inlineStr">
        <is>
          <t>Modular / portable power</t>
        </is>
      </c>
      <c r="D4525" s="12" t="inlineStr">
        <is>
          <t>Home run JB-CONT-1-DI01 to the control / marshalling room</t>
        </is>
      </c>
      <c r="E4525" s="12" t="inlineStr">
        <is>
          <t>PAD-EH</t>
        </is>
      </c>
      <c r="F4525" s="12" t="inlineStr">
        <is>
          <t>PAD-EH 13.8 kV switchgear e-house</t>
        </is>
      </c>
      <c r="G4525" s="12" t="inlineStr">
        <is>
          <t>JB-CONT-1-DI01</t>
        </is>
      </c>
      <c r="H4525" s="12" t="inlineStr">
        <is>
          <t>CONT-1: containerized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298</v>
      </c>
      <c r="U4525" s="16" t="n">
        <v>37</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I-I-0026</t>
        </is>
      </c>
      <c r="B4526" s="12" t="inlineStr">
        <is>
          <t>I</t>
        </is>
      </c>
      <c r="C4526" s="12" t="inlineStr">
        <is>
          <t>Modular / portable power</t>
        </is>
      </c>
      <c r="D4526" s="12" t="inlineStr">
        <is>
          <t>Analog instrument to JB JB-CONT-2-AI01: 20 x 1 pr (field cables)</t>
        </is>
      </c>
      <c r="E4526" s="12" t="inlineStr">
        <is>
          <t>CONT-2</t>
        </is>
      </c>
      <c r="F4526" s="12" t="inlineStr">
        <is>
          <t>CONT-2: containerized genset 13.8 kV (40 ft)</t>
        </is>
      </c>
      <c r="G4526" s="12" t="inlineStr">
        <is>
          <t>JB-CONT-2-AI01</t>
        </is>
      </c>
      <c r="H4526" s="12" t="inlineStr">
        <is>
          <t>CONT-2: containerized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I-I-0027</t>
        </is>
      </c>
      <c r="B4527" s="12" t="inlineStr">
        <is>
          <t>I</t>
        </is>
      </c>
      <c r="C4527" s="12" t="inlineStr">
        <is>
          <t>Modular / portable power</t>
        </is>
      </c>
      <c r="D4527" s="12" t="inlineStr">
        <is>
          <t>Home run JB-CONT-2-AI01 to the control / marshalling room</t>
        </is>
      </c>
      <c r="E4527" s="12" t="inlineStr">
        <is>
          <t>PAD-EH</t>
        </is>
      </c>
      <c r="F4527" s="12" t="inlineStr">
        <is>
          <t>PAD-EH 13.8 kV switchgear e-house</t>
        </is>
      </c>
      <c r="G4527" s="12" t="inlineStr">
        <is>
          <t>JB-CONT-2-AI01</t>
        </is>
      </c>
      <c r="H4527" s="12" t="inlineStr">
        <is>
          <t>CONT-2: containerized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6" t="n">
        <v>267</v>
      </c>
      <c r="U4527" s="16" t="n">
        <v>37</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I-I-0028</t>
        </is>
      </c>
      <c r="B4528" s="12" t="inlineStr">
        <is>
          <t>I</t>
        </is>
      </c>
      <c r="C4528" s="12" t="inlineStr">
        <is>
          <t>Modular / portable power</t>
        </is>
      </c>
      <c r="D4528" s="12" t="inlineStr">
        <is>
          <t>Discrete device to JB JB-CONT-2-DI01: 20 x 1 pr (field cables)</t>
        </is>
      </c>
      <c r="E4528" s="12" t="inlineStr">
        <is>
          <t>CONT-2</t>
        </is>
      </c>
      <c r="F4528" s="12" t="inlineStr">
        <is>
          <t>CONT-2: containerized genset 13.8 kV (40 ft)</t>
        </is>
      </c>
      <c r="G4528" s="12" t="inlineStr">
        <is>
          <t>JB-CONT-2-DI01</t>
        </is>
      </c>
      <c r="H4528" s="12" t="inlineStr">
        <is>
          <t>CONT-2: containerized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I-I-0029</t>
        </is>
      </c>
      <c r="B4529" s="12" t="inlineStr">
        <is>
          <t>I</t>
        </is>
      </c>
      <c r="C4529" s="12" t="inlineStr">
        <is>
          <t>Modular / portable power</t>
        </is>
      </c>
      <c r="D4529" s="12" t="inlineStr">
        <is>
          <t>Home run JB-CONT-2-DI01 to the control / marshalling room</t>
        </is>
      </c>
      <c r="E4529" s="12" t="inlineStr">
        <is>
          <t>PAD-EH</t>
        </is>
      </c>
      <c r="F4529" s="12" t="inlineStr">
        <is>
          <t>PAD-EH 13.8 kV switchgear e-house</t>
        </is>
      </c>
      <c r="G4529" s="12" t="inlineStr">
        <is>
          <t>JB-CONT-2-DI01</t>
        </is>
      </c>
      <c r="H4529" s="12" t="inlineStr">
        <is>
          <t>CONT-2: containerized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6" t="n">
        <v>267</v>
      </c>
      <c r="U4529" s="16" t="n">
        <v>37</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I-I-0030</t>
        </is>
      </c>
      <c r="B4530" s="12" t="inlineStr">
        <is>
          <t>I</t>
        </is>
      </c>
      <c r="C4530" s="12" t="inlineStr">
        <is>
          <t>Modular / portable power</t>
        </is>
      </c>
      <c r="D4530" s="12" t="inlineStr">
        <is>
          <t>Analog instrument to JB JB-CONT-3-AI01: 20 x 1 pr (field cables)</t>
        </is>
      </c>
      <c r="E4530" s="12" t="inlineStr">
        <is>
          <t>CONT-3</t>
        </is>
      </c>
      <c r="F4530" s="12" t="inlineStr">
        <is>
          <t>CONT-3: containerized gas genset 13.8 kV (40 ft)</t>
        </is>
      </c>
      <c r="G4530" s="12" t="inlineStr">
        <is>
          <t>JB-CONT-3-AI01</t>
        </is>
      </c>
      <c r="H4530" s="12" t="inlineStr">
        <is>
          <t>CONT-3: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I-I-0031</t>
        </is>
      </c>
      <c r="B4531" s="12" t="inlineStr">
        <is>
          <t>I</t>
        </is>
      </c>
      <c r="C4531" s="12" t="inlineStr">
        <is>
          <t>Modular / portable power</t>
        </is>
      </c>
      <c r="D4531" s="12" t="inlineStr">
        <is>
          <t>Home run JB-CONT-3-AI01 to the control / marshalling room</t>
        </is>
      </c>
      <c r="E4531" s="12" t="inlineStr">
        <is>
          <t>PAD-EH</t>
        </is>
      </c>
      <c r="F4531" s="12" t="inlineStr">
        <is>
          <t>PAD-EH 13.8 kV switchgear e-house</t>
        </is>
      </c>
      <c r="G4531" s="12" t="inlineStr">
        <is>
          <t>JB-CONT-3-AI01</t>
        </is>
      </c>
      <c r="H4531" s="12" t="inlineStr">
        <is>
          <t>CONT-3: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Surface</t>
        </is>
      </c>
      <c r="T4531" s="16" t="n">
        <v>191</v>
      </c>
      <c r="U4531" s="16" t="n">
        <v>32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I-I-0032</t>
        </is>
      </c>
      <c r="B4532" s="12" t="inlineStr">
        <is>
          <t>I</t>
        </is>
      </c>
      <c r="C4532" s="12" t="inlineStr">
        <is>
          <t>Modular / portable power</t>
        </is>
      </c>
      <c r="D4532" s="12" t="inlineStr">
        <is>
          <t>Discrete device to JB JB-CONT-3-DI01: 20 x 1 pr (field cables)</t>
        </is>
      </c>
      <c r="E4532" s="12" t="inlineStr">
        <is>
          <t>CONT-3</t>
        </is>
      </c>
      <c r="F4532" s="12" t="inlineStr">
        <is>
          <t>CONT-3: containerized gas genset 13.8 kV (40 ft)</t>
        </is>
      </c>
      <c r="G4532" s="12" t="inlineStr">
        <is>
          <t>JB-CONT-3-DI01</t>
        </is>
      </c>
      <c r="H4532" s="12" t="inlineStr">
        <is>
          <t>CONT-3: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I-I-0033</t>
        </is>
      </c>
      <c r="B4533" s="12" t="inlineStr">
        <is>
          <t>I</t>
        </is>
      </c>
      <c r="C4533" s="12" t="inlineStr">
        <is>
          <t>Modular / portable power</t>
        </is>
      </c>
      <c r="D4533" s="12" t="inlineStr">
        <is>
          <t>Home run JB-CONT-3-DI01 to the control / marshalling room</t>
        </is>
      </c>
      <c r="E4533" s="12" t="inlineStr">
        <is>
          <t>PAD-EH</t>
        </is>
      </c>
      <c r="F4533" s="12" t="inlineStr">
        <is>
          <t>PAD-EH 13.8 kV switchgear e-house</t>
        </is>
      </c>
      <c r="G4533" s="12" t="inlineStr">
        <is>
          <t>JB-CONT-3-DI01</t>
        </is>
      </c>
      <c r="H4533" s="12" t="inlineStr">
        <is>
          <t>CONT-3: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Surface</t>
        </is>
      </c>
      <c r="T4533" s="16" t="n">
        <v>191</v>
      </c>
      <c r="U4533" s="16" t="n">
        <v>32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I-I-0034</t>
        </is>
      </c>
      <c r="B4534" s="12" t="inlineStr">
        <is>
          <t>I</t>
        </is>
      </c>
      <c r="C4534" s="12" t="inlineStr">
        <is>
          <t>Modular / portable power</t>
        </is>
      </c>
      <c r="D4534" s="12" t="inlineStr">
        <is>
          <t>Analog instrument to JB JB-CONT-4-AI01: 20 x 1 pr (field cables)</t>
        </is>
      </c>
      <c r="E4534" s="12" t="inlineStr">
        <is>
          <t>CONT-4</t>
        </is>
      </c>
      <c r="F4534" s="12" t="inlineStr">
        <is>
          <t>CONT-4: containerized gas genset 13.8 kV (40 ft)</t>
        </is>
      </c>
      <c r="G4534" s="12" t="inlineStr">
        <is>
          <t>JB-CONT-4-AI01</t>
        </is>
      </c>
      <c r="H4534" s="12" t="inlineStr">
        <is>
          <t>CONT-4: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I-I-0035</t>
        </is>
      </c>
      <c r="B4535" s="12" t="inlineStr">
        <is>
          <t>I</t>
        </is>
      </c>
      <c r="C4535" s="12" t="inlineStr">
        <is>
          <t>Modular / portable power</t>
        </is>
      </c>
      <c r="D4535" s="12" t="inlineStr">
        <is>
          <t>Home run JB-CONT-4-AI01 to the control / marshalling room</t>
        </is>
      </c>
      <c r="E4535" s="12" t="inlineStr">
        <is>
          <t>PAD-EH</t>
        </is>
      </c>
      <c r="F4535" s="12" t="inlineStr">
        <is>
          <t>PAD-EH 13.8 kV switchgear e-house</t>
        </is>
      </c>
      <c r="G4535" s="12" t="inlineStr">
        <is>
          <t>JB-CONT-4-AI01</t>
        </is>
      </c>
      <c r="H4535" s="12" t="inlineStr">
        <is>
          <t>CONT-4: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62</v>
      </c>
      <c r="U4535" s="16" t="n">
        <v>81</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I-I-0036</t>
        </is>
      </c>
      <c r="B4536" s="12" t="inlineStr">
        <is>
          <t>I</t>
        </is>
      </c>
      <c r="C4536" s="12" t="inlineStr">
        <is>
          <t>Modular / portable power</t>
        </is>
      </c>
      <c r="D4536" s="12" t="inlineStr">
        <is>
          <t>Discrete device to JB JB-CONT-4-DI01: 20 x 1 pr (field cables)</t>
        </is>
      </c>
      <c r="E4536" s="12" t="inlineStr">
        <is>
          <t>CONT-4</t>
        </is>
      </c>
      <c r="F4536" s="12" t="inlineStr">
        <is>
          <t>CONT-4: containerized gas genset 13.8 kV (40 ft)</t>
        </is>
      </c>
      <c r="G4536" s="12" t="inlineStr">
        <is>
          <t>JB-CONT-4-DI01</t>
        </is>
      </c>
      <c r="H4536" s="12" t="inlineStr">
        <is>
          <t>CONT-4: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I-I-0037</t>
        </is>
      </c>
      <c r="B4537" s="12" t="inlineStr">
        <is>
          <t>I</t>
        </is>
      </c>
      <c r="C4537" s="12" t="inlineStr">
        <is>
          <t>Modular / portable power</t>
        </is>
      </c>
      <c r="D4537" s="12" t="inlineStr">
        <is>
          <t>Home run JB-CONT-4-DI01 to the control / marshalling room</t>
        </is>
      </c>
      <c r="E4537" s="12" t="inlineStr">
        <is>
          <t>PAD-EH</t>
        </is>
      </c>
      <c r="F4537" s="12" t="inlineStr">
        <is>
          <t>PAD-EH 13.8 kV switchgear e-house</t>
        </is>
      </c>
      <c r="G4537" s="12" t="inlineStr">
        <is>
          <t>JB-CONT-4-DI01</t>
        </is>
      </c>
      <c r="H4537" s="12" t="inlineStr">
        <is>
          <t>CONT-4: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62</v>
      </c>
      <c r="U4537" s="16" t="n">
        <v>81</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I-I-0038</t>
        </is>
      </c>
      <c r="B4538" s="12" t="inlineStr">
        <is>
          <t>I</t>
        </is>
      </c>
      <c r="C4538" s="12" t="inlineStr">
        <is>
          <t>Modular / portable power</t>
        </is>
      </c>
      <c r="D4538" s="12" t="inlineStr">
        <is>
          <t>Analog instrument to JB JB-CONT-5-AI01: 20 x 1 pr (field cables)</t>
        </is>
      </c>
      <c r="E4538" s="12" t="inlineStr">
        <is>
          <t>CONT-5</t>
        </is>
      </c>
      <c r="F4538" s="12" t="inlineStr">
        <is>
          <t>CONT-5: containerized gas genset 13.8 kV (40 ft)</t>
        </is>
      </c>
      <c r="G4538" s="12" t="inlineStr">
        <is>
          <t>JB-CONT-5-AI01</t>
        </is>
      </c>
      <c r="H4538" s="12" t="inlineStr">
        <is>
          <t>CONT-5: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I-I-0039</t>
        </is>
      </c>
      <c r="B4539" s="12" t="inlineStr">
        <is>
          <t>I</t>
        </is>
      </c>
      <c r="C4539" s="12" t="inlineStr">
        <is>
          <t>Modular / portable power</t>
        </is>
      </c>
      <c r="D4539" s="12" t="inlineStr">
        <is>
          <t>Home run JB-CONT-5-AI01 to the control / marshalling room</t>
        </is>
      </c>
      <c r="E4539" s="12" t="inlineStr">
        <is>
          <t>PAD-EH</t>
        </is>
      </c>
      <c r="F4539" s="12" t="inlineStr">
        <is>
          <t>PAD-EH 13.8 kV switchgear e-house</t>
        </is>
      </c>
      <c r="G4539" s="12" t="inlineStr">
        <is>
          <t>JB-CONT-5-AI01</t>
        </is>
      </c>
      <c r="H4539" s="12" t="inlineStr">
        <is>
          <t>CONT-5: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6" t="n">
        <v>25</v>
      </c>
      <c r="U4539" s="16" t="n">
        <v>58</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I-I-0040</t>
        </is>
      </c>
      <c r="B4540" s="12" t="inlineStr">
        <is>
          <t>I</t>
        </is>
      </c>
      <c r="C4540" s="12" t="inlineStr">
        <is>
          <t>Modular / portable power</t>
        </is>
      </c>
      <c r="D4540" s="12" t="inlineStr">
        <is>
          <t>Discrete device to JB JB-CONT-5-DI01: 20 x 1 pr (field cables)</t>
        </is>
      </c>
      <c r="E4540" s="12" t="inlineStr">
        <is>
          <t>CONT-5</t>
        </is>
      </c>
      <c r="F4540" s="12" t="inlineStr">
        <is>
          <t>CONT-5: containerized gas genset 13.8 kV (40 ft)</t>
        </is>
      </c>
      <c r="G4540" s="12" t="inlineStr">
        <is>
          <t>JB-CONT-5-DI01</t>
        </is>
      </c>
      <c r="H4540" s="12" t="inlineStr">
        <is>
          <t>CONT-5: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I-I-0041</t>
        </is>
      </c>
      <c r="B4541" s="12" t="inlineStr">
        <is>
          <t>I</t>
        </is>
      </c>
      <c r="C4541" s="12" t="inlineStr">
        <is>
          <t>Modular / portable power</t>
        </is>
      </c>
      <c r="D4541" s="12" t="inlineStr">
        <is>
          <t>Home run JB-CONT-5-DI01 to the control / marshalling room</t>
        </is>
      </c>
      <c r="E4541" s="12" t="inlineStr">
        <is>
          <t>PAD-EH</t>
        </is>
      </c>
      <c r="F4541" s="12" t="inlineStr">
        <is>
          <t>PAD-EH 13.8 kV switchgear e-house</t>
        </is>
      </c>
      <c r="G4541" s="12" t="inlineStr">
        <is>
          <t>JB-CONT-5-DI01</t>
        </is>
      </c>
      <c r="H4541" s="12" t="inlineStr">
        <is>
          <t>CONT-5: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25</v>
      </c>
      <c r="U4541" s="16" t="n">
        <v>58</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I-I-0042</t>
        </is>
      </c>
      <c r="B4542" s="12" t="inlineStr">
        <is>
          <t>I</t>
        </is>
      </c>
      <c r="C4542" s="12" t="inlineStr">
        <is>
          <t>Modular / portable power</t>
        </is>
      </c>
      <c r="D4542" s="12" t="inlineStr">
        <is>
          <t>Analog instrument to JB JB-CONT-6-AI01: 20 x 1 pr (field cables)</t>
        </is>
      </c>
      <c r="E4542" s="12" t="inlineStr">
        <is>
          <t>CONT-6</t>
        </is>
      </c>
      <c r="F4542" s="12" t="inlineStr">
        <is>
          <t>CONT-6: containerized gas genset 13.8 kV (40 ft)</t>
        </is>
      </c>
      <c r="G4542" s="12" t="inlineStr">
        <is>
          <t>JB-CONT-6-AI01</t>
        </is>
      </c>
      <c r="H4542" s="12" t="inlineStr">
        <is>
          <t>CONT-6: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I-I-0043</t>
        </is>
      </c>
      <c r="B4543" s="12" t="inlineStr">
        <is>
          <t>I</t>
        </is>
      </c>
      <c r="C4543" s="12" t="inlineStr">
        <is>
          <t>Modular / portable power</t>
        </is>
      </c>
      <c r="D4543" s="12" t="inlineStr">
        <is>
          <t>Home run JB-CONT-6-AI01 to the control / marshalling room</t>
        </is>
      </c>
      <c r="E4543" s="12" t="inlineStr">
        <is>
          <t>PAD-EH</t>
        </is>
      </c>
      <c r="F4543" s="12" t="inlineStr">
        <is>
          <t>PAD-EH 13.8 kV switchgear e-house</t>
        </is>
      </c>
      <c r="G4543" s="12" t="inlineStr">
        <is>
          <t>JB-CONT-6-AI01</t>
        </is>
      </c>
      <c r="H4543" s="12" t="inlineStr">
        <is>
          <t>CONT-6: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228</v>
      </c>
      <c r="U4543" s="16" t="n">
        <v>46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I-I-0044</t>
        </is>
      </c>
      <c r="B4544" s="12" t="inlineStr">
        <is>
          <t>I</t>
        </is>
      </c>
      <c r="C4544" s="12" t="inlineStr">
        <is>
          <t>Modular / portable power</t>
        </is>
      </c>
      <c r="D4544" s="12" t="inlineStr">
        <is>
          <t>Discrete device to JB JB-CONT-6-DI01: 20 x 1 pr (field cables)</t>
        </is>
      </c>
      <c r="E4544" s="12" t="inlineStr">
        <is>
          <t>CONT-6</t>
        </is>
      </c>
      <c r="F4544" s="12" t="inlineStr">
        <is>
          <t>CONT-6: containerized gas genset 13.8 kV (40 ft)</t>
        </is>
      </c>
      <c r="G4544" s="12" t="inlineStr">
        <is>
          <t>JB-CONT-6-DI01</t>
        </is>
      </c>
      <c r="H4544" s="12" t="inlineStr">
        <is>
          <t>CONT-6: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I-I-0045</t>
        </is>
      </c>
      <c r="B4545" s="12" t="inlineStr">
        <is>
          <t>I</t>
        </is>
      </c>
      <c r="C4545" s="12" t="inlineStr">
        <is>
          <t>Modular / portable power</t>
        </is>
      </c>
      <c r="D4545" s="12" t="inlineStr">
        <is>
          <t>Home run JB-CONT-6-DI01 to the control / marshalling room</t>
        </is>
      </c>
      <c r="E4545" s="12" t="inlineStr">
        <is>
          <t>PAD-EH</t>
        </is>
      </c>
      <c r="F4545" s="12" t="inlineStr">
        <is>
          <t>PAD-EH 13.8 kV switchgear e-house</t>
        </is>
      </c>
      <c r="G4545" s="12" t="inlineStr">
        <is>
          <t>JB-CONT-6-DI01</t>
        </is>
      </c>
      <c r="H4545" s="12" t="inlineStr">
        <is>
          <t>CONT-6: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228</v>
      </c>
      <c r="U4545" s="16" t="n">
        <v>46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I-I-0046</t>
        </is>
      </c>
      <c r="B4546" s="12" t="inlineStr">
        <is>
          <t>I</t>
        </is>
      </c>
      <c r="C4546" s="12" t="inlineStr">
        <is>
          <t>Modular / portable power</t>
        </is>
      </c>
      <c r="D4546" s="12" t="inlineStr">
        <is>
          <t>Analog instrument to JB JB-CONT-7-AI01: 20 x 1 pr (field cables)</t>
        </is>
      </c>
      <c r="E4546" s="12" t="inlineStr">
        <is>
          <t>CONT-7</t>
        </is>
      </c>
      <c r="F4546" s="12" t="inlineStr">
        <is>
          <t>CONT-7: containerized gas genset 13.8 kV (40 ft)</t>
        </is>
      </c>
      <c r="G4546" s="12" t="inlineStr">
        <is>
          <t>JB-CONT-7-AI01</t>
        </is>
      </c>
      <c r="H4546" s="12" t="inlineStr">
        <is>
          <t>CONT-7: containerized gas genset 13.8 kV (40 ft)</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20</v>
      </c>
      <c r="O4546" s="12" t="n">
        <v>1</v>
      </c>
      <c r="P4546" s="12" t="n"/>
      <c r="Q4546" s="12" t="n"/>
      <c r="R4546" s="12" t="n"/>
      <c r="S4546" s="12" t="inlineStr">
        <is>
          <t>Tray / conduit</t>
        </is>
      </c>
      <c r="T4546" s="16" t="n">
        <v>54</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I-I-0047</t>
        </is>
      </c>
      <c r="B4547" s="12" t="inlineStr">
        <is>
          <t>I</t>
        </is>
      </c>
      <c r="C4547" s="12" t="inlineStr">
        <is>
          <t>Modular / portable power</t>
        </is>
      </c>
      <c r="D4547" s="12" t="inlineStr">
        <is>
          <t>Home run JB-CONT-7-AI01 to the control / marshalling room</t>
        </is>
      </c>
      <c r="E4547" s="12" t="inlineStr">
        <is>
          <t>PAD-EH</t>
        </is>
      </c>
      <c r="F4547" s="12" t="inlineStr">
        <is>
          <t>PAD-EH 13.8 kV switchgear e-house</t>
        </is>
      </c>
      <c r="G4547" s="12" t="inlineStr">
        <is>
          <t>JB-CONT-7-AI01</t>
        </is>
      </c>
      <c r="H4547" s="12" t="inlineStr">
        <is>
          <t>CONT-7: containerized gas genset 13.8 kV (40 ft)</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Surface</t>
        </is>
      </c>
      <c r="T4547" s="16" t="n">
        <v>228</v>
      </c>
      <c r="U4547" s="16" t="n">
        <v>46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I-I-0048</t>
        </is>
      </c>
      <c r="B4548" s="12" t="inlineStr">
        <is>
          <t>I</t>
        </is>
      </c>
      <c r="C4548" s="12" t="inlineStr">
        <is>
          <t>Modular / portable power</t>
        </is>
      </c>
      <c r="D4548" s="12" t="inlineStr">
        <is>
          <t>Discrete device to JB JB-CONT-7-DI01: 20 x 1 pr (field cables)</t>
        </is>
      </c>
      <c r="E4548" s="12" t="inlineStr">
        <is>
          <t>CONT-7</t>
        </is>
      </c>
      <c r="F4548" s="12" t="inlineStr">
        <is>
          <t>CONT-7: containerized gas genset 13.8 kV (40 ft)</t>
        </is>
      </c>
      <c r="G4548" s="12" t="inlineStr">
        <is>
          <t>JB-CONT-7-DI01</t>
        </is>
      </c>
      <c r="H4548" s="12" t="inlineStr">
        <is>
          <t>CONT-7: containerized gas genset 13.8 kV (40 ft)</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20</v>
      </c>
      <c r="O4548" s="12" t="n">
        <v>1</v>
      </c>
      <c r="P4548" s="12" t="n"/>
      <c r="Q4548" s="12" t="n"/>
      <c r="R4548" s="12" t="n"/>
      <c r="S4548" s="12" t="inlineStr">
        <is>
          <t>Tray / conduit</t>
        </is>
      </c>
      <c r="T4548" s="16" t="n">
        <v>54</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I-I-0049</t>
        </is>
      </c>
      <c r="B4549" s="12" t="inlineStr">
        <is>
          <t>I</t>
        </is>
      </c>
      <c r="C4549" s="12" t="inlineStr">
        <is>
          <t>Modular / portable power</t>
        </is>
      </c>
      <c r="D4549" s="12" t="inlineStr">
        <is>
          <t>Home run JB-CONT-7-DI01 to the control / marshalling room</t>
        </is>
      </c>
      <c r="E4549" s="12" t="inlineStr">
        <is>
          <t>PAD-EH</t>
        </is>
      </c>
      <c r="F4549" s="12" t="inlineStr">
        <is>
          <t>PAD-EH 13.8 kV switchgear e-house</t>
        </is>
      </c>
      <c r="G4549" s="12" t="inlineStr">
        <is>
          <t>JB-CONT-7-DI01</t>
        </is>
      </c>
      <c r="H4549" s="12" t="inlineStr">
        <is>
          <t>CONT-7: containerized gas genset 13.8 kV (40 ft)</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Surface</t>
        </is>
      </c>
      <c r="T4549" s="16" t="n">
        <v>228</v>
      </c>
      <c r="U4549" s="16" t="n">
        <v>46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I-I-0050</t>
        </is>
      </c>
      <c r="B4550" s="12" t="inlineStr">
        <is>
          <t>I</t>
        </is>
      </c>
      <c r="C4550" s="12" t="inlineStr">
        <is>
          <t>Modular / portable power</t>
        </is>
      </c>
      <c r="D4550" s="12" t="inlineStr">
        <is>
          <t>Analog instrument to JB JB-CONT-8-AI01: 20 x 1 pr (field cables)</t>
        </is>
      </c>
      <c r="E4550" s="12" t="inlineStr">
        <is>
          <t>CONT-8</t>
        </is>
      </c>
      <c r="F4550" s="12" t="inlineStr">
        <is>
          <t>CONT-8: containerized gas genset 13.8 kV (40 ft)</t>
        </is>
      </c>
      <c r="G4550" s="12" t="inlineStr">
        <is>
          <t>JB-CONT-8-AI01</t>
        </is>
      </c>
      <c r="H4550" s="12" t="inlineStr">
        <is>
          <t>CONT-8: containerized gas genset 13.8 kV (40 ft)</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20</v>
      </c>
      <c r="O4550" s="12" t="n">
        <v>1</v>
      </c>
      <c r="P4550" s="12" t="n"/>
      <c r="Q4550" s="12" t="n"/>
      <c r="R4550" s="12" t="n"/>
      <c r="S4550" s="12" t="inlineStr">
        <is>
          <t>Tray / conduit</t>
        </is>
      </c>
      <c r="T4550" s="16" t="n">
        <v>54</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I-I-0051</t>
        </is>
      </c>
      <c r="B4551" s="12" t="inlineStr">
        <is>
          <t>I</t>
        </is>
      </c>
      <c r="C4551" s="12" t="inlineStr">
        <is>
          <t>Modular / portable power</t>
        </is>
      </c>
      <c r="D4551" s="12" t="inlineStr">
        <is>
          <t>Home run JB-CONT-8-AI01 to the control / marshalling room</t>
        </is>
      </c>
      <c r="E4551" s="12" t="inlineStr">
        <is>
          <t>PAD-EH</t>
        </is>
      </c>
      <c r="F4551" s="12" t="inlineStr">
        <is>
          <t>PAD-EH 13.8 kV switchgear e-house</t>
        </is>
      </c>
      <c r="G4551" s="12" t="inlineStr">
        <is>
          <t>JB-CONT-8-AI01</t>
        </is>
      </c>
      <c r="H4551" s="12" t="inlineStr">
        <is>
          <t>CONT-8: containerized gas genset 13.8 kV (40 ft)</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Surface</t>
        </is>
      </c>
      <c r="T4551" s="16" t="n">
        <v>16</v>
      </c>
      <c r="U4551" s="16" t="n">
        <v>117</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I-I-0052</t>
        </is>
      </c>
      <c r="B4552" s="12" t="inlineStr">
        <is>
          <t>I</t>
        </is>
      </c>
      <c r="C4552" s="12" t="inlineStr">
        <is>
          <t>Modular / portable power</t>
        </is>
      </c>
      <c r="D4552" s="12" t="inlineStr">
        <is>
          <t>Discrete device to JB JB-CONT-8-DI01: 20 x 1 pr (field cables)</t>
        </is>
      </c>
      <c r="E4552" s="12" t="inlineStr">
        <is>
          <t>CONT-8</t>
        </is>
      </c>
      <c r="F4552" s="12" t="inlineStr">
        <is>
          <t>CONT-8: containerized gas genset 13.8 kV (40 ft)</t>
        </is>
      </c>
      <c r="G4552" s="12" t="inlineStr">
        <is>
          <t>JB-CONT-8-DI01</t>
        </is>
      </c>
      <c r="H4552" s="12" t="inlineStr">
        <is>
          <t>CONT-8: containerized gas genset 13.8 kV (40 ft)</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20</v>
      </c>
      <c r="O4552" s="12" t="n">
        <v>1</v>
      </c>
      <c r="P4552" s="12" t="n"/>
      <c r="Q4552" s="12" t="n"/>
      <c r="R4552" s="12" t="n"/>
      <c r="S4552" s="12" t="inlineStr">
        <is>
          <t>Tray / conduit</t>
        </is>
      </c>
      <c r="T4552" s="16" t="n">
        <v>54</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I-I-0053</t>
        </is>
      </c>
      <c r="B4553" s="12" t="inlineStr">
        <is>
          <t>I</t>
        </is>
      </c>
      <c r="C4553" s="12" t="inlineStr">
        <is>
          <t>Modular / portable power</t>
        </is>
      </c>
      <c r="D4553" s="12" t="inlineStr">
        <is>
          <t>Home run JB-CONT-8-DI01 to the control / marshalling room</t>
        </is>
      </c>
      <c r="E4553" s="12" t="inlineStr">
        <is>
          <t>PAD-EH</t>
        </is>
      </c>
      <c r="F4553" s="12" t="inlineStr">
        <is>
          <t>PAD-EH 13.8 kV switchgear e-house</t>
        </is>
      </c>
      <c r="G4553" s="12" t="inlineStr">
        <is>
          <t>JB-CONT-8-DI01</t>
        </is>
      </c>
      <c r="H4553" s="12" t="inlineStr">
        <is>
          <t>CONT-8: containerized gas genset 13.8 kV (40 ft)</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Surface</t>
        </is>
      </c>
      <c r="T4553" s="16" t="n">
        <v>16</v>
      </c>
      <c r="U4553" s="16" t="n">
        <v>117</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I-I-0054</t>
        </is>
      </c>
      <c r="B4554" s="12" t="inlineStr">
        <is>
          <t>I</t>
        </is>
      </c>
      <c r="C4554" s="12" t="inlineStr">
        <is>
          <t>Modular / portable power</t>
        </is>
      </c>
      <c r="D4554" s="12" t="inlineStr">
        <is>
          <t>Analog instrument to JB JB-Demin tank + trail-AI01: 4 x 1 pr (field cables)</t>
        </is>
      </c>
      <c r="E4554" s="12" t="inlineStr"/>
      <c r="F4554" s="12" t="inlineStr">
        <is>
          <t>Demin tank + trailer pad</t>
        </is>
      </c>
      <c r="G4554" s="12" t="inlineStr">
        <is>
          <t>JB-Demin tank + trail-AI01</t>
        </is>
      </c>
      <c r="H4554" s="12" t="inlineStr">
        <is>
          <t>Demin tank + trailer pad</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4</v>
      </c>
      <c r="O4554" s="12" t="n">
        <v>1</v>
      </c>
      <c r="P4554" s="12" t="n"/>
      <c r="Q4554" s="12" t="n"/>
      <c r="R4554" s="12" t="n"/>
      <c r="S4554" s="12" t="inlineStr">
        <is>
          <t>Tray / conduit</t>
        </is>
      </c>
      <c r="T4554" s="16" t="n">
        <v>78</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I-I-0055</t>
        </is>
      </c>
      <c r="B4555" s="12" t="inlineStr">
        <is>
          <t>I</t>
        </is>
      </c>
      <c r="C4555" s="12" t="inlineStr">
        <is>
          <t>Modular / portable power</t>
        </is>
      </c>
      <c r="D4555" s="12" t="inlineStr">
        <is>
          <t>Home run JB-Demin tank + trail-AI01 to the control / marshalling room</t>
        </is>
      </c>
      <c r="E4555" s="12" t="inlineStr"/>
      <c r="F4555" s="12" t="inlineStr">
        <is>
          <t>SC-2 PCM + 15 kV GCB</t>
        </is>
      </c>
      <c r="G4555" s="12" t="inlineStr">
        <is>
          <t>JB-Demin tank + trail-AI01</t>
        </is>
      </c>
      <c r="H4555" s="12" t="inlineStr">
        <is>
          <t>Demin tank + trailer pad</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8</v>
      </c>
      <c r="U4555" s="16" t="n">
        <v>64</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I-I-0056</t>
        </is>
      </c>
      <c r="B4556" s="12" t="inlineStr">
        <is>
          <t>I</t>
        </is>
      </c>
      <c r="C4556" s="12" t="inlineStr">
        <is>
          <t>Modular / portable power</t>
        </is>
      </c>
      <c r="D4556" s="12" t="inlineStr">
        <is>
          <t>Discrete device to JB JB-Demin tank + trail-DI01: 4 x 1 pr (field cables)</t>
        </is>
      </c>
      <c r="E4556" s="12" t="inlineStr"/>
      <c r="F4556" s="12" t="inlineStr">
        <is>
          <t>Demin tank + trailer pad</t>
        </is>
      </c>
      <c r="G4556" s="12" t="inlineStr">
        <is>
          <t>JB-Demin tank + trail-DI01</t>
        </is>
      </c>
      <c r="H4556" s="12" t="inlineStr">
        <is>
          <t>Demin tank + trailer pad</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4</v>
      </c>
      <c r="O4556" s="12" t="n">
        <v>1</v>
      </c>
      <c r="P4556" s="12" t="n"/>
      <c r="Q4556" s="12" t="n"/>
      <c r="R4556" s="12" t="n"/>
      <c r="S4556" s="12" t="inlineStr">
        <is>
          <t>Tray / conduit</t>
        </is>
      </c>
      <c r="T4556" s="16" t="n">
        <v>78</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I-I-0057</t>
        </is>
      </c>
      <c r="B4557" s="12" t="inlineStr">
        <is>
          <t>I</t>
        </is>
      </c>
      <c r="C4557" s="12" t="inlineStr">
        <is>
          <t>Modular / portable power</t>
        </is>
      </c>
      <c r="D4557" s="12" t="inlineStr">
        <is>
          <t>Home run JB-Demin tank + trail-DI01 to the control / marshalling room</t>
        </is>
      </c>
      <c r="E4557" s="12" t="inlineStr"/>
      <c r="F4557" s="12" t="inlineStr">
        <is>
          <t>SC-2 PCM + 15 kV GCB</t>
        </is>
      </c>
      <c r="G4557" s="12" t="inlineStr">
        <is>
          <t>JB-Demin tank + trail-DI01</t>
        </is>
      </c>
      <c r="H4557" s="12" t="inlineStr">
        <is>
          <t>Demin tank + trailer pad</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8</v>
      </c>
      <c r="U4557" s="16" t="n">
        <v>64</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I-I-0058</t>
        </is>
      </c>
      <c r="B4558" s="12" t="inlineStr">
        <is>
          <t>I</t>
        </is>
      </c>
      <c r="C4558" s="12" t="inlineStr">
        <is>
          <t>Modular / portable power</t>
        </is>
      </c>
      <c r="D4558" s="12" t="inlineStr">
        <is>
          <t>Analog instrument to JB JB-FC-10-AI01: 10 x 1 pr (field cables)</t>
        </is>
      </c>
      <c r="E4558" s="12" t="inlineStr">
        <is>
          <t>FC-10</t>
        </is>
      </c>
      <c r="F4558" s="12" t="inlineStr">
        <is>
          <t>FC-10: SOFC module (Bloom ES5 class, 200-300 kW)</t>
        </is>
      </c>
      <c r="G4558" s="12" t="inlineStr">
        <is>
          <t>JB-FC-10-AI01</t>
        </is>
      </c>
      <c r="H4558" s="12" t="inlineStr">
        <is>
          <t>FC-10: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I-I-0059</t>
        </is>
      </c>
      <c r="B4559" s="12" t="inlineStr">
        <is>
          <t>I</t>
        </is>
      </c>
      <c r="C4559" s="12" t="inlineStr">
        <is>
          <t>Modular / portable power</t>
        </is>
      </c>
      <c r="D4559" s="12" t="inlineStr">
        <is>
          <t>Home run JB-FC-10-AI01 to the control / marshalling room</t>
        </is>
      </c>
      <c r="E4559" s="12" t="inlineStr">
        <is>
          <t>PAD-EH</t>
        </is>
      </c>
      <c r="F4559" s="12" t="inlineStr">
        <is>
          <t>PAD-EH 13.8 kV switchgear e-house</t>
        </is>
      </c>
      <c r="G4559" s="12" t="inlineStr">
        <is>
          <t>JB-FC-10-AI01</t>
        </is>
      </c>
      <c r="H4559" s="12" t="inlineStr">
        <is>
          <t>FC-10: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286</v>
      </c>
      <c r="U4559" s="16" t="n">
        <v>50</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I-I-0060</t>
        </is>
      </c>
      <c r="B4560" s="12" t="inlineStr">
        <is>
          <t>I</t>
        </is>
      </c>
      <c r="C4560" s="12" t="inlineStr">
        <is>
          <t>Modular / portable power</t>
        </is>
      </c>
      <c r="D4560" s="12" t="inlineStr">
        <is>
          <t>Discrete device to JB JB-FC-10-DI01: 10 x 1 pr (field cables)</t>
        </is>
      </c>
      <c r="E4560" s="12" t="inlineStr">
        <is>
          <t>FC-10</t>
        </is>
      </c>
      <c r="F4560" s="12" t="inlineStr">
        <is>
          <t>FC-10: SOFC module (Bloom ES5 class, 200-300 kW)</t>
        </is>
      </c>
      <c r="G4560" s="12" t="inlineStr">
        <is>
          <t>JB-FC-10-DI01</t>
        </is>
      </c>
      <c r="H4560" s="12" t="inlineStr">
        <is>
          <t>FC-10: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I-I-0061</t>
        </is>
      </c>
      <c r="B4561" s="12" t="inlineStr">
        <is>
          <t>I</t>
        </is>
      </c>
      <c r="C4561" s="12" t="inlineStr">
        <is>
          <t>Modular / portable power</t>
        </is>
      </c>
      <c r="D4561" s="12" t="inlineStr">
        <is>
          <t>Home run JB-FC-10-DI01 to the control / marshalling room</t>
        </is>
      </c>
      <c r="E4561" s="12" t="inlineStr">
        <is>
          <t>PAD-EH</t>
        </is>
      </c>
      <c r="F4561" s="12" t="inlineStr">
        <is>
          <t>PAD-EH 13.8 kV switchgear e-house</t>
        </is>
      </c>
      <c r="G4561" s="12" t="inlineStr">
        <is>
          <t>JB-FC-10-DI01</t>
        </is>
      </c>
      <c r="H4561" s="12" t="inlineStr">
        <is>
          <t>FC-10: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286</v>
      </c>
      <c r="U4561" s="16" t="n">
        <v>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I-I-0062</t>
        </is>
      </c>
      <c r="B4562" s="12" t="inlineStr">
        <is>
          <t>I</t>
        </is>
      </c>
      <c r="C4562" s="12" t="inlineStr">
        <is>
          <t>Modular / portable power</t>
        </is>
      </c>
      <c r="D4562" s="12" t="inlineStr">
        <is>
          <t>Analog instrument to JB JB-FC-11-AI01: 10 x 1 pr (field cables)</t>
        </is>
      </c>
      <c r="E4562" s="12" t="inlineStr">
        <is>
          <t>FC-11</t>
        </is>
      </c>
      <c r="F4562" s="12" t="inlineStr">
        <is>
          <t>FC-11: SOFC module (Bloom ES5 class, 200-300 kW)</t>
        </is>
      </c>
      <c r="G4562" s="12" t="inlineStr">
        <is>
          <t>JB-FC-11-AI01</t>
        </is>
      </c>
      <c r="H4562" s="12" t="inlineStr">
        <is>
          <t>FC-11: SOFC module (Bloom ES5 class, 200-300 kW)</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45</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I-I-0063</t>
        </is>
      </c>
      <c r="B4563" s="12" t="inlineStr">
        <is>
          <t>I</t>
        </is>
      </c>
      <c r="C4563" s="12" t="inlineStr">
        <is>
          <t>Modular / portable power</t>
        </is>
      </c>
      <c r="D4563" s="12" t="inlineStr">
        <is>
          <t>Home run JB-FC-11-AI01 to the control / marshalling room</t>
        </is>
      </c>
      <c r="E4563" s="12" t="inlineStr">
        <is>
          <t>PAD-EH</t>
        </is>
      </c>
      <c r="F4563" s="12" t="inlineStr">
        <is>
          <t>PAD-EH 13.8 kV switchgear e-house</t>
        </is>
      </c>
      <c r="G4563" s="12" t="inlineStr">
        <is>
          <t>JB-FC-11-AI01</t>
        </is>
      </c>
      <c r="H4563" s="12" t="inlineStr">
        <is>
          <t>FC-11: SOFC module (Bloom ES5 class, 200-300 kW)</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272</v>
      </c>
      <c r="U4563" s="16" t="n">
        <v>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I-I-0064</t>
        </is>
      </c>
      <c r="B4564" s="12" t="inlineStr">
        <is>
          <t>I</t>
        </is>
      </c>
      <c r="C4564" s="12" t="inlineStr">
        <is>
          <t>Modular / portable power</t>
        </is>
      </c>
      <c r="D4564" s="12" t="inlineStr">
        <is>
          <t>Discrete device to JB JB-FC-11-DI01: 10 x 1 pr (field cables)</t>
        </is>
      </c>
      <c r="E4564" s="12" t="inlineStr">
        <is>
          <t>FC-11</t>
        </is>
      </c>
      <c r="F4564" s="12" t="inlineStr">
        <is>
          <t>FC-11: SOFC module (Bloom ES5 class, 200-300 kW)</t>
        </is>
      </c>
      <c r="G4564" s="12" t="inlineStr">
        <is>
          <t>JB-FC-11-DI01</t>
        </is>
      </c>
      <c r="H4564" s="12" t="inlineStr">
        <is>
          <t>FC-11: SOFC module (Bloom ES5 class, 200-300 kW)</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45</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I-I-0065</t>
        </is>
      </c>
      <c r="B4565" s="12" t="inlineStr">
        <is>
          <t>I</t>
        </is>
      </c>
      <c r="C4565" s="12" t="inlineStr">
        <is>
          <t>Modular / portable power</t>
        </is>
      </c>
      <c r="D4565" s="12" t="inlineStr">
        <is>
          <t>Home run JB-FC-11-DI01 to the control / marshalling room</t>
        </is>
      </c>
      <c r="E4565" s="12" t="inlineStr">
        <is>
          <t>PAD-EH</t>
        </is>
      </c>
      <c r="F4565" s="12" t="inlineStr">
        <is>
          <t>PAD-EH 13.8 kV switchgear e-house</t>
        </is>
      </c>
      <c r="G4565" s="12" t="inlineStr">
        <is>
          <t>JB-FC-11-DI01</t>
        </is>
      </c>
      <c r="H4565" s="12" t="inlineStr">
        <is>
          <t>FC-11: SOFC module (Bloom ES5 class, 200-300 kW)</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272</v>
      </c>
      <c r="U4565" s="16" t="n">
        <v>50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I-I-0066</t>
        </is>
      </c>
      <c r="B4566" s="12" t="inlineStr">
        <is>
          <t>I</t>
        </is>
      </c>
      <c r="C4566" s="12" t="inlineStr">
        <is>
          <t>Modular / portable power</t>
        </is>
      </c>
      <c r="D4566" s="12" t="inlineStr">
        <is>
          <t>Analog instrument to JB JB-FC-12-AI01: 10 x 1 pr (field cables)</t>
        </is>
      </c>
      <c r="E4566" s="12" t="inlineStr">
        <is>
          <t>FC-12</t>
        </is>
      </c>
      <c r="F4566" s="12" t="inlineStr">
        <is>
          <t>FC-12: SOFC module (Bloom ES5 class, 200-300 kW)</t>
        </is>
      </c>
      <c r="G4566" s="12" t="inlineStr">
        <is>
          <t>JB-FC-12-AI01</t>
        </is>
      </c>
      <c r="H4566" s="12" t="inlineStr">
        <is>
          <t>FC-12: SOFC module (Bloom ES5 class, 200-300 kW)</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10</v>
      </c>
      <c r="O4566" s="12" t="n">
        <v>1</v>
      </c>
      <c r="P4566" s="12" t="n"/>
      <c r="Q4566" s="12" t="n"/>
      <c r="R4566" s="12" t="n"/>
      <c r="S4566" s="12" t="inlineStr">
        <is>
          <t>Tray / conduit</t>
        </is>
      </c>
      <c r="T4566" s="16" t="n">
        <v>45</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I-I-0067</t>
        </is>
      </c>
      <c r="B4567" s="12" t="inlineStr">
        <is>
          <t>I</t>
        </is>
      </c>
      <c r="C4567" s="12" t="inlineStr">
        <is>
          <t>Modular / portable power</t>
        </is>
      </c>
      <c r="D4567" s="12" t="inlineStr">
        <is>
          <t>Home run JB-FC-12-AI01 to the control / marshalling room</t>
        </is>
      </c>
      <c r="E4567" s="12" t="inlineStr">
        <is>
          <t>PAD-EH</t>
        </is>
      </c>
      <c r="F4567" s="12" t="inlineStr">
        <is>
          <t>PAD-EH 13.8 kV switchgear e-house</t>
        </is>
      </c>
      <c r="G4567" s="12" t="inlineStr">
        <is>
          <t>JB-FC-12-AI01</t>
        </is>
      </c>
      <c r="H4567" s="12" t="inlineStr">
        <is>
          <t>FC-12: SOFC module (Bloom ES5 class, 200-300 kW)</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272</v>
      </c>
      <c r="U4567" s="16" t="n">
        <v>41</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I-I-0068</t>
        </is>
      </c>
      <c r="B4568" s="12" t="inlineStr">
        <is>
          <t>I</t>
        </is>
      </c>
      <c r="C4568" s="12" t="inlineStr">
        <is>
          <t>Modular / portable power</t>
        </is>
      </c>
      <c r="D4568" s="12" t="inlineStr">
        <is>
          <t>Discrete device to JB JB-FC-12-DI01: 10 x 1 pr (field cables)</t>
        </is>
      </c>
      <c r="E4568" s="12" t="inlineStr">
        <is>
          <t>FC-12</t>
        </is>
      </c>
      <c r="F4568" s="12" t="inlineStr">
        <is>
          <t>FC-12: SOFC module (Bloom ES5 class, 200-300 kW)</t>
        </is>
      </c>
      <c r="G4568" s="12" t="inlineStr">
        <is>
          <t>JB-FC-12-DI01</t>
        </is>
      </c>
      <c r="H4568" s="12" t="inlineStr">
        <is>
          <t>FC-12: SOFC module (Bloom ES5 class, 200-300 kW)</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6" t="n">
        <v>45</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I-I-0069</t>
        </is>
      </c>
      <c r="B4569" s="12" t="inlineStr">
        <is>
          <t>I</t>
        </is>
      </c>
      <c r="C4569" s="12" t="inlineStr">
        <is>
          <t>Modular / portable power</t>
        </is>
      </c>
      <c r="D4569" s="12" t="inlineStr">
        <is>
          <t>Home run JB-FC-12-DI01 to the control / marshalling room</t>
        </is>
      </c>
      <c r="E4569" s="12" t="inlineStr">
        <is>
          <t>PAD-EH</t>
        </is>
      </c>
      <c r="F4569" s="12" t="inlineStr">
        <is>
          <t>PAD-EH 13.8 kV switchgear e-house</t>
        </is>
      </c>
      <c r="G4569" s="12" t="inlineStr">
        <is>
          <t>JB-FC-12-DI01</t>
        </is>
      </c>
      <c r="H4569" s="12" t="inlineStr">
        <is>
          <t>FC-12: SOFC module (Bloom ES5 class, 200-300 kW)</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272</v>
      </c>
      <c r="U4569" s="16" t="n">
        <v>41</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I-I-0070</t>
        </is>
      </c>
      <c r="B4570" s="12" t="inlineStr">
        <is>
          <t>I</t>
        </is>
      </c>
      <c r="C4570" s="12" t="inlineStr">
        <is>
          <t>Modular / portable power</t>
        </is>
      </c>
      <c r="D4570" s="12" t="inlineStr">
        <is>
          <t>Instrumentation</t>
        </is>
      </c>
      <c r="E4570" s="12" t="inlineStr">
        <is>
          <t>PAD-EH</t>
        </is>
      </c>
      <c r="F4570" s="12" t="inlineStr">
        <is>
          <t>PAD-EH 13.8 kV switchgear e-house</t>
        </is>
      </c>
      <c r="G4570" s="12" t="inlineStr"/>
      <c r="H4570" s="12" t="inlineStr">
        <is>
          <t>FC-5..12 inverter / AC cabinet / desulfurizer</t>
        </is>
      </c>
      <c r="I4570" s="12" t="inlineStr">
        <is>
          <t>Instrumentation</t>
        </is>
      </c>
      <c r="J4570" s="12" t="inlineStr">
        <is>
          <t>Instrumentation PLTC / TC-ER 300 V, #18 twisted shielded pairs, overall shield</t>
        </is>
      </c>
      <c r="K4570" s="12" t="inlineStr">
        <is>
          <t>PLTC|4 pr|18</t>
        </is>
      </c>
      <c r="L4570" s="12" t="inlineStr">
        <is>
          <t>4 pr</t>
        </is>
      </c>
      <c r="M4570" s="12" t="inlineStr">
        <is>
          <t>18</t>
        </is>
      </c>
      <c r="N4570" s="12" t="n">
        <v>1</v>
      </c>
      <c r="O4570" s="12" t="n">
        <v>1</v>
      </c>
      <c r="P4570" s="12" t="n"/>
      <c r="Q4570" s="12" t="n"/>
      <c r="R4570" s="12" t="n"/>
      <c r="S4570" s="12" t="inlineStr">
        <is>
          <t>Surface</t>
        </is>
      </c>
      <c r="T4570" s="16" t="n">
        <v>202</v>
      </c>
      <c r="U4570" s="16" t="n">
        <v>37</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I-I-0071</t>
        </is>
      </c>
      <c r="B4571" s="12" t="inlineStr">
        <is>
          <t>I</t>
        </is>
      </c>
      <c r="C4571" s="12" t="inlineStr">
        <is>
          <t>Modular / portable power</t>
        </is>
      </c>
      <c r="D4571" s="12" t="inlineStr">
        <is>
          <t>Thermocouples</t>
        </is>
      </c>
      <c r="E4571" s="12" t="inlineStr">
        <is>
          <t>PAD-EH</t>
        </is>
      </c>
      <c r="F4571" s="12" t="inlineStr">
        <is>
          <t>PAD-EH 13.8 kV switchgear e-house</t>
        </is>
      </c>
      <c r="G4571" s="12" t="inlineStr"/>
      <c r="H4571" s="12" t="inlineStr">
        <is>
          <t>FC-5..12 inverter / AC cabinet / desulfurizer</t>
        </is>
      </c>
      <c r="I4571" s="12" t="inlineStr">
        <is>
          <t>Instrumentation</t>
        </is>
      </c>
      <c r="J4571" s="12" t="inlineStr">
        <is>
          <t>Thermocouple extension KX, #16 shielded pairs, PLTC</t>
        </is>
      </c>
      <c r="K4571" s="12" t="inlineStr">
        <is>
          <t>TCX|12 pr|16</t>
        </is>
      </c>
      <c r="L4571" s="12" t="inlineStr">
        <is>
          <t>12 pr</t>
        </is>
      </c>
      <c r="M4571" s="12" t="inlineStr">
        <is>
          <t>16</t>
        </is>
      </c>
      <c r="N4571" s="12" t="n">
        <v>1</v>
      </c>
      <c r="O4571" s="12" t="n">
        <v>1</v>
      </c>
      <c r="P4571" s="12" t="n"/>
      <c r="Q4571" s="12" t="n"/>
      <c r="R4571" s="12" t="n"/>
      <c r="S4571" s="12" t="inlineStr">
        <is>
          <t>Surface</t>
        </is>
      </c>
      <c r="T4571" s="16" t="n">
        <v>202</v>
      </c>
      <c r="U4571" s="16" t="n">
        <v>37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I-I-0072</t>
        </is>
      </c>
      <c r="B4572" s="12" t="inlineStr">
        <is>
          <t>I</t>
        </is>
      </c>
      <c r="C4572" s="12" t="inlineStr">
        <is>
          <t>Modular / portable power</t>
        </is>
      </c>
      <c r="D4572" s="12" t="inlineStr">
        <is>
          <t>Thermocouples</t>
        </is>
      </c>
      <c r="E4572" s="12" t="inlineStr">
        <is>
          <t>PAD-EH</t>
        </is>
      </c>
      <c r="F4572" s="12" t="inlineStr">
        <is>
          <t>PAD-EH 13.8 kV switchgear e-house</t>
        </is>
      </c>
      <c r="G4572" s="12" t="inlineStr"/>
      <c r="H4572" s="12" t="inlineStr">
        <is>
          <t>FC-5..12 inverter / AC cabinet / desulfurizer</t>
        </is>
      </c>
      <c r="I4572" s="12" t="inlineStr">
        <is>
          <t>Instrumentation</t>
        </is>
      </c>
      <c r="J4572" s="12" t="inlineStr">
        <is>
          <t>Thermocouple extension KX, #16 shielded pairs, PLTC</t>
        </is>
      </c>
      <c r="K4572" s="12" t="inlineStr">
        <is>
          <t>TCX|12 pr|16</t>
        </is>
      </c>
      <c r="L4572" s="12" t="inlineStr">
        <is>
          <t>12 pr</t>
        </is>
      </c>
      <c r="M4572" s="12" t="inlineStr">
        <is>
          <t>16</t>
        </is>
      </c>
      <c r="N4572" s="12" t="n">
        <v>1</v>
      </c>
      <c r="O4572" s="12" t="n">
        <v>1</v>
      </c>
      <c r="P4572" s="12" t="n"/>
      <c r="Q4572" s="12" t="n"/>
      <c r="R4572" s="12" t="n"/>
      <c r="S4572" s="12" t="inlineStr">
        <is>
          <t>Surface</t>
        </is>
      </c>
      <c r="T4572" s="16" t="n">
        <v>202</v>
      </c>
      <c r="U4572" s="16" t="n">
        <v>37</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I-I-0073</t>
        </is>
      </c>
      <c r="B4573" s="12" t="inlineStr">
        <is>
          <t>I</t>
        </is>
      </c>
      <c r="C4573" s="12" t="inlineStr">
        <is>
          <t>Modular / portable power</t>
        </is>
      </c>
      <c r="D4573" s="12" t="inlineStr">
        <is>
          <t>Analog instrument to JB JB-FC-5-AI01: 10 x 1 pr (field cables)</t>
        </is>
      </c>
      <c r="E4573" s="12" t="inlineStr">
        <is>
          <t>FC-5</t>
        </is>
      </c>
      <c r="F4573" s="12" t="inlineStr">
        <is>
          <t>FC-5: SOFC module (Bloom ES5 class, 200-300 kW)</t>
        </is>
      </c>
      <c r="G4573" s="12" t="inlineStr">
        <is>
          <t>JB-FC-5-AI01</t>
        </is>
      </c>
      <c r="H4573" s="12" t="inlineStr">
        <is>
          <t>FC-5: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I-I-0074</t>
        </is>
      </c>
      <c r="B4574" s="12" t="inlineStr">
        <is>
          <t>I</t>
        </is>
      </c>
      <c r="C4574" s="12" t="inlineStr">
        <is>
          <t>Modular / portable power</t>
        </is>
      </c>
      <c r="D4574" s="12" t="inlineStr">
        <is>
          <t>Home run JB-FC-5-AI01 to the control / marshalling room</t>
        </is>
      </c>
      <c r="E4574" s="12" t="inlineStr">
        <is>
          <t>PAD-EH</t>
        </is>
      </c>
      <c r="F4574" s="12" t="inlineStr">
        <is>
          <t>PAD-EH 13.8 kV switchgear e-house</t>
        </is>
      </c>
      <c r="G4574" s="12" t="inlineStr">
        <is>
          <t>JB-FC-5-AI01</t>
        </is>
      </c>
      <c r="H4574" s="12" t="inlineStr">
        <is>
          <t>FC-5: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356</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I-I-0075</t>
        </is>
      </c>
      <c r="B4575" s="12" t="inlineStr">
        <is>
          <t>I</t>
        </is>
      </c>
      <c r="C4575" s="12" t="inlineStr">
        <is>
          <t>Modular / portable power</t>
        </is>
      </c>
      <c r="D4575" s="12" t="inlineStr">
        <is>
          <t>Discrete device to JB JB-FC-5-DI01: 10 x 1 pr (field cables)</t>
        </is>
      </c>
      <c r="E4575" s="12" t="inlineStr">
        <is>
          <t>FC-5</t>
        </is>
      </c>
      <c r="F4575" s="12" t="inlineStr">
        <is>
          <t>FC-5: SOFC module (Bloom ES5 class, 200-300 kW)</t>
        </is>
      </c>
      <c r="G4575" s="12" t="inlineStr">
        <is>
          <t>JB-FC-5-DI01</t>
        </is>
      </c>
      <c r="H4575" s="12" t="inlineStr">
        <is>
          <t>FC-5: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I-I-0076</t>
        </is>
      </c>
      <c r="B4576" s="12" t="inlineStr">
        <is>
          <t>I</t>
        </is>
      </c>
      <c r="C4576" s="12" t="inlineStr">
        <is>
          <t>Modular / portable power</t>
        </is>
      </c>
      <c r="D4576" s="12" t="inlineStr">
        <is>
          <t>Home run JB-FC-5-DI01 to the control / marshalling room</t>
        </is>
      </c>
      <c r="E4576" s="12" t="inlineStr">
        <is>
          <t>PAD-EH</t>
        </is>
      </c>
      <c r="F4576" s="12" t="inlineStr">
        <is>
          <t>PAD-EH 13.8 kV switchgear e-house</t>
        </is>
      </c>
      <c r="G4576" s="12" t="inlineStr">
        <is>
          <t>JB-FC-5-DI01</t>
        </is>
      </c>
      <c r="H4576" s="12" t="inlineStr">
        <is>
          <t>FC-5: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356</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I-I-0077</t>
        </is>
      </c>
      <c r="B4577" s="12" t="inlineStr">
        <is>
          <t>I</t>
        </is>
      </c>
      <c r="C4577" s="12" t="inlineStr">
        <is>
          <t>Modular / portable power</t>
        </is>
      </c>
      <c r="D4577" s="12" t="inlineStr">
        <is>
          <t>Analog instrument to JB JB-FC-6-AI01: 10 x 1 pr (field cables)</t>
        </is>
      </c>
      <c r="E4577" s="12" t="inlineStr">
        <is>
          <t>FC-6</t>
        </is>
      </c>
      <c r="F4577" s="12" t="inlineStr">
        <is>
          <t>FC-6: SOFC module (Bloom ES5 class, 200-300 kW)</t>
        </is>
      </c>
      <c r="G4577" s="12" t="inlineStr">
        <is>
          <t>JB-FC-6-AI01</t>
        </is>
      </c>
      <c r="H4577" s="12" t="inlineStr">
        <is>
          <t>FC-6: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I-I-0078</t>
        </is>
      </c>
      <c r="B4578" s="12" t="inlineStr">
        <is>
          <t>I</t>
        </is>
      </c>
      <c r="C4578" s="12" t="inlineStr">
        <is>
          <t>Modular / portable power</t>
        </is>
      </c>
      <c r="D4578" s="12" t="inlineStr">
        <is>
          <t>Home run JB-FC-6-AI01 to the control / marshalling room</t>
        </is>
      </c>
      <c r="E4578" s="12" t="inlineStr">
        <is>
          <t>PAD-EH</t>
        </is>
      </c>
      <c r="F4578" s="12" t="inlineStr">
        <is>
          <t>PAD-EH 13.8 kV switchgear e-house</t>
        </is>
      </c>
      <c r="G4578" s="12" t="inlineStr">
        <is>
          <t>JB-FC-6-AI01</t>
        </is>
      </c>
      <c r="H4578" s="12" t="inlineStr">
        <is>
          <t>FC-6: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342</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I-I-0079</t>
        </is>
      </c>
      <c r="B4579" s="12" t="inlineStr">
        <is>
          <t>I</t>
        </is>
      </c>
      <c r="C4579" s="12" t="inlineStr">
        <is>
          <t>Modular / portable power</t>
        </is>
      </c>
      <c r="D4579" s="12" t="inlineStr">
        <is>
          <t>Discrete device to JB JB-FC-6-DI01: 10 x 1 pr (field cables)</t>
        </is>
      </c>
      <c r="E4579" s="12" t="inlineStr">
        <is>
          <t>FC-6</t>
        </is>
      </c>
      <c r="F4579" s="12" t="inlineStr">
        <is>
          <t>FC-6: SOFC module (Bloom ES5 class, 200-300 kW)</t>
        </is>
      </c>
      <c r="G4579" s="12" t="inlineStr">
        <is>
          <t>JB-FC-6-DI01</t>
        </is>
      </c>
      <c r="H4579" s="12" t="inlineStr">
        <is>
          <t>FC-6: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I-I-0080</t>
        </is>
      </c>
      <c r="B4580" s="12" t="inlineStr">
        <is>
          <t>I</t>
        </is>
      </c>
      <c r="C4580" s="12" t="inlineStr">
        <is>
          <t>Modular / portable power</t>
        </is>
      </c>
      <c r="D4580" s="12" t="inlineStr">
        <is>
          <t>Home run JB-FC-6-DI01 to the control / marshalling room</t>
        </is>
      </c>
      <c r="E4580" s="12" t="inlineStr">
        <is>
          <t>PAD-EH</t>
        </is>
      </c>
      <c r="F4580" s="12" t="inlineStr">
        <is>
          <t>PAD-EH 13.8 kV switchgear e-house</t>
        </is>
      </c>
      <c r="G4580" s="12" t="inlineStr">
        <is>
          <t>JB-FC-6-DI01</t>
        </is>
      </c>
      <c r="H4580" s="12" t="inlineStr">
        <is>
          <t>FC-6: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342</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I-I-0081</t>
        </is>
      </c>
      <c r="B4581" s="12" t="inlineStr">
        <is>
          <t>I</t>
        </is>
      </c>
      <c r="C4581" s="12" t="inlineStr">
        <is>
          <t>Modular / portable power</t>
        </is>
      </c>
      <c r="D4581" s="12" t="inlineStr">
        <is>
          <t>Analog instrument to JB JB-FC-7-AI01: 10 x 1 pr (field cables)</t>
        </is>
      </c>
      <c r="E4581" s="12" t="inlineStr">
        <is>
          <t>FC-7</t>
        </is>
      </c>
      <c r="F4581" s="12" t="inlineStr">
        <is>
          <t>FC-7: SOFC module (Bloom ES5 class, 200-300 kW)</t>
        </is>
      </c>
      <c r="G4581" s="12" t="inlineStr">
        <is>
          <t>JB-FC-7-AI01</t>
        </is>
      </c>
      <c r="H4581" s="12" t="inlineStr">
        <is>
          <t>FC-7: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I-I-0082</t>
        </is>
      </c>
      <c r="B4582" s="12" t="inlineStr">
        <is>
          <t>I</t>
        </is>
      </c>
      <c r="C4582" s="12" t="inlineStr">
        <is>
          <t>Modular / portable power</t>
        </is>
      </c>
      <c r="D4582" s="12" t="inlineStr">
        <is>
          <t>Home run JB-FC-7-AI01 to the control / marshalling room</t>
        </is>
      </c>
      <c r="E4582" s="12" t="inlineStr">
        <is>
          <t>PAD-EH</t>
        </is>
      </c>
      <c r="F4582" s="12" t="inlineStr">
        <is>
          <t>PAD-EH 13.8 kV switchgear e-house</t>
        </is>
      </c>
      <c r="G4582" s="12" t="inlineStr">
        <is>
          <t>JB-FC-7-AI01</t>
        </is>
      </c>
      <c r="H4582" s="12" t="inlineStr">
        <is>
          <t>FC-7: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328</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I-I-0083</t>
        </is>
      </c>
      <c r="B4583" s="12" t="inlineStr">
        <is>
          <t>I</t>
        </is>
      </c>
      <c r="C4583" s="12" t="inlineStr">
        <is>
          <t>Modular / portable power</t>
        </is>
      </c>
      <c r="D4583" s="12" t="inlineStr">
        <is>
          <t>Discrete device to JB JB-FC-7-DI01: 10 x 1 pr (field cables)</t>
        </is>
      </c>
      <c r="E4583" s="12" t="inlineStr">
        <is>
          <t>FC-7</t>
        </is>
      </c>
      <c r="F4583" s="12" t="inlineStr">
        <is>
          <t>FC-7: SOFC module (Bloom ES5 class, 200-300 kW)</t>
        </is>
      </c>
      <c r="G4583" s="12" t="inlineStr">
        <is>
          <t>JB-FC-7-DI01</t>
        </is>
      </c>
      <c r="H4583" s="12" t="inlineStr">
        <is>
          <t>FC-7: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I-I-0084</t>
        </is>
      </c>
      <c r="B4584" s="12" t="inlineStr">
        <is>
          <t>I</t>
        </is>
      </c>
      <c r="C4584" s="12" t="inlineStr">
        <is>
          <t>Modular / portable power</t>
        </is>
      </c>
      <c r="D4584" s="12" t="inlineStr">
        <is>
          <t>Home run JB-FC-7-DI01 to the control / marshalling room</t>
        </is>
      </c>
      <c r="E4584" s="12" t="inlineStr">
        <is>
          <t>PAD-EH</t>
        </is>
      </c>
      <c r="F4584" s="12" t="inlineStr">
        <is>
          <t>PAD-EH 13.8 kV switchgear e-house</t>
        </is>
      </c>
      <c r="G4584" s="12" t="inlineStr">
        <is>
          <t>JB-FC-7-DI01</t>
        </is>
      </c>
      <c r="H4584" s="12" t="inlineStr">
        <is>
          <t>FC-7: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328</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I-I-0085</t>
        </is>
      </c>
      <c r="B4585" s="12" t="inlineStr">
        <is>
          <t>I</t>
        </is>
      </c>
      <c r="C4585" s="12" t="inlineStr">
        <is>
          <t>Modular / portable power</t>
        </is>
      </c>
      <c r="D4585" s="12" t="inlineStr">
        <is>
          <t>Analog instrument to JB JB-FC-8-AI01: 10 x 1 pr (field cables)</t>
        </is>
      </c>
      <c r="E4585" s="12" t="inlineStr">
        <is>
          <t>FC-8</t>
        </is>
      </c>
      <c r="F4585" s="12" t="inlineStr">
        <is>
          <t>FC-8: SOFC module (Bloom ES5 class, 200-300 kW)</t>
        </is>
      </c>
      <c r="G4585" s="12" t="inlineStr">
        <is>
          <t>JB-FC-8-AI01</t>
        </is>
      </c>
      <c r="H4585" s="12" t="inlineStr">
        <is>
          <t>FC-8: SOFC module (Bloom ES5 class, 200-300 kW)</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10</v>
      </c>
      <c r="O4585" s="12" t="n">
        <v>1</v>
      </c>
      <c r="P4585" s="12" t="n"/>
      <c r="Q4585" s="12" t="n"/>
      <c r="R4585" s="12" t="n"/>
      <c r="S4585" s="12" t="inlineStr">
        <is>
          <t>Tray / conduit</t>
        </is>
      </c>
      <c r="T4585" s="16" t="n">
        <v>45</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I-I-0086</t>
        </is>
      </c>
      <c r="B4586" s="12" t="inlineStr">
        <is>
          <t>I</t>
        </is>
      </c>
      <c r="C4586" s="12" t="inlineStr">
        <is>
          <t>Modular / portable power</t>
        </is>
      </c>
      <c r="D4586" s="12" t="inlineStr">
        <is>
          <t>Home run JB-FC-8-AI01 to the control / marshalling room</t>
        </is>
      </c>
      <c r="E4586" s="12" t="inlineStr">
        <is>
          <t>PAD-EH</t>
        </is>
      </c>
      <c r="F4586" s="12" t="inlineStr">
        <is>
          <t>PAD-EH 13.8 kV switchgear e-house</t>
        </is>
      </c>
      <c r="G4586" s="12" t="inlineStr">
        <is>
          <t>JB-FC-8-AI01</t>
        </is>
      </c>
      <c r="H4586" s="12" t="inlineStr">
        <is>
          <t>FC-8: SOFC module (Bloom ES5 class, 200-300 kW)</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Duct bank</t>
        </is>
      </c>
      <c r="T4586" s="16" t="n">
        <v>314</v>
      </c>
      <c r="U4586" s="16" t="n">
        <v>50</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I-I-0087</t>
        </is>
      </c>
      <c r="B4587" s="12" t="inlineStr">
        <is>
          <t>I</t>
        </is>
      </c>
      <c r="C4587" s="12" t="inlineStr">
        <is>
          <t>Modular / portable power</t>
        </is>
      </c>
      <c r="D4587" s="12" t="inlineStr">
        <is>
          <t>Discrete device to JB JB-FC-8-DI01: 10 x 1 pr (field cables)</t>
        </is>
      </c>
      <c r="E4587" s="12" t="inlineStr">
        <is>
          <t>FC-8</t>
        </is>
      </c>
      <c r="F4587" s="12" t="inlineStr">
        <is>
          <t>FC-8: SOFC module (Bloom ES5 class, 200-300 kW)</t>
        </is>
      </c>
      <c r="G4587" s="12" t="inlineStr">
        <is>
          <t>JB-FC-8-DI01</t>
        </is>
      </c>
      <c r="H4587" s="12" t="inlineStr">
        <is>
          <t>FC-8: SOFC module (Bloom ES5 class, 200-300 kW)</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10</v>
      </c>
      <c r="O4587" s="12" t="n">
        <v>1</v>
      </c>
      <c r="P4587" s="12" t="n"/>
      <c r="Q4587" s="12" t="n"/>
      <c r="R4587" s="12" t="n"/>
      <c r="S4587" s="12" t="inlineStr">
        <is>
          <t>Tray / conduit</t>
        </is>
      </c>
      <c r="T4587" s="16" t="n">
        <v>45</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I-I-0088</t>
        </is>
      </c>
      <c r="B4588" s="12" t="inlineStr">
        <is>
          <t>I</t>
        </is>
      </c>
      <c r="C4588" s="12" t="inlineStr">
        <is>
          <t>Modular / portable power</t>
        </is>
      </c>
      <c r="D4588" s="12" t="inlineStr">
        <is>
          <t>Home run JB-FC-8-DI01 to the control / marshalling room</t>
        </is>
      </c>
      <c r="E4588" s="12" t="inlineStr">
        <is>
          <t>PAD-EH</t>
        </is>
      </c>
      <c r="F4588" s="12" t="inlineStr">
        <is>
          <t>PAD-EH 13.8 kV switchgear e-house</t>
        </is>
      </c>
      <c r="G4588" s="12" t="inlineStr">
        <is>
          <t>JB-FC-8-DI01</t>
        </is>
      </c>
      <c r="H4588" s="12" t="inlineStr">
        <is>
          <t>FC-8: SOFC module (Bloom ES5 class, 200-300 kW)</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Duct bank</t>
        </is>
      </c>
      <c r="T4588" s="16" t="n">
        <v>314</v>
      </c>
      <c r="U4588" s="16" t="n">
        <v>50</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I-I-0089</t>
        </is>
      </c>
      <c r="B4589" s="12" t="inlineStr">
        <is>
          <t>I</t>
        </is>
      </c>
      <c r="C4589" s="12" t="inlineStr">
        <is>
          <t>Modular / portable power</t>
        </is>
      </c>
      <c r="D4589" s="12" t="inlineStr">
        <is>
          <t>Analog instrument to JB JB-FC-9-AI01: 10 x 1 pr (field cables)</t>
        </is>
      </c>
      <c r="E4589" s="12" t="inlineStr">
        <is>
          <t>FC-9</t>
        </is>
      </c>
      <c r="F4589" s="12" t="inlineStr">
        <is>
          <t>FC-9: SOFC module (Bloom ES5 class, 200-300 kW)</t>
        </is>
      </c>
      <c r="G4589" s="12" t="inlineStr">
        <is>
          <t>JB-FC-9-AI01</t>
        </is>
      </c>
      <c r="H4589" s="12" t="inlineStr">
        <is>
          <t>FC-9: SOFC module (Bloom ES5 class, 200-300 kW)</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10</v>
      </c>
      <c r="O4589" s="12" t="n">
        <v>1</v>
      </c>
      <c r="P4589" s="12" t="n"/>
      <c r="Q4589" s="12" t="n"/>
      <c r="R4589" s="12" t="n"/>
      <c r="S4589" s="12" t="inlineStr">
        <is>
          <t>Tray / conduit</t>
        </is>
      </c>
      <c r="T4589" s="16" t="n">
        <v>45</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I-I-0090</t>
        </is>
      </c>
      <c r="B4590" s="12" t="inlineStr">
        <is>
          <t>I</t>
        </is>
      </c>
      <c r="C4590" s="12" t="inlineStr">
        <is>
          <t>Modular / portable power</t>
        </is>
      </c>
      <c r="D4590" s="12" t="inlineStr">
        <is>
          <t>Home run JB-FC-9-AI01 to the control / marshalling room</t>
        </is>
      </c>
      <c r="E4590" s="12" t="inlineStr">
        <is>
          <t>PAD-EH</t>
        </is>
      </c>
      <c r="F4590" s="12" t="inlineStr">
        <is>
          <t>PAD-EH 13.8 kV switchgear e-house</t>
        </is>
      </c>
      <c r="G4590" s="12" t="inlineStr">
        <is>
          <t>JB-FC-9-AI01</t>
        </is>
      </c>
      <c r="H4590" s="12" t="inlineStr">
        <is>
          <t>FC-9: SOFC module (Bloom ES5 class, 200-300 kW)</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Duct bank</t>
        </is>
      </c>
      <c r="T4590" s="16" t="n">
        <v>300</v>
      </c>
      <c r="U4590" s="16" t="n">
        <v>50</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I-I-0091</t>
        </is>
      </c>
      <c r="B4591" s="12" t="inlineStr">
        <is>
          <t>I</t>
        </is>
      </c>
      <c r="C4591" s="12" t="inlineStr">
        <is>
          <t>Modular / portable power</t>
        </is>
      </c>
      <c r="D4591" s="12" t="inlineStr">
        <is>
          <t>Discrete device to JB JB-FC-9-DI01: 10 x 1 pr (field cables)</t>
        </is>
      </c>
      <c r="E4591" s="12" t="inlineStr">
        <is>
          <t>FC-9</t>
        </is>
      </c>
      <c r="F4591" s="12" t="inlineStr">
        <is>
          <t>FC-9: SOFC module (Bloom ES5 class, 200-300 kW)</t>
        </is>
      </c>
      <c r="G4591" s="12" t="inlineStr">
        <is>
          <t>JB-FC-9-DI01</t>
        </is>
      </c>
      <c r="H4591" s="12" t="inlineStr">
        <is>
          <t>FC-9: SOFC module (Bloom ES5 class, 200-300 kW)</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10</v>
      </c>
      <c r="O4591" s="12" t="n">
        <v>1</v>
      </c>
      <c r="P4591" s="12" t="n"/>
      <c r="Q4591" s="12" t="n"/>
      <c r="R4591" s="12" t="n"/>
      <c r="S4591" s="12" t="inlineStr">
        <is>
          <t>Tray / conduit</t>
        </is>
      </c>
      <c r="T4591" s="16" t="n">
        <v>45</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I-I-0092</t>
        </is>
      </c>
      <c r="B4592" s="12" t="inlineStr">
        <is>
          <t>I</t>
        </is>
      </c>
      <c r="C4592" s="12" t="inlineStr">
        <is>
          <t>Modular / portable power</t>
        </is>
      </c>
      <c r="D4592" s="12" t="inlineStr">
        <is>
          <t>Home run JB-FC-9-DI01 to the control / marshalling room</t>
        </is>
      </c>
      <c r="E4592" s="12" t="inlineStr">
        <is>
          <t>PAD-EH</t>
        </is>
      </c>
      <c r="F4592" s="12" t="inlineStr">
        <is>
          <t>PAD-EH 13.8 kV switchgear e-house</t>
        </is>
      </c>
      <c r="G4592" s="12" t="inlineStr">
        <is>
          <t>JB-FC-9-DI01</t>
        </is>
      </c>
      <c r="H4592" s="12" t="inlineStr">
        <is>
          <t>FC-9: SOFC module (Bloom ES5 class, 200-300 kW)</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Duct bank</t>
        </is>
      </c>
      <c r="T4592" s="16" t="n">
        <v>300</v>
      </c>
      <c r="U4592" s="16" t="n">
        <v>50</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I-I-0093</t>
        </is>
      </c>
      <c r="B4593" s="12" t="inlineStr">
        <is>
          <t>I</t>
        </is>
      </c>
      <c r="C4593" s="12" t="inlineStr">
        <is>
          <t>Modular / portable power</t>
        </is>
      </c>
      <c r="D4593" s="12" t="inlineStr">
        <is>
          <t>Analog instrument to JB JB-Fuel-gas compresso-AI01: 20 x 1 pr (field cables)</t>
        </is>
      </c>
      <c r="E4593" s="12" t="inlineStr"/>
      <c r="F4593" s="12" t="inlineStr">
        <is>
          <t>Fuel-gas compressors 3 x 100% electric</t>
        </is>
      </c>
      <c r="G4593" s="12" t="inlineStr">
        <is>
          <t>JB-Fuel-gas compresso-AI01</t>
        </is>
      </c>
      <c r="H4593" s="12" t="inlineStr">
        <is>
          <t>Fuel-gas compressors 3 x 100% electric</t>
        </is>
      </c>
      <c r="I4593" s="12" t="inlineStr">
        <is>
          <t>Instrumentation</t>
        </is>
      </c>
      <c r="J4593" s="12" t="inlineStr">
        <is>
          <t>Instrumentation ITC / PLTC, IS, #18 shielded pairs, blue jacket</t>
        </is>
      </c>
      <c r="K4593" s="12" t="inlineStr">
        <is>
          <t>ITC|1 pr|16</t>
        </is>
      </c>
      <c r="L4593" s="12" t="inlineStr">
        <is>
          <t>1 pr</t>
        </is>
      </c>
      <c r="M4593" s="12" t="inlineStr">
        <is>
          <t>16</t>
        </is>
      </c>
      <c r="N4593" s="12" t="n">
        <v>20</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I-I-0094</t>
        </is>
      </c>
      <c r="B4594" s="12" t="inlineStr">
        <is>
          <t>I</t>
        </is>
      </c>
      <c r="C4594" s="12" t="inlineStr">
        <is>
          <t>Modular / portable power</t>
        </is>
      </c>
      <c r="D4594" s="12" t="inlineStr">
        <is>
          <t>Home run JB-Fuel-gas compresso-AI01 to the control / marshalling room</t>
        </is>
      </c>
      <c r="E4594" s="12" t="inlineStr"/>
      <c r="F4594" s="12" t="inlineStr">
        <is>
          <t>SC-2 PCM + 15 kV GCB</t>
        </is>
      </c>
      <c r="G4594" s="12" t="inlineStr">
        <is>
          <t>JB-Fuel-gas compresso-AI01</t>
        </is>
      </c>
      <c r="H4594" s="12" t="inlineStr">
        <is>
          <t>Fuel-gas compressors 3 x 100% electric</t>
        </is>
      </c>
      <c r="I4594" s="12" t="inlineStr">
        <is>
          <t>Instrumentation</t>
        </is>
      </c>
      <c r="J4594" s="12" t="inlineStr">
        <is>
          <t>Instrumentation ITC / PLTC, IS, #18 shielded pairs, blue jacket</t>
        </is>
      </c>
      <c r="K4594" s="12" t="inlineStr">
        <is>
          <t>ITC|24 pr|18</t>
        </is>
      </c>
      <c r="L4594" s="12" t="inlineStr">
        <is>
          <t>24 pr</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I-I-0095</t>
        </is>
      </c>
      <c r="B4595" s="12" t="inlineStr">
        <is>
          <t>I</t>
        </is>
      </c>
      <c r="C4595" s="12" t="inlineStr">
        <is>
          <t>Modular / portable power</t>
        </is>
      </c>
      <c r="D4595" s="12" t="inlineStr">
        <is>
          <t>Analog instrument to JB JB-Fuel-gas compresso-AI02: 10 x 1 pr (field cables)</t>
        </is>
      </c>
      <c r="E4595" s="12" t="inlineStr"/>
      <c r="F4595" s="12" t="inlineStr">
        <is>
          <t>Fuel-gas compressors 3 x 100% electric</t>
        </is>
      </c>
      <c r="G4595" s="12" t="inlineStr">
        <is>
          <t>JB-Fuel-gas compresso-AI02</t>
        </is>
      </c>
      <c r="H4595" s="12" t="inlineStr">
        <is>
          <t>Fuel-gas compressors 3 x 100% electric</t>
        </is>
      </c>
      <c r="I4595" s="12" t="inlineStr">
        <is>
          <t>Instrumentation</t>
        </is>
      </c>
      <c r="J4595" s="12" t="inlineStr">
        <is>
          <t>Instrumentation ITC / PLTC, IS, #18 shielded pairs, blue jacket</t>
        </is>
      </c>
      <c r="K4595" s="12" t="inlineStr">
        <is>
          <t>ITC|1 pr|16</t>
        </is>
      </c>
      <c r="L4595" s="12" t="inlineStr">
        <is>
          <t>1 pr</t>
        </is>
      </c>
      <c r="M4595" s="12" t="inlineStr">
        <is>
          <t>16</t>
        </is>
      </c>
      <c r="N4595" s="12" t="n">
        <v>10</v>
      </c>
      <c r="O4595" s="12" t="n">
        <v>1</v>
      </c>
      <c r="P4595" s="12" t="n"/>
      <c r="Q4595" s="12" t="n"/>
      <c r="R4595" s="12" t="n"/>
      <c r="S4595" s="12" t="inlineStr">
        <is>
          <t>Tray / conduit</t>
        </is>
      </c>
      <c r="T4595" s="16" t="n">
        <v>103</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I-I-0096</t>
        </is>
      </c>
      <c r="B4596" s="12" t="inlineStr">
        <is>
          <t>I</t>
        </is>
      </c>
      <c r="C4596" s="12" t="inlineStr">
        <is>
          <t>Modular / portable power</t>
        </is>
      </c>
      <c r="D4596" s="12" t="inlineStr">
        <is>
          <t>Home run JB-Fuel-gas compresso-AI02 to the control / marshalling room</t>
        </is>
      </c>
      <c r="E4596" s="12" t="inlineStr"/>
      <c r="F4596" s="12" t="inlineStr">
        <is>
          <t>SC-2 PCM + 15 kV GCB</t>
        </is>
      </c>
      <c r="G4596" s="12" t="inlineStr">
        <is>
          <t>JB-Fuel-gas compresso-AI02</t>
        </is>
      </c>
      <c r="H4596" s="12" t="inlineStr">
        <is>
          <t>Fuel-gas compressors 3 x 100% electric</t>
        </is>
      </c>
      <c r="I4596" s="12" t="inlineStr">
        <is>
          <t>Instrumentation</t>
        </is>
      </c>
      <c r="J4596" s="12" t="inlineStr">
        <is>
          <t>Instrumentation ITC / PLTC, IS, #18 shielded pairs, blue jacket</t>
        </is>
      </c>
      <c r="K4596" s="12" t="inlineStr">
        <is>
          <t>ITC|24 pr|18</t>
        </is>
      </c>
      <c r="L4596" s="12" t="inlineStr">
        <is>
          <t>24 pr</t>
        </is>
      </c>
      <c r="M4596" s="12" t="inlineStr">
        <is>
          <t>18</t>
        </is>
      </c>
      <c r="N4596" s="12" t="n">
        <v>1</v>
      </c>
      <c r="O4596" s="12" t="n">
        <v>1</v>
      </c>
      <c r="P4596" s="12" t="n"/>
      <c r="Q4596" s="12" t="n"/>
      <c r="R4596" s="12" t="n"/>
      <c r="S4596" s="12" t="inlineStr">
        <is>
          <t>Duct bank</t>
        </is>
      </c>
      <c r="T4596" s="16" t="n">
        <v>8</v>
      </c>
      <c r="U4596" s="16" t="n">
        <v>108</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I-I-0097</t>
        </is>
      </c>
      <c r="B4597" s="12" t="inlineStr">
        <is>
          <t>I</t>
        </is>
      </c>
      <c r="C4597" s="12" t="inlineStr">
        <is>
          <t>Modular / portable power</t>
        </is>
      </c>
      <c r="D4597" s="12" t="inlineStr">
        <is>
          <t>Discrete device to JB JB-Fuel-gas compresso-DI01: 20 x 1 pr (field cables)</t>
        </is>
      </c>
      <c r="E4597" s="12" t="inlineStr"/>
      <c r="F4597" s="12" t="inlineStr">
        <is>
          <t>Fuel-gas compressors 3 x 100% electric</t>
        </is>
      </c>
      <c r="G4597" s="12" t="inlineStr">
        <is>
          <t>JB-Fuel-gas compresso-DI01</t>
        </is>
      </c>
      <c r="H4597" s="12" t="inlineStr">
        <is>
          <t>Fuel-gas compressors 3 x 100% electric</t>
        </is>
      </c>
      <c r="I4597" s="12" t="inlineStr">
        <is>
          <t>Instrumentation</t>
        </is>
      </c>
      <c r="J4597" s="12" t="inlineStr">
        <is>
          <t>Instrumentation ITC / PLTC, IS, #18 shielded pairs, blue jacket</t>
        </is>
      </c>
      <c r="K4597" s="12" t="inlineStr">
        <is>
          <t>ITC|1 pr|16</t>
        </is>
      </c>
      <c r="L4597" s="12" t="inlineStr">
        <is>
          <t>1 pr</t>
        </is>
      </c>
      <c r="M4597" s="12" t="inlineStr">
        <is>
          <t>16</t>
        </is>
      </c>
      <c r="N4597" s="12" t="n">
        <v>20</v>
      </c>
      <c r="O4597" s="12" t="n">
        <v>1</v>
      </c>
      <c r="P4597" s="12" t="n"/>
      <c r="Q4597" s="12" t="n"/>
      <c r="R4597" s="12" t="n"/>
      <c r="S4597" s="12" t="inlineStr">
        <is>
          <t>Tray / conduit</t>
        </is>
      </c>
      <c r="T4597" s="16" t="n">
        <v>103</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I-I-0098</t>
        </is>
      </c>
      <c r="B4598" s="12" t="inlineStr">
        <is>
          <t>I</t>
        </is>
      </c>
      <c r="C4598" s="12" t="inlineStr">
        <is>
          <t>Modular / portable power</t>
        </is>
      </c>
      <c r="D4598" s="12" t="inlineStr">
        <is>
          <t>Home run JB-Fuel-gas compresso-DI01 to the control / marshalling room</t>
        </is>
      </c>
      <c r="E4598" s="12" t="inlineStr"/>
      <c r="F4598" s="12" t="inlineStr">
        <is>
          <t>SC-2 PCM + 15 kV GCB</t>
        </is>
      </c>
      <c r="G4598" s="12" t="inlineStr">
        <is>
          <t>JB-Fuel-gas compresso-DI01</t>
        </is>
      </c>
      <c r="H4598" s="12" t="inlineStr">
        <is>
          <t>Fuel-gas compressors 3 x 100% electric</t>
        </is>
      </c>
      <c r="I4598" s="12" t="inlineStr">
        <is>
          <t>Instrumentation</t>
        </is>
      </c>
      <c r="J4598" s="12" t="inlineStr">
        <is>
          <t>Instrumentation ITC / PLTC, IS, #18 shielded pairs, blue jacket</t>
        </is>
      </c>
      <c r="K4598" s="12" t="inlineStr">
        <is>
          <t>ITC|24 pr|18</t>
        </is>
      </c>
      <c r="L4598" s="12" t="inlineStr">
        <is>
          <t>24 pr</t>
        </is>
      </c>
      <c r="M4598" s="12" t="inlineStr">
        <is>
          <t>18</t>
        </is>
      </c>
      <c r="N4598" s="12" t="n">
        <v>1</v>
      </c>
      <c r="O4598" s="12" t="n">
        <v>1</v>
      </c>
      <c r="P4598" s="12" t="n"/>
      <c r="Q4598" s="12" t="n"/>
      <c r="R4598" s="12" t="n"/>
      <c r="S4598" s="12" t="inlineStr">
        <is>
          <t>Duct bank</t>
        </is>
      </c>
      <c r="T4598" s="16" t="n">
        <v>8</v>
      </c>
      <c r="U4598" s="16" t="n">
        <v>108</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I-I-0099</t>
        </is>
      </c>
      <c r="B4599" s="12" t="inlineStr">
        <is>
          <t>I</t>
        </is>
      </c>
      <c r="C4599" s="12" t="inlineStr">
        <is>
          <t>Modular / portable power</t>
        </is>
      </c>
      <c r="D4599" s="12" t="inlineStr">
        <is>
          <t>RTD to JB JB-Fuel-gas compresso-RTD01: 10 x 1 tri (field cables)</t>
        </is>
      </c>
      <c r="E4599" s="12" t="inlineStr"/>
      <c r="F4599" s="12" t="inlineStr">
        <is>
          <t>Fuel-gas compressors 3 x 100% electric</t>
        </is>
      </c>
      <c r="G4599" s="12" t="inlineStr">
        <is>
          <t>JB-Fuel-gas compresso-RTD01</t>
        </is>
      </c>
      <c r="H4599" s="12" t="inlineStr">
        <is>
          <t>Fuel-gas compressors 3 x 100% electric</t>
        </is>
      </c>
      <c r="I4599" s="12" t="inlineStr">
        <is>
          <t>Instrumentation</t>
        </is>
      </c>
      <c r="J4599" s="12" t="inlineStr">
        <is>
          <t>RTD cable, #18 shielded triads, PLTC</t>
        </is>
      </c>
      <c r="K4599" s="12" t="inlineStr">
        <is>
          <t>RTD|1 tri|18</t>
        </is>
      </c>
      <c r="L4599" s="12" t="inlineStr">
        <is>
          <t>1 tri</t>
        </is>
      </c>
      <c r="M4599" s="12" t="inlineStr">
        <is>
          <t>18</t>
        </is>
      </c>
      <c r="N4599" s="12" t="n">
        <v>10</v>
      </c>
      <c r="O4599" s="12" t="n">
        <v>1</v>
      </c>
      <c r="P4599" s="12" t="n"/>
      <c r="Q4599" s="12" t="n"/>
      <c r="R4599" s="12" t="n"/>
      <c r="S4599" s="12" t="inlineStr">
        <is>
          <t>Tray / conduit</t>
        </is>
      </c>
      <c r="T4599" s="16" t="n">
        <v>103</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I-I-0100</t>
        </is>
      </c>
      <c r="B4600" s="12" t="inlineStr">
        <is>
          <t>I</t>
        </is>
      </c>
      <c r="C4600" s="12" t="inlineStr">
        <is>
          <t>Modular / portable power</t>
        </is>
      </c>
      <c r="D4600" s="12" t="inlineStr">
        <is>
          <t>Home run JB-Fuel-gas compresso-RTD01 to the control / marshalling room</t>
        </is>
      </c>
      <c r="E4600" s="12" t="inlineStr"/>
      <c r="F4600" s="12" t="inlineStr">
        <is>
          <t>SC-2 PCM + 15 kV GCB</t>
        </is>
      </c>
      <c r="G4600" s="12" t="inlineStr">
        <is>
          <t>JB-Fuel-gas compresso-RTD01</t>
        </is>
      </c>
      <c r="H4600" s="12" t="inlineStr">
        <is>
          <t>Fuel-gas compressors 3 x 100% electric</t>
        </is>
      </c>
      <c r="I4600" s="12" t="inlineStr">
        <is>
          <t>Instrumentation</t>
        </is>
      </c>
      <c r="J4600" s="12" t="inlineStr">
        <is>
          <t>RTD cable, #18 shielded triads, PLTC</t>
        </is>
      </c>
      <c r="K4600" s="12" t="inlineStr">
        <is>
          <t>RTD|12 tri|18</t>
        </is>
      </c>
      <c r="L4600" s="12" t="inlineStr">
        <is>
          <t>12 tri</t>
        </is>
      </c>
      <c r="M4600" s="12" t="inlineStr">
        <is>
          <t>18</t>
        </is>
      </c>
      <c r="N4600" s="12" t="n">
        <v>1</v>
      </c>
      <c r="O4600" s="12" t="n">
        <v>1</v>
      </c>
      <c r="P4600" s="12" t="n"/>
      <c r="Q4600" s="12" t="n"/>
      <c r="R4600" s="12" t="n"/>
      <c r="S4600" s="12" t="inlineStr">
        <is>
          <t>Duct bank</t>
        </is>
      </c>
      <c r="T4600" s="16" t="n">
        <v>8</v>
      </c>
      <c r="U4600" s="16" t="n">
        <v>108</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I-I-0101</t>
        </is>
      </c>
      <c r="B4601" s="12" t="inlineStr">
        <is>
          <t>I</t>
        </is>
      </c>
      <c r="C4601" s="12" t="inlineStr">
        <is>
          <t>Modular / portable power</t>
        </is>
      </c>
      <c r="D4601" s="12" t="inlineStr">
        <is>
          <t>RTD to JB JB-Fuel-gas compresso-RTD02: 2 x 1 tri (field cables)</t>
        </is>
      </c>
      <c r="E4601" s="12" t="inlineStr"/>
      <c r="F4601" s="12" t="inlineStr">
        <is>
          <t>Fuel-gas compressors 3 x 100% electric</t>
        </is>
      </c>
      <c r="G4601" s="12" t="inlineStr">
        <is>
          <t>JB-Fuel-gas compresso-RTD02</t>
        </is>
      </c>
      <c r="H4601" s="12" t="inlineStr">
        <is>
          <t>Fuel-gas compressors 3 x 100% electric</t>
        </is>
      </c>
      <c r="I4601" s="12" t="inlineStr">
        <is>
          <t>Instrumentation</t>
        </is>
      </c>
      <c r="J4601" s="12" t="inlineStr">
        <is>
          <t>RTD cable, #18 shielded triads, PLTC</t>
        </is>
      </c>
      <c r="K4601" s="12" t="inlineStr">
        <is>
          <t>RTD|1 tri|18</t>
        </is>
      </c>
      <c r="L4601" s="12" t="inlineStr">
        <is>
          <t>1 tri</t>
        </is>
      </c>
      <c r="M4601" s="12" t="inlineStr">
        <is>
          <t>18</t>
        </is>
      </c>
      <c r="N4601" s="12" t="n">
        <v>2</v>
      </c>
      <c r="O4601" s="12" t="n">
        <v>1</v>
      </c>
      <c r="P4601" s="12" t="n"/>
      <c r="Q4601" s="12" t="n"/>
      <c r="R4601" s="12" t="n"/>
      <c r="S4601" s="12" t="inlineStr">
        <is>
          <t>Tray / conduit</t>
        </is>
      </c>
      <c r="T4601" s="16" t="n">
        <v>103</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I-I-0102</t>
        </is>
      </c>
      <c r="B4602" s="12" t="inlineStr">
        <is>
          <t>I</t>
        </is>
      </c>
      <c r="C4602" s="12" t="inlineStr">
        <is>
          <t>Modular / portable power</t>
        </is>
      </c>
      <c r="D4602" s="12" t="inlineStr">
        <is>
          <t>Home run JB-Fuel-gas compresso-RTD02 to the control / marshalling room</t>
        </is>
      </c>
      <c r="E4602" s="12" t="inlineStr"/>
      <c r="F4602" s="12" t="inlineStr">
        <is>
          <t>SC-2 PCM + 15 kV GCB</t>
        </is>
      </c>
      <c r="G4602" s="12" t="inlineStr">
        <is>
          <t>JB-Fuel-gas compresso-RTD02</t>
        </is>
      </c>
      <c r="H4602" s="12" t="inlineStr">
        <is>
          <t>Fuel-gas compressors 3 x 100% electric</t>
        </is>
      </c>
      <c r="I4602" s="12" t="inlineStr">
        <is>
          <t>Instrumentation</t>
        </is>
      </c>
      <c r="J4602" s="12" t="inlineStr">
        <is>
          <t>RTD cable, #18 shielded triads, PLTC</t>
        </is>
      </c>
      <c r="K4602" s="12" t="inlineStr">
        <is>
          <t>RTD|12 tri|18</t>
        </is>
      </c>
      <c r="L4602" s="12" t="inlineStr">
        <is>
          <t>12 tri</t>
        </is>
      </c>
      <c r="M4602" s="12" t="inlineStr">
        <is>
          <t>18</t>
        </is>
      </c>
      <c r="N4602" s="12" t="n">
        <v>1</v>
      </c>
      <c r="O4602" s="12" t="n">
        <v>1</v>
      </c>
      <c r="P4602" s="12" t="n"/>
      <c r="Q4602" s="12" t="n"/>
      <c r="R4602" s="12" t="n"/>
      <c r="S4602" s="12" t="inlineStr">
        <is>
          <t>Duct bank</t>
        </is>
      </c>
      <c r="T4602" s="16" t="n">
        <v>8</v>
      </c>
      <c r="U4602" s="16" t="n">
        <v>108</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I-I-0103</t>
        </is>
      </c>
      <c r="B4603" s="12" t="inlineStr">
        <is>
          <t>I</t>
        </is>
      </c>
      <c r="C4603" s="12" t="inlineStr">
        <is>
          <t>Modular / portable power</t>
        </is>
      </c>
      <c r="D4603" s="12" t="inlineStr">
        <is>
          <t>Analog instrument to JB JB-GEN-E-AI01: 20 x 1 pr (field cables)</t>
        </is>
      </c>
      <c r="E4603" s="12" t="inlineStr">
        <is>
          <t>GEN-E</t>
        </is>
      </c>
      <c r="F4603" s="12" t="inlineStr">
        <is>
          <t>GEN-E: enclosed industrial gas genset 2 MW</t>
        </is>
      </c>
      <c r="G4603" s="12" t="inlineStr">
        <is>
          <t>JB-GEN-E-AI01</t>
        </is>
      </c>
      <c r="H4603" s="12" t="inlineStr">
        <is>
          <t>GEN-E: enclosed industrial gas genset 2 MW</t>
        </is>
      </c>
      <c r="I4603" s="12" t="inlineStr">
        <is>
          <t>Instrumentation</t>
        </is>
      </c>
      <c r="J4603" s="12" t="inlineStr">
        <is>
          <t>Instrumentation PLTC / TC-ER 300 V, #18 twisted shielded pairs, overall shield</t>
        </is>
      </c>
      <c r="K4603" s="12" t="inlineStr">
        <is>
          <t>PLTC|1 pr|16</t>
        </is>
      </c>
      <c r="L4603" s="12" t="inlineStr">
        <is>
          <t>1 pr</t>
        </is>
      </c>
      <c r="M4603" s="12" t="inlineStr">
        <is>
          <t>16</t>
        </is>
      </c>
      <c r="N4603" s="12" t="n">
        <v>20</v>
      </c>
      <c r="O4603" s="12" t="n">
        <v>1</v>
      </c>
      <c r="P4603" s="12" t="n"/>
      <c r="Q4603" s="12" t="n"/>
      <c r="R4603" s="12" t="n"/>
      <c r="S4603" s="12" t="inlineStr">
        <is>
          <t>Tray / conduit</t>
        </is>
      </c>
      <c r="T4603" s="16" t="n">
        <v>60</v>
      </c>
      <c r="U4603" s="16" t="n">
        <v>10</v>
      </c>
      <c r="V4603" s="16">
        <f>ROUNDUP((T4603+U4603+2*'Read Me'!$B$13)*(1+'Read Me'!$B$12),-1)</f>
        <v/>
      </c>
      <c r="W4603" s="16">
        <f>V4603*N4603*O4603</f>
        <v/>
      </c>
      <c r="X4603" s="12">
        <f>IF(LEFT(I4603,2)="MV",2*N4603*IF(L4603="1/C",O4603,1),0)</f>
        <v/>
      </c>
      <c r="Y4603" s="12">
        <f>IF(OR(LEFT(K4603,4)="LVAX",LEFT(K4603,6)="MV15AX",LEFT(K4603,4)="CTAX",LEFT(K4603,2)="W|"),2*N4603*O4603,0)</f>
        <v/>
      </c>
      <c r="Z4603" s="12" t="inlineStr">
        <is>
          <t>device-to-JB field wiring, one cable per device</t>
        </is>
      </c>
      <c r="AA4603" s="12">
        <f>N4603*O4603</f>
        <v/>
      </c>
    </row>
    <row r="4604">
      <c r="A4604" s="12" t="inlineStr">
        <is>
          <t>I-I-0104</t>
        </is>
      </c>
      <c r="B4604" s="12" t="inlineStr">
        <is>
          <t>I</t>
        </is>
      </c>
      <c r="C4604" s="12" t="inlineStr">
        <is>
          <t>Modular / portable power</t>
        </is>
      </c>
      <c r="D4604" s="12" t="inlineStr">
        <is>
          <t>Home run JB-GEN-E-AI01 to the control / marshalling room</t>
        </is>
      </c>
      <c r="E4604" s="12" t="inlineStr">
        <is>
          <t>PAD-EH</t>
        </is>
      </c>
      <c r="F4604" s="12" t="inlineStr">
        <is>
          <t>PAD-EH 13.8 kV switchgear e-house</t>
        </is>
      </c>
      <c r="G4604" s="12" t="inlineStr">
        <is>
          <t>JB-GEN-E-AI01</t>
        </is>
      </c>
      <c r="H4604" s="12" t="inlineStr">
        <is>
          <t>GEN-E: enclosed industrial gas genset 2 MW</t>
        </is>
      </c>
      <c r="I4604" s="12" t="inlineStr">
        <is>
          <t>Instrumentation</t>
        </is>
      </c>
      <c r="J4604" s="12" t="inlineStr">
        <is>
          <t>Instrumentation PLTC / TC-ER 300 V, #18 twisted shielded pairs, overall shield</t>
        </is>
      </c>
      <c r="K4604" s="12" t="inlineStr">
        <is>
          <t>PLTC|24 pr|18</t>
        </is>
      </c>
      <c r="L4604" s="12" t="inlineStr">
        <is>
          <t>24 pr</t>
        </is>
      </c>
      <c r="M4604" s="12" t="inlineStr">
        <is>
          <t>18</t>
        </is>
      </c>
      <c r="N4604" s="12" t="n">
        <v>1</v>
      </c>
      <c r="O4604" s="12" t="n">
        <v>1</v>
      </c>
      <c r="P4604" s="12" t="n"/>
      <c r="Q4604" s="12" t="n"/>
      <c r="R4604" s="12" t="n"/>
      <c r="S4604" s="12" t="inlineStr">
        <is>
          <t>Surface</t>
        </is>
      </c>
      <c r="T4604" s="16" t="n">
        <v>153</v>
      </c>
      <c r="U4604" s="16" t="n">
        <v>32</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I-I-0105</t>
        </is>
      </c>
      <c r="B4605" s="12" t="inlineStr">
        <is>
          <t>I</t>
        </is>
      </c>
      <c r="C4605" s="12" t="inlineStr">
        <is>
          <t>Modular / portable power</t>
        </is>
      </c>
      <c r="D4605" s="12" t="inlineStr">
        <is>
          <t>Discrete device to JB JB-GEN-E-DI01: 20 x 1 pr (field cables)</t>
        </is>
      </c>
      <c r="E4605" s="12" t="inlineStr">
        <is>
          <t>GEN-E</t>
        </is>
      </c>
      <c r="F4605" s="12" t="inlineStr">
        <is>
          <t>GEN-E: enclosed industrial gas genset 2 MW</t>
        </is>
      </c>
      <c r="G4605" s="12" t="inlineStr">
        <is>
          <t>JB-GEN-E-DI01</t>
        </is>
      </c>
      <c r="H4605" s="12" t="inlineStr">
        <is>
          <t>GEN-E: enclosed industrial gas genset 2 MW</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60</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I-I-0106</t>
        </is>
      </c>
      <c r="B4606" s="12" t="inlineStr">
        <is>
          <t>I</t>
        </is>
      </c>
      <c r="C4606" s="12" t="inlineStr">
        <is>
          <t>Modular / portable power</t>
        </is>
      </c>
      <c r="D4606" s="12" t="inlineStr">
        <is>
          <t>Home run JB-GEN-E-DI01 to the control / marshalling room</t>
        </is>
      </c>
      <c r="E4606" s="12" t="inlineStr">
        <is>
          <t>PAD-EH</t>
        </is>
      </c>
      <c r="F4606" s="12" t="inlineStr">
        <is>
          <t>PAD-EH 13.8 kV switchgear e-house</t>
        </is>
      </c>
      <c r="G4606" s="12" t="inlineStr">
        <is>
          <t>JB-GEN-E-DI01</t>
        </is>
      </c>
      <c r="H4606" s="12" t="inlineStr">
        <is>
          <t>GEN-E: enclosed industrial gas genset 2 MW</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153</v>
      </c>
      <c r="U4606" s="16" t="n">
        <v>32</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I-I-0107</t>
        </is>
      </c>
      <c r="B4607" s="12" t="inlineStr">
        <is>
          <t>I</t>
        </is>
      </c>
      <c r="C4607" s="12" t="inlineStr">
        <is>
          <t>Modular / portable power</t>
        </is>
      </c>
      <c r="D4607" s="12" t="inlineStr">
        <is>
          <t>Analog instrument to JB JB-GEN-O-AI01: 20 x 1 pr (field cables)</t>
        </is>
      </c>
      <c r="E4607" s="12" t="inlineStr">
        <is>
          <t>GEN-O</t>
        </is>
      </c>
      <c r="F4607" s="12" t="inlineStr">
        <is>
          <t>GEN-O: open engine-generator skid</t>
        </is>
      </c>
      <c r="G4607" s="12" t="inlineStr">
        <is>
          <t>JB-GEN-O-AI01</t>
        </is>
      </c>
      <c r="H4607" s="12" t="inlineStr">
        <is>
          <t>GEN-O: open engine-generator skid</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45</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I-I-0108</t>
        </is>
      </c>
      <c r="B4608" s="12" t="inlineStr">
        <is>
          <t>I</t>
        </is>
      </c>
      <c r="C4608" s="12" t="inlineStr">
        <is>
          <t>Modular / portable power</t>
        </is>
      </c>
      <c r="D4608" s="12" t="inlineStr">
        <is>
          <t>Home run JB-GEN-O-AI01 to the control / marshalling room</t>
        </is>
      </c>
      <c r="E4608" s="12" t="inlineStr">
        <is>
          <t>PAD-EH</t>
        </is>
      </c>
      <c r="F4608" s="12" t="inlineStr">
        <is>
          <t>PAD-EH 13.8 kV switchgear e-house</t>
        </is>
      </c>
      <c r="G4608" s="12" t="inlineStr">
        <is>
          <t>JB-GEN-O-AI01</t>
        </is>
      </c>
      <c r="H4608" s="12" t="inlineStr">
        <is>
          <t>GEN-O: open engine-generator skid</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153</v>
      </c>
      <c r="U4608" s="16" t="n">
        <v>79</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I-I-0109</t>
        </is>
      </c>
      <c r="B4609" s="12" t="inlineStr">
        <is>
          <t>I</t>
        </is>
      </c>
      <c r="C4609" s="12" t="inlineStr">
        <is>
          <t>Modular / portable power</t>
        </is>
      </c>
      <c r="D4609" s="12" t="inlineStr">
        <is>
          <t>Discrete device to JB JB-GEN-O-DI01: 20 x 1 pr (field cables)</t>
        </is>
      </c>
      <c r="E4609" s="12" t="inlineStr">
        <is>
          <t>GEN-O</t>
        </is>
      </c>
      <c r="F4609" s="12" t="inlineStr">
        <is>
          <t>GEN-O: open engine-generator skid</t>
        </is>
      </c>
      <c r="G4609" s="12" t="inlineStr">
        <is>
          <t>JB-GEN-O-DI01</t>
        </is>
      </c>
      <c r="H4609" s="12" t="inlineStr">
        <is>
          <t>GEN-O: open engine-generator skid</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6" t="n">
        <v>45</v>
      </c>
      <c r="U4609" s="16" t="n">
        <v>10</v>
      </c>
      <c r="V4609" s="16">
        <f>ROUNDUP((T4609+U4609+2*'Read Me'!$B$13)*(1+'Read Me'!$B$12),-1)</f>
        <v/>
      </c>
      <c r="W4609" s="16">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I-I-0110</t>
        </is>
      </c>
      <c r="B4610" s="12" t="inlineStr">
        <is>
          <t>I</t>
        </is>
      </c>
      <c r="C4610" s="12" t="inlineStr">
        <is>
          <t>Modular / portable power</t>
        </is>
      </c>
      <c r="D4610" s="12" t="inlineStr">
        <is>
          <t>Home run JB-GEN-O-DI01 to the control / marshalling room</t>
        </is>
      </c>
      <c r="E4610" s="12" t="inlineStr">
        <is>
          <t>PAD-EH</t>
        </is>
      </c>
      <c r="F4610" s="12" t="inlineStr">
        <is>
          <t>PAD-EH 13.8 kV switchgear e-house</t>
        </is>
      </c>
      <c r="G4610" s="12" t="inlineStr">
        <is>
          <t>JB-GEN-O-DI01</t>
        </is>
      </c>
      <c r="H4610" s="12" t="inlineStr">
        <is>
          <t>GEN-O: open engine-generator skid</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Surface</t>
        </is>
      </c>
      <c r="T4610" s="16" t="n">
        <v>153</v>
      </c>
      <c r="U4610" s="16" t="n">
        <v>79</v>
      </c>
      <c r="V4610" s="16">
        <f>ROUNDUP((T4610+U4610+2*'Read Me'!$B$13)*(1+'Read Me'!$B$12),-1)</f>
        <v/>
      </c>
      <c r="W4610" s="16">
        <f>V4610*N4610*O4610</f>
        <v/>
      </c>
      <c r="X4610" s="12">
        <f>IF(LEFT(I4610,2)="MV",2*N4610*IF(L4610="1/C",O4610,1),0)</f>
        <v/>
      </c>
      <c r="Y4610" s="12">
        <f>IF(OR(LEFT(K4610,4)="LVAX",LEFT(K4610,6)="MV15AX",LEFT(K4610,4)="CTAX",LEFT(K4610,2)="W|"),2*N4610*O4610,0)</f>
        <v/>
      </c>
      <c r="Z4610" s="12" t="inlineStr"/>
      <c r="AA4610" s="12">
        <f>N4610*O4610</f>
        <v/>
      </c>
    </row>
    <row r="4611">
      <c r="A4611" s="12" t="inlineStr">
        <is>
          <t>I-I-0111</t>
        </is>
      </c>
      <c r="B4611" s="12" t="inlineStr">
        <is>
          <t>I</t>
        </is>
      </c>
      <c r="C4611" s="12" t="inlineStr">
        <is>
          <t>Modular / portable power</t>
        </is>
      </c>
      <c r="D4611" s="12" t="inlineStr">
        <is>
          <t>Instrumentation</t>
        </is>
      </c>
      <c r="E4611" s="12" t="inlineStr"/>
      <c r="F4611" s="12" t="inlineStr">
        <is>
          <t>PCM: power control module</t>
        </is>
      </c>
      <c r="G4611" s="12" t="inlineStr"/>
      <c r="H4611" s="12" t="inlineStr">
        <is>
          <t>Gas conditioning skid</t>
        </is>
      </c>
      <c r="I4611" s="12" t="inlineStr">
        <is>
          <t>Instrumentation</t>
        </is>
      </c>
      <c r="J4611" s="12" t="inlineStr">
        <is>
          <t>Instrumentation ITC / PLTC, IS, #18 shielded pairs, blue jacket</t>
        </is>
      </c>
      <c r="K4611" s="12" t="inlineStr">
        <is>
          <t>ITC|4 pr|18</t>
        </is>
      </c>
      <c r="L4611" s="12" t="inlineStr">
        <is>
          <t>4 pr</t>
        </is>
      </c>
      <c r="M4611" s="12" t="inlineStr">
        <is>
          <t>18</t>
        </is>
      </c>
      <c r="N4611" s="12" t="n">
        <v>1</v>
      </c>
      <c r="O4611" s="12" t="n">
        <v>1</v>
      </c>
      <c r="P4611" s="12" t="n"/>
      <c r="Q4611" s="12" t="n"/>
      <c r="R4611" s="12" t="n"/>
      <c r="S4611" s="12" t="inlineStr">
        <is>
          <t>Tray</t>
        </is>
      </c>
      <c r="T4611" s="16" t="n">
        <v>40</v>
      </c>
      <c r="U4611" s="16" t="n">
        <v>94</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I-I-0112</t>
        </is>
      </c>
      <c r="B4612" s="12" t="inlineStr">
        <is>
          <t>I</t>
        </is>
      </c>
      <c r="C4612" s="12" t="inlineStr">
        <is>
          <t>Modular / portable power</t>
        </is>
      </c>
      <c r="D4612" s="12" t="inlineStr">
        <is>
          <t>Instrumentation</t>
        </is>
      </c>
      <c r="E4612" s="12" t="inlineStr"/>
      <c r="F4612" s="12" t="inlineStr">
        <is>
          <t>PCM: power control module</t>
        </is>
      </c>
      <c r="G4612" s="12" t="inlineStr"/>
      <c r="H4612" s="12" t="inlineStr">
        <is>
          <t>Gas conditioning skid</t>
        </is>
      </c>
      <c r="I4612" s="12" t="inlineStr">
        <is>
          <t>Instrumentation</t>
        </is>
      </c>
      <c r="J4612" s="12" t="inlineStr">
        <is>
          <t>Instrumentation ITC / PLTC, IS, #18 shielded pairs, blue jacket</t>
        </is>
      </c>
      <c r="K4612" s="12" t="inlineStr">
        <is>
          <t>ITC|12 pr|18</t>
        </is>
      </c>
      <c r="L4612" s="12" t="inlineStr">
        <is>
          <t>12 pr</t>
        </is>
      </c>
      <c r="M4612" s="12" t="inlineStr">
        <is>
          <t>18</t>
        </is>
      </c>
      <c r="N4612" s="12" t="n">
        <v>1</v>
      </c>
      <c r="O4612" s="12" t="n">
        <v>1</v>
      </c>
      <c r="P4612" s="12" t="n"/>
      <c r="Q4612" s="12" t="n"/>
      <c r="R4612" s="12" t="n"/>
      <c r="S4612" s="12" t="inlineStr">
        <is>
          <t>Tray</t>
        </is>
      </c>
      <c r="T4612" s="16" t="n">
        <v>40</v>
      </c>
      <c r="U4612" s="16" t="n">
        <v>94</v>
      </c>
      <c r="V4612" s="16">
        <f>ROUNDUP((T4612+U4612+2*'Read Me'!$B$13)*(1+'Read Me'!$B$12),-1)</f>
        <v/>
      </c>
      <c r="W4612" s="16">
        <f>V4612*N4612*O4612</f>
        <v/>
      </c>
      <c r="X4612" s="12">
        <f>IF(LEFT(I4612,2)="MV",2*N4612*IF(L4612="1/C",O4612,1),0)</f>
        <v/>
      </c>
      <c r="Y4612" s="12">
        <f>IF(OR(LEFT(K4612,4)="LVAX",LEFT(K4612,6)="MV15AX",LEFT(K4612,4)="CTAX",LEFT(K4612,2)="W|"),2*N4612*O4612,0)</f>
        <v/>
      </c>
      <c r="Z4612" s="12" t="inlineStr"/>
      <c r="AA4612" s="12">
        <f>N4612*O4612</f>
        <v/>
      </c>
    </row>
    <row r="4613">
      <c r="A4613" s="12" t="inlineStr">
        <is>
          <t>I-I-0113</t>
        </is>
      </c>
      <c r="B4613" s="12" t="inlineStr">
        <is>
          <t>I</t>
        </is>
      </c>
      <c r="C4613" s="12" t="inlineStr">
        <is>
          <t>Modular / portable power</t>
        </is>
      </c>
      <c r="D4613" s="12" t="inlineStr">
        <is>
          <t>Analog instrument to JB JB-MOB-1-AI01: 20 x 1 pr (field cables)</t>
        </is>
      </c>
      <c r="E4613" s="12" t="inlineStr">
        <is>
          <t>MOB-1</t>
        </is>
      </c>
      <c r="F4613" s="12" t="inlineStr">
        <is>
          <t>MOB-1: trailer genset</t>
        </is>
      </c>
      <c r="G4613" s="12" t="inlineStr">
        <is>
          <t>JB-MOB-1-AI01</t>
        </is>
      </c>
      <c r="H4613" s="12" t="inlineStr">
        <is>
          <t>MOB-1: trailer genset</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6" t="n">
        <v>61</v>
      </c>
      <c r="U4613" s="16" t="n">
        <v>10</v>
      </c>
      <c r="V4613" s="16">
        <f>ROUNDUP((T4613+U4613+2*'Read Me'!$B$13)*(1+'Read Me'!$B$12),-1)</f>
        <v/>
      </c>
      <c r="W4613" s="16">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I-I-0114</t>
        </is>
      </c>
      <c r="B4614" s="12" t="inlineStr">
        <is>
          <t>I</t>
        </is>
      </c>
      <c r="C4614" s="12" t="inlineStr">
        <is>
          <t>Modular / portable power</t>
        </is>
      </c>
      <c r="D4614" s="12" t="inlineStr">
        <is>
          <t>Home run JB-MOB-1-AI01 to the control / marshalling room</t>
        </is>
      </c>
      <c r="E4614" s="12" t="inlineStr">
        <is>
          <t>PAD-EH</t>
        </is>
      </c>
      <c r="F4614" s="12" t="inlineStr">
        <is>
          <t>PAD-EH 13.8 kV switchgear e-house</t>
        </is>
      </c>
      <c r="G4614" s="12" t="inlineStr">
        <is>
          <t>JB-MOB-1-AI01</t>
        </is>
      </c>
      <c r="H4614" s="12" t="inlineStr">
        <is>
          <t>MOB-1: trailer genset</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Surface</t>
        </is>
      </c>
      <c r="T4614" s="16" t="n">
        <v>113</v>
      </c>
      <c r="U4614" s="16" t="n">
        <v>160</v>
      </c>
      <c r="V4614" s="16">
        <f>ROUNDUP((T4614+U4614+2*'Read Me'!$B$13)*(1+'Read Me'!$B$12),-1)</f>
        <v/>
      </c>
      <c r="W4614" s="16">
        <f>V4614*N4614*O4614</f>
        <v/>
      </c>
      <c r="X4614" s="12">
        <f>IF(LEFT(I4614,2)="MV",2*N4614*IF(L4614="1/C",O4614,1),0)</f>
        <v/>
      </c>
      <c r="Y4614" s="12">
        <f>IF(OR(LEFT(K4614,4)="LVAX",LEFT(K4614,6)="MV15AX",LEFT(K4614,4)="CTAX",LEFT(K4614,2)="W|"),2*N4614*O4614,0)</f>
        <v/>
      </c>
      <c r="Z4614" s="12" t="inlineStr"/>
      <c r="AA4614" s="12">
        <f>N4614*O4614</f>
        <v/>
      </c>
    </row>
    <row r="4615">
      <c r="A4615" s="12" t="inlineStr">
        <is>
          <t>I-I-0115</t>
        </is>
      </c>
      <c r="B4615" s="12" t="inlineStr">
        <is>
          <t>I</t>
        </is>
      </c>
      <c r="C4615" s="12" t="inlineStr">
        <is>
          <t>Modular / portable power</t>
        </is>
      </c>
      <c r="D4615" s="12" t="inlineStr">
        <is>
          <t>Discrete device to JB JB-MOB-1-DI01: 20 x 1 pr (field cables)</t>
        </is>
      </c>
      <c r="E4615" s="12" t="inlineStr">
        <is>
          <t>MOB-1</t>
        </is>
      </c>
      <c r="F4615" s="12" t="inlineStr">
        <is>
          <t>MOB-1: trailer genset</t>
        </is>
      </c>
      <c r="G4615" s="12" t="inlineStr">
        <is>
          <t>JB-MOB-1-DI01</t>
        </is>
      </c>
      <c r="H4615" s="12" t="inlineStr">
        <is>
          <t>MOB-1: trailer genset</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6" t="n">
        <v>61</v>
      </c>
      <c r="U4615" s="16" t="n">
        <v>10</v>
      </c>
      <c r="V4615" s="16">
        <f>ROUNDUP((T4615+U4615+2*'Read Me'!$B$13)*(1+'Read Me'!$B$12),-1)</f>
        <v/>
      </c>
      <c r="W4615" s="16">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I-I-0116</t>
        </is>
      </c>
      <c r="B4616" s="12" t="inlineStr">
        <is>
          <t>I</t>
        </is>
      </c>
      <c r="C4616" s="12" t="inlineStr">
        <is>
          <t>Modular / portable power</t>
        </is>
      </c>
      <c r="D4616" s="12" t="inlineStr">
        <is>
          <t>Home run JB-MOB-1-DI01 to the control / marshalling room</t>
        </is>
      </c>
      <c r="E4616" s="12" t="inlineStr">
        <is>
          <t>PAD-EH</t>
        </is>
      </c>
      <c r="F4616" s="12" t="inlineStr">
        <is>
          <t>PAD-EH 13.8 kV switchgear e-house</t>
        </is>
      </c>
      <c r="G4616" s="12" t="inlineStr">
        <is>
          <t>JB-MOB-1-DI01</t>
        </is>
      </c>
      <c r="H4616" s="12" t="inlineStr">
        <is>
          <t>MOB-1: trailer genset</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Surface</t>
        </is>
      </c>
      <c r="T4616" s="16" t="n">
        <v>113</v>
      </c>
      <c r="U4616" s="16" t="n">
        <v>160</v>
      </c>
      <c r="V4616" s="16">
        <f>ROUNDUP((T4616+U4616+2*'Read Me'!$B$13)*(1+'Read Me'!$B$12),-1)</f>
        <v/>
      </c>
      <c r="W4616" s="16">
        <f>V4616*N4616*O4616</f>
        <v/>
      </c>
      <c r="X4616" s="12">
        <f>IF(LEFT(I4616,2)="MV",2*N4616*IF(L4616="1/C",O4616,1),0)</f>
        <v/>
      </c>
      <c r="Y4616" s="12">
        <f>IF(OR(LEFT(K4616,4)="LVAX",LEFT(K4616,6)="MV15AX",LEFT(K4616,4)="CTAX",LEFT(K4616,2)="W|"),2*N4616*O4616,0)</f>
        <v/>
      </c>
      <c r="Z4616" s="12" t="inlineStr"/>
      <c r="AA4616" s="12">
        <f>N4616*O4616</f>
        <v/>
      </c>
    </row>
    <row r="4617">
      <c r="A4617" s="12" t="inlineStr">
        <is>
          <t>I-I-0117</t>
        </is>
      </c>
      <c r="B4617" s="12" t="inlineStr">
        <is>
          <t>I</t>
        </is>
      </c>
      <c r="C4617" s="12" t="inlineStr">
        <is>
          <t>Modular / portable power</t>
        </is>
      </c>
      <c r="D4617" s="12" t="inlineStr">
        <is>
          <t>Instrumentation</t>
        </is>
      </c>
      <c r="E4617" s="12" t="inlineStr"/>
      <c r="F4617" s="12" t="inlineStr">
        <is>
          <t>PCM: power control module</t>
        </is>
      </c>
      <c r="G4617" s="12" t="inlineStr"/>
      <c r="H4617" s="12" t="inlineStr">
        <is>
          <t>MOD-LV 480 V board + 480 V : 13.8 kV step-up</t>
        </is>
      </c>
      <c r="I4617" s="12" t="inlineStr">
        <is>
          <t>Instrumentation</t>
        </is>
      </c>
      <c r="J4617" s="12" t="inlineStr">
        <is>
          <t>Instrumentation PLTC / TC-ER 300 V, #18 twisted shielded pairs, overall shield</t>
        </is>
      </c>
      <c r="K4617" s="12" t="inlineStr">
        <is>
          <t>PLTC|4 pr|18</t>
        </is>
      </c>
      <c r="L4617" s="12" t="inlineStr">
        <is>
          <t>4 pr</t>
        </is>
      </c>
      <c r="M4617" s="12" t="inlineStr">
        <is>
          <t>18</t>
        </is>
      </c>
      <c r="N4617" s="12" t="n">
        <v>1</v>
      </c>
      <c r="O4617" s="12" t="n">
        <v>1</v>
      </c>
      <c r="P4617" s="12" t="n"/>
      <c r="Q4617" s="12" t="n"/>
      <c r="R4617" s="12" t="n"/>
      <c r="S4617" s="12" t="inlineStr">
        <is>
          <t>Duct bank</t>
        </is>
      </c>
      <c r="T4617" s="16" t="n">
        <v>757</v>
      </c>
      <c r="U4617" s="16" t="n">
        <v>32</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I-I-0118</t>
        </is>
      </c>
      <c r="B4618" s="12" t="inlineStr">
        <is>
          <t>I</t>
        </is>
      </c>
      <c r="C4618" s="12" t="inlineStr">
        <is>
          <t>Modular / portable power</t>
        </is>
      </c>
      <c r="D4618" s="12" t="inlineStr">
        <is>
          <t>Analog instrument to JB JB-MT-4-AI01: 6 x 1 pr (field cables)</t>
        </is>
      </c>
      <c r="E4618" s="12" t="inlineStr">
        <is>
          <t>MT-4</t>
        </is>
      </c>
      <c r="F4618" s="12" t="inlineStr">
        <is>
          <t>MT-4: microturbine 1 MW (Capstone C1000 class)</t>
        </is>
      </c>
      <c r="G4618" s="12" t="inlineStr">
        <is>
          <t>JB-MT-4-AI01</t>
        </is>
      </c>
      <c r="H4618" s="12" t="inlineStr">
        <is>
          <t>MT-4: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I-I-0119</t>
        </is>
      </c>
      <c r="B4619" s="12" t="inlineStr">
        <is>
          <t>I</t>
        </is>
      </c>
      <c r="C4619" s="12" t="inlineStr">
        <is>
          <t>Modular / portable power</t>
        </is>
      </c>
      <c r="D4619" s="12" t="inlineStr">
        <is>
          <t>Home run JB-MT-4-AI01 to the control / marshalling room</t>
        </is>
      </c>
      <c r="E4619" s="12" t="inlineStr">
        <is>
          <t>PAD-EH</t>
        </is>
      </c>
      <c r="F4619" s="12" t="inlineStr">
        <is>
          <t>PAD-EH 13.8 kV switchgear e-house</t>
        </is>
      </c>
      <c r="G4619" s="12" t="inlineStr">
        <is>
          <t>JB-MT-4-AI01</t>
        </is>
      </c>
      <c r="H4619" s="12" t="inlineStr">
        <is>
          <t>MT-4: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198</v>
      </c>
      <c r="U4619" s="16" t="n">
        <v>47</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I-I-0120</t>
        </is>
      </c>
      <c r="B4620" s="12" t="inlineStr">
        <is>
          <t>I</t>
        </is>
      </c>
      <c r="C4620" s="12" t="inlineStr">
        <is>
          <t>Modular / portable power</t>
        </is>
      </c>
      <c r="D4620" s="12" t="inlineStr">
        <is>
          <t>Discrete device to JB JB-MT-4-DI01: 6 x 1 pr (field cables)</t>
        </is>
      </c>
      <c r="E4620" s="12" t="inlineStr">
        <is>
          <t>MT-4</t>
        </is>
      </c>
      <c r="F4620" s="12" t="inlineStr">
        <is>
          <t>MT-4: microturbine 1 MW (Capstone C1000 class)</t>
        </is>
      </c>
      <c r="G4620" s="12" t="inlineStr">
        <is>
          <t>JB-MT-4-DI01</t>
        </is>
      </c>
      <c r="H4620" s="12" t="inlineStr">
        <is>
          <t>MT-4: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I-I-0121</t>
        </is>
      </c>
      <c r="B4621" s="12" t="inlineStr">
        <is>
          <t>I</t>
        </is>
      </c>
      <c r="C4621" s="12" t="inlineStr">
        <is>
          <t>Modular / portable power</t>
        </is>
      </c>
      <c r="D4621" s="12" t="inlineStr">
        <is>
          <t>Home run JB-MT-4-DI01 to the control / marshalling room</t>
        </is>
      </c>
      <c r="E4621" s="12" t="inlineStr">
        <is>
          <t>PAD-EH</t>
        </is>
      </c>
      <c r="F4621" s="12" t="inlineStr">
        <is>
          <t>PAD-EH 13.8 kV switchgear e-house</t>
        </is>
      </c>
      <c r="G4621" s="12" t="inlineStr">
        <is>
          <t>JB-MT-4-DI01</t>
        </is>
      </c>
      <c r="H4621" s="12" t="inlineStr">
        <is>
          <t>MT-4: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198</v>
      </c>
      <c r="U4621" s="16" t="n">
        <v>47</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I-I-0122</t>
        </is>
      </c>
      <c r="B4622" s="12" t="inlineStr">
        <is>
          <t>I</t>
        </is>
      </c>
      <c r="C4622" s="12" t="inlineStr">
        <is>
          <t>Modular / portable power</t>
        </is>
      </c>
      <c r="D4622" s="12" t="inlineStr">
        <is>
          <t>Analog instrument to JB JB-MT-5-AI01: 6 x 1 pr (field cables)</t>
        </is>
      </c>
      <c r="E4622" s="12" t="inlineStr">
        <is>
          <t>MT-5</t>
        </is>
      </c>
      <c r="F4622" s="12" t="inlineStr">
        <is>
          <t>MT-5: microturbine 1 MW (Capstone C1000 class)</t>
        </is>
      </c>
      <c r="G4622" s="12" t="inlineStr">
        <is>
          <t>JB-MT-5-AI01</t>
        </is>
      </c>
      <c r="H4622" s="12" t="inlineStr">
        <is>
          <t>MT-5: microturbine 1 MW (Capstone C1000 class)</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6</v>
      </c>
      <c r="O4622" s="12" t="n">
        <v>1</v>
      </c>
      <c r="P4622" s="12" t="n"/>
      <c r="Q4622" s="12" t="n"/>
      <c r="R4622" s="12" t="n"/>
      <c r="S4622" s="12" t="inlineStr">
        <is>
          <t>Tray / conduit</t>
        </is>
      </c>
      <c r="T4622" s="16" t="n">
        <v>47</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I-I-0123</t>
        </is>
      </c>
      <c r="B4623" s="12" t="inlineStr">
        <is>
          <t>I</t>
        </is>
      </c>
      <c r="C4623" s="12" t="inlineStr">
        <is>
          <t>Modular / portable power</t>
        </is>
      </c>
      <c r="D4623" s="12" t="inlineStr">
        <is>
          <t>Home run JB-MT-5-AI01 to the control / marshalling room</t>
        </is>
      </c>
      <c r="E4623" s="12" t="inlineStr">
        <is>
          <t>PAD-EH</t>
        </is>
      </c>
      <c r="F4623" s="12" t="inlineStr">
        <is>
          <t>PAD-EH 13.8 kV switchgear e-house</t>
        </is>
      </c>
      <c r="G4623" s="12" t="inlineStr">
        <is>
          <t>JB-MT-5-AI01</t>
        </is>
      </c>
      <c r="H4623" s="12" t="inlineStr">
        <is>
          <t>MT-5: microturbine 1 MW (Capstone C1000 class)</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Surface</t>
        </is>
      </c>
      <c r="T4623" s="16" t="n">
        <v>198</v>
      </c>
      <c r="U4623" s="16" t="n">
        <v>37</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I-I-0124</t>
        </is>
      </c>
      <c r="B4624" s="12" t="inlineStr">
        <is>
          <t>I</t>
        </is>
      </c>
      <c r="C4624" s="12" t="inlineStr">
        <is>
          <t>Modular / portable power</t>
        </is>
      </c>
      <c r="D4624" s="12" t="inlineStr">
        <is>
          <t>Discrete device to JB JB-MT-5-DI01: 6 x 1 pr (field cables)</t>
        </is>
      </c>
      <c r="E4624" s="12" t="inlineStr">
        <is>
          <t>MT-5</t>
        </is>
      </c>
      <c r="F4624" s="12" t="inlineStr">
        <is>
          <t>MT-5: microturbine 1 MW (Capstone C1000 class)</t>
        </is>
      </c>
      <c r="G4624" s="12" t="inlineStr">
        <is>
          <t>JB-MT-5-DI01</t>
        </is>
      </c>
      <c r="H4624" s="12" t="inlineStr">
        <is>
          <t>MT-5: microturbine 1 MW (Capstone C1000 class)</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47</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I-I-0125</t>
        </is>
      </c>
      <c r="B4625" s="12" t="inlineStr">
        <is>
          <t>I</t>
        </is>
      </c>
      <c r="C4625" s="12" t="inlineStr">
        <is>
          <t>Modular / portable power</t>
        </is>
      </c>
      <c r="D4625" s="12" t="inlineStr">
        <is>
          <t>Home run JB-MT-5-DI01 to the control / marshalling room</t>
        </is>
      </c>
      <c r="E4625" s="12" t="inlineStr">
        <is>
          <t>PAD-EH</t>
        </is>
      </c>
      <c r="F4625" s="12" t="inlineStr">
        <is>
          <t>PAD-EH 13.8 kV switchgear e-house</t>
        </is>
      </c>
      <c r="G4625" s="12" t="inlineStr">
        <is>
          <t>JB-MT-5-DI01</t>
        </is>
      </c>
      <c r="H4625" s="12" t="inlineStr">
        <is>
          <t>MT-5: microturbine 1 MW (Capstone C1000 class)</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Surface</t>
        </is>
      </c>
      <c r="T4625" s="16" t="n">
        <v>198</v>
      </c>
      <c r="U4625" s="16" t="n">
        <v>37</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I-I-0126</t>
        </is>
      </c>
      <c r="B4626" s="12" t="inlineStr">
        <is>
          <t>I</t>
        </is>
      </c>
      <c r="C4626" s="12" t="inlineStr">
        <is>
          <t>Modular / portable power</t>
        </is>
      </c>
      <c r="D4626" s="12" t="inlineStr">
        <is>
          <t>Analog instrument to JB JB-MT-6-AI01: 6 x 1 pr (field cables)</t>
        </is>
      </c>
      <c r="E4626" s="12" t="inlineStr">
        <is>
          <t>MT-6</t>
        </is>
      </c>
      <c r="F4626" s="12" t="inlineStr">
        <is>
          <t>MT-6: microturbine 1 MW (Capstone C1000 class)</t>
        </is>
      </c>
      <c r="G4626" s="12" t="inlineStr">
        <is>
          <t>JB-MT-6-AI01</t>
        </is>
      </c>
      <c r="H4626" s="12" t="inlineStr">
        <is>
          <t>MT-6: microturbine 1 MW (Capstone C1000 class)</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6</v>
      </c>
      <c r="O4626" s="12" t="n">
        <v>1</v>
      </c>
      <c r="P4626" s="12" t="n"/>
      <c r="Q4626" s="12" t="n"/>
      <c r="R4626" s="12" t="n"/>
      <c r="S4626" s="12" t="inlineStr">
        <is>
          <t>Tray / conduit</t>
        </is>
      </c>
      <c r="T4626" s="16" t="n">
        <v>47</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I-I-0127</t>
        </is>
      </c>
      <c r="B4627" s="12" t="inlineStr">
        <is>
          <t>I</t>
        </is>
      </c>
      <c r="C4627" s="12" t="inlineStr">
        <is>
          <t>Modular / portable power</t>
        </is>
      </c>
      <c r="D4627" s="12" t="inlineStr">
        <is>
          <t>Home run JB-MT-6-AI01 to the control / marshalling room</t>
        </is>
      </c>
      <c r="E4627" s="12" t="inlineStr">
        <is>
          <t>PAD-EH</t>
        </is>
      </c>
      <c r="F4627" s="12" t="inlineStr">
        <is>
          <t>PAD-EH 13.8 kV switchgear e-house</t>
        </is>
      </c>
      <c r="G4627" s="12" t="inlineStr">
        <is>
          <t>JB-MT-6-AI01</t>
        </is>
      </c>
      <c r="H4627" s="12" t="inlineStr">
        <is>
          <t>MT-6: microturbine 1 MW (Capstone C1000 class)</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Surface</t>
        </is>
      </c>
      <c r="T4627" s="16" t="n">
        <v>67</v>
      </c>
      <c r="U4627" s="16" t="n">
        <v>90</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I-I-0128</t>
        </is>
      </c>
      <c r="B4628" s="12" t="inlineStr">
        <is>
          <t>I</t>
        </is>
      </c>
      <c r="C4628" s="12" t="inlineStr">
        <is>
          <t>Modular / portable power</t>
        </is>
      </c>
      <c r="D4628" s="12" t="inlineStr">
        <is>
          <t>Discrete device to JB JB-MT-6-DI01: 6 x 1 pr (field cables)</t>
        </is>
      </c>
      <c r="E4628" s="12" t="inlineStr">
        <is>
          <t>MT-6</t>
        </is>
      </c>
      <c r="F4628" s="12" t="inlineStr">
        <is>
          <t>MT-6: microturbine 1 MW (Capstone C1000 class)</t>
        </is>
      </c>
      <c r="G4628" s="12" t="inlineStr">
        <is>
          <t>JB-MT-6-DI01</t>
        </is>
      </c>
      <c r="H4628" s="12" t="inlineStr">
        <is>
          <t>MT-6: microturbine 1 MW (Capstone C1000 class)</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6</v>
      </c>
      <c r="O4628" s="12" t="n">
        <v>1</v>
      </c>
      <c r="P4628" s="12" t="n"/>
      <c r="Q4628" s="12" t="n"/>
      <c r="R4628" s="12" t="n"/>
      <c r="S4628" s="12" t="inlineStr">
        <is>
          <t>Tray / conduit</t>
        </is>
      </c>
      <c r="T4628" s="16" t="n">
        <v>47</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I-I-0129</t>
        </is>
      </c>
      <c r="B4629" s="12" t="inlineStr">
        <is>
          <t>I</t>
        </is>
      </c>
      <c r="C4629" s="12" t="inlineStr">
        <is>
          <t>Modular / portable power</t>
        </is>
      </c>
      <c r="D4629" s="12" t="inlineStr">
        <is>
          <t>Home run JB-MT-6-DI01 to the control / marshalling room</t>
        </is>
      </c>
      <c r="E4629" s="12" t="inlineStr">
        <is>
          <t>PAD-EH</t>
        </is>
      </c>
      <c r="F4629" s="12" t="inlineStr">
        <is>
          <t>PAD-EH 13.8 kV switchgear e-house</t>
        </is>
      </c>
      <c r="G4629" s="12" t="inlineStr">
        <is>
          <t>JB-MT-6-DI01</t>
        </is>
      </c>
      <c r="H4629" s="12" t="inlineStr">
        <is>
          <t>MT-6: microturbine 1 MW (Capstone C1000 class)</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Surface</t>
        </is>
      </c>
      <c r="T4629" s="16" t="n">
        <v>67</v>
      </c>
      <c r="U4629" s="16" t="n">
        <v>90</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I-I-0130</t>
        </is>
      </c>
      <c r="B4630" s="12" t="inlineStr">
        <is>
          <t>I</t>
        </is>
      </c>
      <c r="C4630" s="12" t="inlineStr">
        <is>
          <t>Modular / portable power</t>
        </is>
      </c>
      <c r="D4630" s="12" t="inlineStr">
        <is>
          <t>Analog instrument to JB JB-RICE 1 SCR + oxida-AI01: 10 x 1 pr (field cables)</t>
        </is>
      </c>
      <c r="E4630" s="12" t="inlineStr"/>
      <c r="F4630" s="12" t="inlineStr">
        <is>
          <t>RICE 1 SCR + oxidation catalyst and stack</t>
        </is>
      </c>
      <c r="G4630" s="12" t="inlineStr">
        <is>
          <t>JB-RICE 1 SCR + oxida-AI01</t>
        </is>
      </c>
      <c r="H4630" s="12" t="inlineStr">
        <is>
          <t>RICE 1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I-I-0131</t>
        </is>
      </c>
      <c r="B4631" s="12" t="inlineStr">
        <is>
          <t>I</t>
        </is>
      </c>
      <c r="C4631" s="12" t="inlineStr">
        <is>
          <t>Modular / portable power</t>
        </is>
      </c>
      <c r="D4631" s="12" t="inlineStr">
        <is>
          <t>Home run JB-RICE 1 SCR + oxida-AI01 to the control / marshalling room</t>
        </is>
      </c>
      <c r="E4631" s="12" t="inlineStr"/>
      <c r="F4631" s="12" t="inlineStr">
        <is>
          <t>PCM: power control module</t>
        </is>
      </c>
      <c r="G4631" s="12" t="inlineStr">
        <is>
          <t>JB-RICE 1 SCR + oxida-AI01</t>
        </is>
      </c>
      <c r="H4631" s="12" t="inlineStr">
        <is>
          <t>RICE 1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160</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I-I-0132</t>
        </is>
      </c>
      <c r="B4632" s="12" t="inlineStr">
        <is>
          <t>I</t>
        </is>
      </c>
      <c r="C4632" s="12" t="inlineStr">
        <is>
          <t>Modular / portable power</t>
        </is>
      </c>
      <c r="D4632" s="12" t="inlineStr">
        <is>
          <t>Discrete device to JB JB-RICE 1 SCR + oxida-DI01: 6 x 1 pr (field cables)</t>
        </is>
      </c>
      <c r="E4632" s="12" t="inlineStr"/>
      <c r="F4632" s="12" t="inlineStr">
        <is>
          <t>RICE 1 SCR + oxidation catalyst and stack</t>
        </is>
      </c>
      <c r="G4632" s="12" t="inlineStr">
        <is>
          <t>JB-RICE 1 SCR + oxida-DI01</t>
        </is>
      </c>
      <c r="H4632" s="12" t="inlineStr">
        <is>
          <t>RICE 1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I-I-0133</t>
        </is>
      </c>
      <c r="B4633" s="12" t="inlineStr">
        <is>
          <t>I</t>
        </is>
      </c>
      <c r="C4633" s="12" t="inlineStr">
        <is>
          <t>Modular / portable power</t>
        </is>
      </c>
      <c r="D4633" s="12" t="inlineStr">
        <is>
          <t>Home run JB-RICE 1 SCR + oxida-DI01 to the control / marshalling room</t>
        </is>
      </c>
      <c r="E4633" s="12" t="inlineStr"/>
      <c r="F4633" s="12" t="inlineStr">
        <is>
          <t>PCM: power control module</t>
        </is>
      </c>
      <c r="G4633" s="12" t="inlineStr">
        <is>
          <t>JB-RICE 1 SCR + oxida-DI01</t>
        </is>
      </c>
      <c r="H4633" s="12" t="inlineStr">
        <is>
          <t>RICE 1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160</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I-I-0134</t>
        </is>
      </c>
      <c r="B4634" s="12" t="inlineStr">
        <is>
          <t>I</t>
        </is>
      </c>
      <c r="C4634" s="12" t="inlineStr">
        <is>
          <t>Modular / portable power</t>
        </is>
      </c>
      <c r="D4634" s="12" t="inlineStr">
        <is>
          <t>Analog instrument to JB JB-RICE 1 radiators (-AI01: 5 x 1 pr (field cables)</t>
        </is>
      </c>
      <c r="E4634" s="12" t="inlineStr"/>
      <c r="F4634" s="12" t="inlineStr">
        <is>
          <t>RICE 1 radiators (5)</t>
        </is>
      </c>
      <c r="G4634" s="12" t="inlineStr">
        <is>
          <t>JB-RICE 1 radiators (-AI01</t>
        </is>
      </c>
      <c r="H4634" s="12" t="inlineStr">
        <is>
          <t>RICE 1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I-I-0135</t>
        </is>
      </c>
      <c r="B4635" s="12" t="inlineStr">
        <is>
          <t>I</t>
        </is>
      </c>
      <c r="C4635" s="12" t="inlineStr">
        <is>
          <t>Modular / portable power</t>
        </is>
      </c>
      <c r="D4635" s="12" t="inlineStr">
        <is>
          <t>Home run JB-RICE 1 radiators (-AI01 to the control / marshalling room</t>
        </is>
      </c>
      <c r="E4635" s="12" t="inlineStr"/>
      <c r="F4635" s="12" t="inlineStr">
        <is>
          <t>PCM: power control module</t>
        </is>
      </c>
      <c r="G4635" s="12" t="inlineStr">
        <is>
          <t>JB-RICE 1 radiators (-AI01</t>
        </is>
      </c>
      <c r="H4635" s="12" t="inlineStr">
        <is>
          <t>RICE 1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745</v>
      </c>
      <c r="U4635" s="16" t="n">
        <v>139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I-I-0136</t>
        </is>
      </c>
      <c r="B4636" s="12" t="inlineStr">
        <is>
          <t>I</t>
        </is>
      </c>
      <c r="C4636" s="12" t="inlineStr">
        <is>
          <t>Modular / portable power</t>
        </is>
      </c>
      <c r="D4636" s="12" t="inlineStr">
        <is>
          <t>Discrete device to JB JB-RICE 1 radiators (-DI01: 10 x 1 pr (field cables)</t>
        </is>
      </c>
      <c r="E4636" s="12" t="inlineStr"/>
      <c r="F4636" s="12" t="inlineStr">
        <is>
          <t>RICE 1 radiators (5)</t>
        </is>
      </c>
      <c r="G4636" s="12" t="inlineStr">
        <is>
          <t>JB-RICE 1 radiators (-DI01</t>
        </is>
      </c>
      <c r="H4636" s="12" t="inlineStr">
        <is>
          <t>RICE 1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I-I-0137</t>
        </is>
      </c>
      <c r="B4637" s="12" t="inlineStr">
        <is>
          <t>I</t>
        </is>
      </c>
      <c r="C4637" s="12" t="inlineStr">
        <is>
          <t>Modular / portable power</t>
        </is>
      </c>
      <c r="D4637" s="12" t="inlineStr">
        <is>
          <t>Home run JB-RICE 1 radiators (-DI01 to the control / marshalling room</t>
        </is>
      </c>
      <c r="E4637" s="12" t="inlineStr"/>
      <c r="F4637" s="12" t="inlineStr">
        <is>
          <t>PCM: power control module</t>
        </is>
      </c>
      <c r="G4637" s="12" t="inlineStr">
        <is>
          <t>JB-RICE 1 radiators (-DI01</t>
        </is>
      </c>
      <c r="H4637" s="12" t="inlineStr">
        <is>
          <t>RICE 1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745</v>
      </c>
      <c r="U4637" s="16" t="n">
        <v>139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I-I-0138</t>
        </is>
      </c>
      <c r="B4638" s="12" t="inlineStr">
        <is>
          <t>I</t>
        </is>
      </c>
      <c r="C4638" s="12" t="inlineStr">
        <is>
          <t>Modular / portable power</t>
        </is>
      </c>
      <c r="D4638" s="12" t="inlineStr">
        <is>
          <t>Analog instrument to JB JB-RICE 2 SCR + oxida-AI01: 10 x 1 pr (field cables)</t>
        </is>
      </c>
      <c r="E4638" s="12" t="inlineStr"/>
      <c r="F4638" s="12" t="inlineStr">
        <is>
          <t>RICE 2 SCR + oxidation catalyst and stack</t>
        </is>
      </c>
      <c r="G4638" s="12" t="inlineStr">
        <is>
          <t>JB-RICE 2 SCR + oxida-AI01</t>
        </is>
      </c>
      <c r="H4638" s="12" t="inlineStr">
        <is>
          <t>RICE 2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I-I-0139</t>
        </is>
      </c>
      <c r="B4639" s="12" t="inlineStr">
        <is>
          <t>I</t>
        </is>
      </c>
      <c r="C4639" s="12" t="inlineStr">
        <is>
          <t>Modular / portable power</t>
        </is>
      </c>
      <c r="D4639" s="12" t="inlineStr">
        <is>
          <t>Home run JB-RICE 2 SCR + oxida-AI01 to the control / marshalling room</t>
        </is>
      </c>
      <c r="E4639" s="12" t="inlineStr"/>
      <c r="F4639" s="12" t="inlineStr">
        <is>
          <t>PCM: power control module</t>
        </is>
      </c>
      <c r="G4639" s="12" t="inlineStr">
        <is>
          <t>JB-RICE 2 SCR + oxida-AI01</t>
        </is>
      </c>
      <c r="H4639" s="12" t="inlineStr">
        <is>
          <t>RICE 2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132</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I-I-0140</t>
        </is>
      </c>
      <c r="B4640" s="12" t="inlineStr">
        <is>
          <t>I</t>
        </is>
      </c>
      <c r="C4640" s="12" t="inlineStr">
        <is>
          <t>Modular / portable power</t>
        </is>
      </c>
      <c r="D4640" s="12" t="inlineStr">
        <is>
          <t>Discrete device to JB JB-RICE 2 SCR + oxida-DI01: 6 x 1 pr (field cables)</t>
        </is>
      </c>
      <c r="E4640" s="12" t="inlineStr"/>
      <c r="F4640" s="12" t="inlineStr">
        <is>
          <t>RICE 2 SCR + oxidation catalyst and stack</t>
        </is>
      </c>
      <c r="G4640" s="12" t="inlineStr">
        <is>
          <t>JB-RICE 2 SCR + oxida-DI01</t>
        </is>
      </c>
      <c r="H4640" s="12" t="inlineStr">
        <is>
          <t>RICE 2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I-I-0141</t>
        </is>
      </c>
      <c r="B4641" s="12" t="inlineStr">
        <is>
          <t>I</t>
        </is>
      </c>
      <c r="C4641" s="12" t="inlineStr">
        <is>
          <t>Modular / portable power</t>
        </is>
      </c>
      <c r="D4641" s="12" t="inlineStr">
        <is>
          <t>Home run JB-RICE 2 SCR + oxida-DI01 to the control / marshalling room</t>
        </is>
      </c>
      <c r="E4641" s="12" t="inlineStr"/>
      <c r="F4641" s="12" t="inlineStr">
        <is>
          <t>PCM: power control module</t>
        </is>
      </c>
      <c r="G4641" s="12" t="inlineStr">
        <is>
          <t>JB-RICE 2 SCR + oxida-DI01</t>
        </is>
      </c>
      <c r="H4641" s="12" t="inlineStr">
        <is>
          <t>RICE 2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132</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I-I-0142</t>
        </is>
      </c>
      <c r="B4642" s="12" t="inlineStr">
        <is>
          <t>I</t>
        </is>
      </c>
      <c r="C4642" s="12" t="inlineStr">
        <is>
          <t>Modular / portable power</t>
        </is>
      </c>
      <c r="D4642" s="12" t="inlineStr">
        <is>
          <t>Analog instrument to JB JB-RICE 2 radiators (-AI01: 5 x 1 pr (field cables)</t>
        </is>
      </c>
      <c r="E4642" s="12" t="inlineStr"/>
      <c r="F4642" s="12" t="inlineStr">
        <is>
          <t>RICE 2 radiators (5)</t>
        </is>
      </c>
      <c r="G4642" s="12" t="inlineStr">
        <is>
          <t>JB-RICE 2 radiators (-AI01</t>
        </is>
      </c>
      <c r="H4642" s="12" t="inlineStr">
        <is>
          <t>RICE 2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I-I-0143</t>
        </is>
      </c>
      <c r="B4643" s="12" t="inlineStr">
        <is>
          <t>I</t>
        </is>
      </c>
      <c r="C4643" s="12" t="inlineStr">
        <is>
          <t>Modular / portable power</t>
        </is>
      </c>
      <c r="D4643" s="12" t="inlineStr">
        <is>
          <t>Home run JB-RICE 2 radiators (-AI01 to the control / marshalling room</t>
        </is>
      </c>
      <c r="E4643" s="12" t="inlineStr"/>
      <c r="F4643" s="12" t="inlineStr">
        <is>
          <t>PCM: power control module</t>
        </is>
      </c>
      <c r="G4643" s="12" t="inlineStr">
        <is>
          <t>JB-RICE 2 radiators (-AI01</t>
        </is>
      </c>
      <c r="H4643" s="12" t="inlineStr">
        <is>
          <t>RICE 2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192</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I-I-0144</t>
        </is>
      </c>
      <c r="B4644" s="12" t="inlineStr">
        <is>
          <t>I</t>
        </is>
      </c>
      <c r="C4644" s="12" t="inlineStr">
        <is>
          <t>Modular / portable power</t>
        </is>
      </c>
      <c r="D4644" s="12" t="inlineStr">
        <is>
          <t>Discrete device to JB JB-RICE 2 radiators (-DI01: 10 x 1 pr (field cables)</t>
        </is>
      </c>
      <c r="E4644" s="12" t="inlineStr"/>
      <c r="F4644" s="12" t="inlineStr">
        <is>
          <t>RICE 2 radiators (5)</t>
        </is>
      </c>
      <c r="G4644" s="12" t="inlineStr">
        <is>
          <t>JB-RICE 2 radiators (-DI01</t>
        </is>
      </c>
      <c r="H4644" s="12" t="inlineStr">
        <is>
          <t>RICE 2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I-I-0145</t>
        </is>
      </c>
      <c r="B4645" s="12" t="inlineStr">
        <is>
          <t>I</t>
        </is>
      </c>
      <c r="C4645" s="12" t="inlineStr">
        <is>
          <t>Modular / portable power</t>
        </is>
      </c>
      <c r="D4645" s="12" t="inlineStr">
        <is>
          <t>Home run JB-RICE 2 radiators (-DI01 to the control / marshalling room</t>
        </is>
      </c>
      <c r="E4645" s="12" t="inlineStr"/>
      <c r="F4645" s="12" t="inlineStr">
        <is>
          <t>PCM: power control module</t>
        </is>
      </c>
      <c r="G4645" s="12" t="inlineStr">
        <is>
          <t>JB-RICE 2 radiators (-DI01</t>
        </is>
      </c>
      <c r="H4645" s="12" t="inlineStr">
        <is>
          <t>RICE 2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192</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I-I-0146</t>
        </is>
      </c>
      <c r="B4646" s="12" t="inlineStr">
        <is>
          <t>I</t>
        </is>
      </c>
      <c r="C4646" s="12" t="inlineStr">
        <is>
          <t>Modular / portable power</t>
        </is>
      </c>
      <c r="D4646" s="12" t="inlineStr">
        <is>
          <t>Analog instrument to JB JB-RICE 3 SCR + oxida-AI01: 10 x 1 pr (field cables)</t>
        </is>
      </c>
      <c r="E4646" s="12" t="inlineStr"/>
      <c r="F4646" s="12" t="inlineStr">
        <is>
          <t>RICE 3 SCR + oxidation catalyst and stack</t>
        </is>
      </c>
      <c r="G4646" s="12" t="inlineStr">
        <is>
          <t>JB-RICE 3 SCR + oxida-AI01</t>
        </is>
      </c>
      <c r="H4646" s="12" t="inlineStr">
        <is>
          <t>RICE 3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I-I-0147</t>
        </is>
      </c>
      <c r="B4647" s="12" t="inlineStr">
        <is>
          <t>I</t>
        </is>
      </c>
      <c r="C4647" s="12" t="inlineStr">
        <is>
          <t>Modular / portable power</t>
        </is>
      </c>
      <c r="D4647" s="12" t="inlineStr">
        <is>
          <t>Home run JB-RICE 3 SCR + oxida-AI01 to the control / marshalling room</t>
        </is>
      </c>
      <c r="E4647" s="12" t="inlineStr"/>
      <c r="F4647" s="12" t="inlineStr">
        <is>
          <t>PCM: power control module</t>
        </is>
      </c>
      <c r="G4647" s="12" t="inlineStr">
        <is>
          <t>JB-RICE 3 SCR + oxida-AI01</t>
        </is>
      </c>
      <c r="H4647" s="12" t="inlineStr">
        <is>
          <t>RICE 3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104</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I-I-0148</t>
        </is>
      </c>
      <c r="B4648" s="12" t="inlineStr">
        <is>
          <t>I</t>
        </is>
      </c>
      <c r="C4648" s="12" t="inlineStr">
        <is>
          <t>Modular / portable power</t>
        </is>
      </c>
      <c r="D4648" s="12" t="inlineStr">
        <is>
          <t>Discrete device to JB JB-RICE 3 SCR + oxida-DI01: 6 x 1 pr (field cables)</t>
        </is>
      </c>
      <c r="E4648" s="12" t="inlineStr"/>
      <c r="F4648" s="12" t="inlineStr">
        <is>
          <t>RICE 3 SCR + oxidation catalyst and stack</t>
        </is>
      </c>
      <c r="G4648" s="12" t="inlineStr">
        <is>
          <t>JB-RICE 3 SCR + oxida-DI01</t>
        </is>
      </c>
      <c r="H4648" s="12" t="inlineStr">
        <is>
          <t>RICE 3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I-I-0149</t>
        </is>
      </c>
      <c r="B4649" s="12" t="inlineStr">
        <is>
          <t>I</t>
        </is>
      </c>
      <c r="C4649" s="12" t="inlineStr">
        <is>
          <t>Modular / portable power</t>
        </is>
      </c>
      <c r="D4649" s="12" t="inlineStr">
        <is>
          <t>Home run JB-RICE 3 SCR + oxida-DI01 to the control / marshalling room</t>
        </is>
      </c>
      <c r="E4649" s="12" t="inlineStr"/>
      <c r="F4649" s="12" t="inlineStr">
        <is>
          <t>PCM: power control module</t>
        </is>
      </c>
      <c r="G4649" s="12" t="inlineStr">
        <is>
          <t>JB-RICE 3 SCR + oxida-DI01</t>
        </is>
      </c>
      <c r="H4649" s="12" t="inlineStr">
        <is>
          <t>RICE 3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104</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I-I-0150</t>
        </is>
      </c>
      <c r="B4650" s="12" t="inlineStr">
        <is>
          <t>I</t>
        </is>
      </c>
      <c r="C4650" s="12" t="inlineStr">
        <is>
          <t>Modular / portable power</t>
        </is>
      </c>
      <c r="D4650" s="12" t="inlineStr">
        <is>
          <t>Analog instrument to JB JB-RICE 3 radiators (-AI01: 5 x 1 pr (field cables)</t>
        </is>
      </c>
      <c r="E4650" s="12" t="inlineStr"/>
      <c r="F4650" s="12" t="inlineStr">
        <is>
          <t>RICE 3 radiators (5)</t>
        </is>
      </c>
      <c r="G4650" s="12" t="inlineStr">
        <is>
          <t>JB-RICE 3 radiators (-AI01</t>
        </is>
      </c>
      <c r="H4650" s="12" t="inlineStr">
        <is>
          <t>RICE 3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I-I-0151</t>
        </is>
      </c>
      <c r="B4651" s="12" t="inlineStr">
        <is>
          <t>I</t>
        </is>
      </c>
      <c r="C4651" s="12" t="inlineStr">
        <is>
          <t>Modular / portable power</t>
        </is>
      </c>
      <c r="D4651" s="12" t="inlineStr">
        <is>
          <t>Home run JB-RICE 3 radiators (-AI01 to the control / marshalling room</t>
        </is>
      </c>
      <c r="E4651" s="12" t="inlineStr"/>
      <c r="F4651" s="12" t="inlineStr">
        <is>
          <t>PCM: power control module</t>
        </is>
      </c>
      <c r="G4651" s="12" t="inlineStr">
        <is>
          <t>JB-RICE 3 radiators (-AI01</t>
        </is>
      </c>
      <c r="H4651" s="12" t="inlineStr">
        <is>
          <t>RICE 3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40</v>
      </c>
      <c r="U4651" s="16" t="n">
        <v>240</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I-I-0152</t>
        </is>
      </c>
      <c r="B4652" s="12" t="inlineStr">
        <is>
          <t>I</t>
        </is>
      </c>
      <c r="C4652" s="12" t="inlineStr">
        <is>
          <t>Modular / portable power</t>
        </is>
      </c>
      <c r="D4652" s="12" t="inlineStr">
        <is>
          <t>Discrete device to JB JB-RICE 3 radiators (-DI01: 10 x 1 pr (field cables)</t>
        </is>
      </c>
      <c r="E4652" s="12" t="inlineStr"/>
      <c r="F4652" s="12" t="inlineStr">
        <is>
          <t>RICE 3 radiators (5)</t>
        </is>
      </c>
      <c r="G4652" s="12" t="inlineStr">
        <is>
          <t>JB-RICE 3 radiators (-DI01</t>
        </is>
      </c>
      <c r="H4652" s="12" t="inlineStr">
        <is>
          <t>RICE 3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I-I-0153</t>
        </is>
      </c>
      <c r="B4653" s="12" t="inlineStr">
        <is>
          <t>I</t>
        </is>
      </c>
      <c r="C4653" s="12" t="inlineStr">
        <is>
          <t>Modular / portable power</t>
        </is>
      </c>
      <c r="D4653" s="12" t="inlineStr">
        <is>
          <t>Home run JB-RICE 3 radiators (-DI01 to the control / marshalling room</t>
        </is>
      </c>
      <c r="E4653" s="12" t="inlineStr"/>
      <c r="F4653" s="12" t="inlineStr">
        <is>
          <t>PCM: power control module</t>
        </is>
      </c>
      <c r="G4653" s="12" t="inlineStr">
        <is>
          <t>JB-RICE 3 radiators (-DI01</t>
        </is>
      </c>
      <c r="H4653" s="12" t="inlineStr">
        <is>
          <t>RICE 3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40</v>
      </c>
      <c r="U4653" s="16" t="n">
        <v>240</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I-I-0154</t>
        </is>
      </c>
      <c r="B4654" s="12" t="inlineStr">
        <is>
          <t>I</t>
        </is>
      </c>
      <c r="C4654" s="12" t="inlineStr">
        <is>
          <t>Modular / portable power</t>
        </is>
      </c>
      <c r="D4654" s="12" t="inlineStr">
        <is>
          <t>Analog instrument to JB JB-RICE 4 SCR + oxida-AI01: 10 x 1 pr (field cables)</t>
        </is>
      </c>
      <c r="E4654" s="12" t="inlineStr"/>
      <c r="F4654" s="12" t="inlineStr">
        <is>
          <t>RICE 4 SCR + oxidation catalyst and stack</t>
        </is>
      </c>
      <c r="G4654" s="12" t="inlineStr">
        <is>
          <t>JB-RICE 4 SCR + oxida-AI01</t>
        </is>
      </c>
      <c r="H4654" s="12" t="inlineStr">
        <is>
          <t>RICE 4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I-I-0155</t>
        </is>
      </c>
      <c r="B4655" s="12" t="inlineStr">
        <is>
          <t>I</t>
        </is>
      </c>
      <c r="C4655" s="12" t="inlineStr">
        <is>
          <t>Modular / portable power</t>
        </is>
      </c>
      <c r="D4655" s="12" t="inlineStr">
        <is>
          <t>Home run JB-RICE 4 SCR + oxida-AI01 to the control / marshalling room</t>
        </is>
      </c>
      <c r="E4655" s="12" t="inlineStr"/>
      <c r="F4655" s="12" t="inlineStr">
        <is>
          <t>PCM: power control module</t>
        </is>
      </c>
      <c r="G4655" s="12" t="inlineStr">
        <is>
          <t>JB-RICE 4 SCR + oxida-AI01</t>
        </is>
      </c>
      <c r="H4655" s="12" t="inlineStr">
        <is>
          <t>RICE 4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470</v>
      </c>
      <c r="U4655" s="16" t="n">
        <v>76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I-I-0156</t>
        </is>
      </c>
      <c r="B4656" s="12" t="inlineStr">
        <is>
          <t>I</t>
        </is>
      </c>
      <c r="C4656" s="12" t="inlineStr">
        <is>
          <t>Modular / portable power</t>
        </is>
      </c>
      <c r="D4656" s="12" t="inlineStr">
        <is>
          <t>Discrete device to JB JB-RICE 4 SCR + oxida-DI01: 6 x 1 pr (field cables)</t>
        </is>
      </c>
      <c r="E4656" s="12" t="inlineStr"/>
      <c r="F4656" s="12" t="inlineStr">
        <is>
          <t>RICE 4 SCR + oxidation catalyst and stack</t>
        </is>
      </c>
      <c r="G4656" s="12" t="inlineStr">
        <is>
          <t>JB-RICE 4 SCR + oxida-DI01</t>
        </is>
      </c>
      <c r="H4656" s="12" t="inlineStr">
        <is>
          <t>RICE 4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I-I-0157</t>
        </is>
      </c>
      <c r="B4657" s="12" t="inlineStr">
        <is>
          <t>I</t>
        </is>
      </c>
      <c r="C4657" s="12" t="inlineStr">
        <is>
          <t>Modular / portable power</t>
        </is>
      </c>
      <c r="D4657" s="12" t="inlineStr">
        <is>
          <t>Home run JB-RICE 4 SCR + oxida-DI01 to the control / marshalling room</t>
        </is>
      </c>
      <c r="E4657" s="12" t="inlineStr"/>
      <c r="F4657" s="12" t="inlineStr">
        <is>
          <t>PCM: power control module</t>
        </is>
      </c>
      <c r="G4657" s="12" t="inlineStr">
        <is>
          <t>JB-RICE 4 SCR + oxida-DI01</t>
        </is>
      </c>
      <c r="H4657" s="12" t="inlineStr">
        <is>
          <t>RICE 4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470</v>
      </c>
      <c r="U4657" s="16" t="n">
        <v>76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I-I-0158</t>
        </is>
      </c>
      <c r="B4658" s="12" t="inlineStr">
        <is>
          <t>I</t>
        </is>
      </c>
      <c r="C4658" s="12" t="inlineStr">
        <is>
          <t>Modular / portable power</t>
        </is>
      </c>
      <c r="D4658" s="12" t="inlineStr">
        <is>
          <t>Analog instrument to JB JB-RICE 4 radiators (-AI01: 5 x 1 pr (field cables)</t>
        </is>
      </c>
      <c r="E4658" s="12" t="inlineStr"/>
      <c r="F4658" s="12" t="inlineStr">
        <is>
          <t>RICE 4 radiators (5)</t>
        </is>
      </c>
      <c r="G4658" s="12" t="inlineStr">
        <is>
          <t>JB-RICE 4 radiators (-AI01</t>
        </is>
      </c>
      <c r="H4658" s="12" t="inlineStr">
        <is>
          <t>RICE 4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I-I-0159</t>
        </is>
      </c>
      <c r="B4659" s="12" t="inlineStr">
        <is>
          <t>I</t>
        </is>
      </c>
      <c r="C4659" s="12" t="inlineStr">
        <is>
          <t>Modular / portable power</t>
        </is>
      </c>
      <c r="D4659" s="12" t="inlineStr">
        <is>
          <t>Home run JB-RICE 4 radiators (-AI01 to the control / marshalling room</t>
        </is>
      </c>
      <c r="E4659" s="12" t="inlineStr"/>
      <c r="F4659" s="12" t="inlineStr">
        <is>
          <t>PCM: power control module</t>
        </is>
      </c>
      <c r="G4659" s="12" t="inlineStr">
        <is>
          <t>JB-RICE 4 radiators (-AI01</t>
        </is>
      </c>
      <c r="H4659" s="12" t="inlineStr">
        <is>
          <t>RICE 4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206</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I-I-0160</t>
        </is>
      </c>
      <c r="B4660" s="12" t="inlineStr">
        <is>
          <t>I</t>
        </is>
      </c>
      <c r="C4660" s="12" t="inlineStr">
        <is>
          <t>Modular / portable power</t>
        </is>
      </c>
      <c r="D4660" s="12" t="inlineStr">
        <is>
          <t>Discrete device to JB JB-RICE 4 radiators (-DI01: 10 x 1 pr (field cables)</t>
        </is>
      </c>
      <c r="E4660" s="12" t="inlineStr"/>
      <c r="F4660" s="12" t="inlineStr">
        <is>
          <t>RICE 4 radiators (5)</t>
        </is>
      </c>
      <c r="G4660" s="12" t="inlineStr">
        <is>
          <t>JB-RICE 4 radiators (-DI01</t>
        </is>
      </c>
      <c r="H4660" s="12" t="inlineStr">
        <is>
          <t>RICE 4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I-I-0161</t>
        </is>
      </c>
      <c r="B4661" s="12" t="inlineStr">
        <is>
          <t>I</t>
        </is>
      </c>
      <c r="C4661" s="12" t="inlineStr">
        <is>
          <t>Modular / portable power</t>
        </is>
      </c>
      <c r="D4661" s="12" t="inlineStr">
        <is>
          <t>Home run JB-RICE 4 radiators (-DI01 to the control / marshalling room</t>
        </is>
      </c>
      <c r="E4661" s="12" t="inlineStr"/>
      <c r="F4661" s="12" t="inlineStr">
        <is>
          <t>PCM: power control module</t>
        </is>
      </c>
      <c r="G4661" s="12" t="inlineStr">
        <is>
          <t>JB-RICE 4 radiators (-DI01</t>
        </is>
      </c>
      <c r="H4661" s="12" t="inlineStr">
        <is>
          <t>RICE 4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206</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I-I-0162</t>
        </is>
      </c>
      <c r="B4662" s="12" t="inlineStr">
        <is>
          <t>I</t>
        </is>
      </c>
      <c r="C4662" s="12" t="inlineStr">
        <is>
          <t>Modular / portable power</t>
        </is>
      </c>
      <c r="D4662" s="12" t="inlineStr">
        <is>
          <t>Analog instrument to JB JB-RICE 5 SCR + oxida-AI01: 10 x 1 pr (field cables)</t>
        </is>
      </c>
      <c r="E4662" s="12" t="inlineStr"/>
      <c r="F4662" s="12" t="inlineStr">
        <is>
          <t>RICE 5 SCR + oxidation catalyst and stack</t>
        </is>
      </c>
      <c r="G4662" s="12" t="inlineStr">
        <is>
          <t>JB-RICE 5 SCR + oxida-AI01</t>
        </is>
      </c>
      <c r="H4662" s="12" t="inlineStr">
        <is>
          <t>RICE 5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I-I-0163</t>
        </is>
      </c>
      <c r="B4663" s="12" t="inlineStr">
        <is>
          <t>I</t>
        </is>
      </c>
      <c r="C4663" s="12" t="inlineStr">
        <is>
          <t>Modular / portable power</t>
        </is>
      </c>
      <c r="D4663" s="12" t="inlineStr">
        <is>
          <t>Home run JB-RICE 5 SCR + oxida-AI01 to the control / marshalling room</t>
        </is>
      </c>
      <c r="E4663" s="12" t="inlineStr"/>
      <c r="F4663" s="12" t="inlineStr">
        <is>
          <t>PCM: power control module</t>
        </is>
      </c>
      <c r="G4663" s="12" t="inlineStr">
        <is>
          <t>JB-RICE 5 SCR + oxida-AI01</t>
        </is>
      </c>
      <c r="H4663" s="12" t="inlineStr">
        <is>
          <t>RICE 5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196</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I-I-0164</t>
        </is>
      </c>
      <c r="B4664" s="12" t="inlineStr">
        <is>
          <t>I</t>
        </is>
      </c>
      <c r="C4664" s="12" t="inlineStr">
        <is>
          <t>Modular / portable power</t>
        </is>
      </c>
      <c r="D4664" s="12" t="inlineStr">
        <is>
          <t>Discrete device to JB JB-RICE 5 SCR + oxida-DI01: 6 x 1 pr (field cables)</t>
        </is>
      </c>
      <c r="E4664" s="12" t="inlineStr"/>
      <c r="F4664" s="12" t="inlineStr">
        <is>
          <t>RICE 5 SCR + oxidation catalyst and stack</t>
        </is>
      </c>
      <c r="G4664" s="12" t="inlineStr">
        <is>
          <t>JB-RICE 5 SCR + oxida-DI01</t>
        </is>
      </c>
      <c r="H4664" s="12" t="inlineStr">
        <is>
          <t>RICE 5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I-I-0165</t>
        </is>
      </c>
      <c r="B4665" s="12" t="inlineStr">
        <is>
          <t>I</t>
        </is>
      </c>
      <c r="C4665" s="12" t="inlineStr">
        <is>
          <t>Modular / portable power</t>
        </is>
      </c>
      <c r="D4665" s="12" t="inlineStr">
        <is>
          <t>Home run JB-RICE 5 SCR + oxida-DI01 to the control / marshalling room</t>
        </is>
      </c>
      <c r="E4665" s="12" t="inlineStr"/>
      <c r="F4665" s="12" t="inlineStr">
        <is>
          <t>PCM: power control module</t>
        </is>
      </c>
      <c r="G4665" s="12" t="inlineStr">
        <is>
          <t>JB-RICE 5 SCR + oxida-DI01</t>
        </is>
      </c>
      <c r="H4665" s="12" t="inlineStr">
        <is>
          <t>RICE 5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196</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I-I-0166</t>
        </is>
      </c>
      <c r="B4666" s="12" t="inlineStr">
        <is>
          <t>I</t>
        </is>
      </c>
      <c r="C4666" s="12" t="inlineStr">
        <is>
          <t>Modular / portable power</t>
        </is>
      </c>
      <c r="D4666" s="12" t="inlineStr">
        <is>
          <t>Analog instrument to JB JB-RICE 5 radiators (-AI01: 5 x 1 pr (field cables)</t>
        </is>
      </c>
      <c r="E4666" s="12" t="inlineStr"/>
      <c r="F4666" s="12" t="inlineStr">
        <is>
          <t>RICE 5 radiators (5)</t>
        </is>
      </c>
      <c r="G4666" s="12" t="inlineStr">
        <is>
          <t>JB-RICE 5 radiators (-AI01</t>
        </is>
      </c>
      <c r="H4666" s="12" t="inlineStr">
        <is>
          <t>RICE 5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I-I-0167</t>
        </is>
      </c>
      <c r="B4667" s="12" t="inlineStr">
        <is>
          <t>I</t>
        </is>
      </c>
      <c r="C4667" s="12" t="inlineStr">
        <is>
          <t>Modular / portable power</t>
        </is>
      </c>
      <c r="D4667" s="12" t="inlineStr">
        <is>
          <t>Home run JB-RICE 5 radiators (-AI01 to the control / marshalling room</t>
        </is>
      </c>
      <c r="E4667" s="12" t="inlineStr"/>
      <c r="F4667" s="12" t="inlineStr">
        <is>
          <t>PCM: power control module</t>
        </is>
      </c>
      <c r="G4667" s="12" t="inlineStr">
        <is>
          <t>JB-RICE 5 radiators (-AI01</t>
        </is>
      </c>
      <c r="H4667" s="12" t="inlineStr">
        <is>
          <t>RICE 5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178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I-I-0168</t>
        </is>
      </c>
      <c r="B4668" s="12" t="inlineStr">
        <is>
          <t>I</t>
        </is>
      </c>
      <c r="C4668" s="12" t="inlineStr">
        <is>
          <t>Modular / portable power</t>
        </is>
      </c>
      <c r="D4668" s="12" t="inlineStr">
        <is>
          <t>Discrete device to JB JB-RICE 5 radiators (-DI01: 10 x 1 pr (field cables)</t>
        </is>
      </c>
      <c r="E4668" s="12" t="inlineStr"/>
      <c r="F4668" s="12" t="inlineStr">
        <is>
          <t>RICE 5 radiators (5)</t>
        </is>
      </c>
      <c r="G4668" s="12" t="inlineStr">
        <is>
          <t>JB-RICE 5 radiators (-DI01</t>
        </is>
      </c>
      <c r="H4668" s="12" t="inlineStr">
        <is>
          <t>RICE 5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I-I-0169</t>
        </is>
      </c>
      <c r="B4669" s="12" t="inlineStr">
        <is>
          <t>I</t>
        </is>
      </c>
      <c r="C4669" s="12" t="inlineStr">
        <is>
          <t>Modular / portable power</t>
        </is>
      </c>
      <c r="D4669" s="12" t="inlineStr">
        <is>
          <t>Home run JB-RICE 5 radiators (-DI01 to the control / marshalling room</t>
        </is>
      </c>
      <c r="E4669" s="12" t="inlineStr"/>
      <c r="F4669" s="12" t="inlineStr">
        <is>
          <t>PCM: power control module</t>
        </is>
      </c>
      <c r="G4669" s="12" t="inlineStr">
        <is>
          <t>JB-RICE 5 radiators (-DI01</t>
        </is>
      </c>
      <c r="H4669" s="12" t="inlineStr">
        <is>
          <t>RICE 5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178</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I-I-0170</t>
        </is>
      </c>
      <c r="B4670" s="12" t="inlineStr">
        <is>
          <t>I</t>
        </is>
      </c>
      <c r="C4670" s="12" t="inlineStr">
        <is>
          <t>Modular / portable power</t>
        </is>
      </c>
      <c r="D4670" s="12" t="inlineStr">
        <is>
          <t>Analog instrument to JB JB-RICE 6 SCR + oxida-AI01: 10 x 1 pr (field cables)</t>
        </is>
      </c>
      <c r="E4670" s="12" t="inlineStr"/>
      <c r="F4670" s="12" t="inlineStr">
        <is>
          <t>RICE 6 SCR + oxidation catalyst and stack</t>
        </is>
      </c>
      <c r="G4670" s="12" t="inlineStr">
        <is>
          <t>JB-RICE 6 SCR + oxida-AI01</t>
        </is>
      </c>
      <c r="H4670" s="12" t="inlineStr">
        <is>
          <t>RICE 6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I-I-0171</t>
        </is>
      </c>
      <c r="B4671" s="12" t="inlineStr">
        <is>
          <t>I</t>
        </is>
      </c>
      <c r="C4671" s="12" t="inlineStr">
        <is>
          <t>Modular / portable power</t>
        </is>
      </c>
      <c r="D4671" s="12" t="inlineStr">
        <is>
          <t>Home run JB-RICE 6 SCR + oxida-AI01 to the control / marshalling room</t>
        </is>
      </c>
      <c r="E4671" s="12" t="inlineStr"/>
      <c r="F4671" s="12" t="inlineStr">
        <is>
          <t>PCM: power control module</t>
        </is>
      </c>
      <c r="G4671" s="12" t="inlineStr">
        <is>
          <t>JB-RICE 6 SCR + oxida-AI01</t>
        </is>
      </c>
      <c r="H4671" s="12" t="inlineStr">
        <is>
          <t>RICE 6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168</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I-I-0172</t>
        </is>
      </c>
      <c r="B4672" s="12" t="inlineStr">
        <is>
          <t>I</t>
        </is>
      </c>
      <c r="C4672" s="12" t="inlineStr">
        <is>
          <t>Modular / portable power</t>
        </is>
      </c>
      <c r="D4672" s="12" t="inlineStr">
        <is>
          <t>Discrete device to JB JB-RICE 6 SCR + oxida-DI01: 6 x 1 pr (field cables)</t>
        </is>
      </c>
      <c r="E4672" s="12" t="inlineStr"/>
      <c r="F4672" s="12" t="inlineStr">
        <is>
          <t>RICE 6 SCR + oxidation catalyst and stack</t>
        </is>
      </c>
      <c r="G4672" s="12" t="inlineStr">
        <is>
          <t>JB-RICE 6 SCR + oxida-DI01</t>
        </is>
      </c>
      <c r="H4672" s="12" t="inlineStr">
        <is>
          <t>RICE 6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I-I-0173</t>
        </is>
      </c>
      <c r="B4673" s="12" t="inlineStr">
        <is>
          <t>I</t>
        </is>
      </c>
      <c r="C4673" s="12" t="inlineStr">
        <is>
          <t>Modular / portable power</t>
        </is>
      </c>
      <c r="D4673" s="12" t="inlineStr">
        <is>
          <t>Home run JB-RICE 6 SCR + oxida-DI01 to the control / marshalling room</t>
        </is>
      </c>
      <c r="E4673" s="12" t="inlineStr"/>
      <c r="F4673" s="12" t="inlineStr">
        <is>
          <t>PCM: power control module</t>
        </is>
      </c>
      <c r="G4673" s="12" t="inlineStr">
        <is>
          <t>JB-RICE 6 SCR + oxida-DI01</t>
        </is>
      </c>
      <c r="H4673" s="12" t="inlineStr">
        <is>
          <t>RICE 6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168</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I-I-0174</t>
        </is>
      </c>
      <c r="B4674" s="12" t="inlineStr">
        <is>
          <t>I</t>
        </is>
      </c>
      <c r="C4674" s="12" t="inlineStr">
        <is>
          <t>Modular / portable power</t>
        </is>
      </c>
      <c r="D4674" s="12" t="inlineStr">
        <is>
          <t>Analog instrument to JB JB-RICE 6 radiators (-AI01: 5 x 1 pr (field cables)</t>
        </is>
      </c>
      <c r="E4674" s="12" t="inlineStr"/>
      <c r="F4674" s="12" t="inlineStr">
        <is>
          <t>RICE 6 radiators (5)</t>
        </is>
      </c>
      <c r="G4674" s="12" t="inlineStr">
        <is>
          <t>JB-RICE 6 radiators (-AI01</t>
        </is>
      </c>
      <c r="H4674" s="12" t="inlineStr">
        <is>
          <t>RICE 6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I-I-0175</t>
        </is>
      </c>
      <c r="B4675" s="12" t="inlineStr">
        <is>
          <t>I</t>
        </is>
      </c>
      <c r="C4675" s="12" t="inlineStr">
        <is>
          <t>Modular / portable power</t>
        </is>
      </c>
      <c r="D4675" s="12" t="inlineStr">
        <is>
          <t>Home run JB-RICE 6 radiators (-AI01 to the control / marshalling room</t>
        </is>
      </c>
      <c r="E4675" s="12" t="inlineStr"/>
      <c r="F4675" s="12" t="inlineStr">
        <is>
          <t>PCM: power control module</t>
        </is>
      </c>
      <c r="G4675" s="12" t="inlineStr">
        <is>
          <t>JB-RICE 6 radiators (-AI01</t>
        </is>
      </c>
      <c r="H4675" s="12" t="inlineStr">
        <is>
          <t>RICE 6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150</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I-I-0176</t>
        </is>
      </c>
      <c r="B4676" s="12" t="inlineStr">
        <is>
          <t>I</t>
        </is>
      </c>
      <c r="C4676" s="12" t="inlineStr">
        <is>
          <t>Modular / portable power</t>
        </is>
      </c>
      <c r="D4676" s="12" t="inlineStr">
        <is>
          <t>Discrete device to JB JB-RICE 6 radiators (-DI01: 10 x 1 pr (field cables)</t>
        </is>
      </c>
      <c r="E4676" s="12" t="inlineStr"/>
      <c r="F4676" s="12" t="inlineStr">
        <is>
          <t>RICE 6 radiators (5)</t>
        </is>
      </c>
      <c r="G4676" s="12" t="inlineStr">
        <is>
          <t>JB-RICE 6 radiators (-DI01</t>
        </is>
      </c>
      <c r="H4676" s="12" t="inlineStr">
        <is>
          <t>RICE 6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I-I-0177</t>
        </is>
      </c>
      <c r="B4677" s="12" t="inlineStr">
        <is>
          <t>I</t>
        </is>
      </c>
      <c r="C4677" s="12" t="inlineStr">
        <is>
          <t>Modular / portable power</t>
        </is>
      </c>
      <c r="D4677" s="12" t="inlineStr">
        <is>
          <t>Home run JB-RICE 6 radiators (-DI01 to the control / marshalling room</t>
        </is>
      </c>
      <c r="E4677" s="12" t="inlineStr"/>
      <c r="F4677" s="12" t="inlineStr">
        <is>
          <t>PCM: power control module</t>
        </is>
      </c>
      <c r="G4677" s="12" t="inlineStr">
        <is>
          <t>JB-RICE 6 radiators (-DI01</t>
        </is>
      </c>
      <c r="H4677" s="12" t="inlineStr">
        <is>
          <t>RICE 6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150</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I-I-0178</t>
        </is>
      </c>
      <c r="B4678" s="12" t="inlineStr">
        <is>
          <t>I</t>
        </is>
      </c>
      <c r="C4678" s="12" t="inlineStr">
        <is>
          <t>Modular / portable power</t>
        </is>
      </c>
      <c r="D4678" s="12" t="inlineStr">
        <is>
          <t>Analog instrument to JB JB-RICE 7 SCR + oxida-AI01: 10 x 1 pr (field cables)</t>
        </is>
      </c>
      <c r="E4678" s="12" t="inlineStr"/>
      <c r="F4678" s="12" t="inlineStr">
        <is>
          <t>RICE 7 SCR + oxidation catalyst and stack</t>
        </is>
      </c>
      <c r="G4678" s="12" t="inlineStr">
        <is>
          <t>JB-RICE 7 SCR + oxida-AI01</t>
        </is>
      </c>
      <c r="H4678" s="12" t="inlineStr">
        <is>
          <t>RICE 7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I-I-0179</t>
        </is>
      </c>
      <c r="B4679" s="12" t="inlineStr">
        <is>
          <t>I</t>
        </is>
      </c>
      <c r="C4679" s="12" t="inlineStr">
        <is>
          <t>Modular / portable power</t>
        </is>
      </c>
      <c r="D4679" s="12" t="inlineStr">
        <is>
          <t>Home run JB-RICE 7 SCR + oxida-AI01 to the control / marshalling room</t>
        </is>
      </c>
      <c r="E4679" s="12" t="inlineStr"/>
      <c r="F4679" s="12" t="inlineStr">
        <is>
          <t>PCM: power control module</t>
        </is>
      </c>
      <c r="G4679" s="12" t="inlineStr">
        <is>
          <t>JB-RICE 7 SCR + oxida-AI01</t>
        </is>
      </c>
      <c r="H4679" s="12" t="inlineStr">
        <is>
          <t>RICE 7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140</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I-I-0180</t>
        </is>
      </c>
      <c r="B4680" s="12" t="inlineStr">
        <is>
          <t>I</t>
        </is>
      </c>
      <c r="C4680" s="12" t="inlineStr">
        <is>
          <t>Modular / portable power</t>
        </is>
      </c>
      <c r="D4680" s="12" t="inlineStr">
        <is>
          <t>Discrete device to JB JB-RICE 7 SCR + oxida-DI01: 6 x 1 pr (field cables)</t>
        </is>
      </c>
      <c r="E4680" s="12" t="inlineStr"/>
      <c r="F4680" s="12" t="inlineStr">
        <is>
          <t>RICE 7 SCR + oxidation catalyst and stack</t>
        </is>
      </c>
      <c r="G4680" s="12" t="inlineStr">
        <is>
          <t>JB-RICE 7 SCR + oxida-DI01</t>
        </is>
      </c>
      <c r="H4680" s="12" t="inlineStr">
        <is>
          <t>RICE 7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I-I-0181</t>
        </is>
      </c>
      <c r="B4681" s="12" t="inlineStr">
        <is>
          <t>I</t>
        </is>
      </c>
      <c r="C4681" s="12" t="inlineStr">
        <is>
          <t>Modular / portable power</t>
        </is>
      </c>
      <c r="D4681" s="12" t="inlineStr">
        <is>
          <t>Home run JB-RICE 7 SCR + oxida-DI01 to the control / marshalling room</t>
        </is>
      </c>
      <c r="E4681" s="12" t="inlineStr"/>
      <c r="F4681" s="12" t="inlineStr">
        <is>
          <t>PCM: power control module</t>
        </is>
      </c>
      <c r="G4681" s="12" t="inlineStr">
        <is>
          <t>JB-RICE 7 SCR + oxida-DI01</t>
        </is>
      </c>
      <c r="H4681" s="12" t="inlineStr">
        <is>
          <t>RICE 7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140</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I-I-0182</t>
        </is>
      </c>
      <c r="B4682" s="12" t="inlineStr">
        <is>
          <t>I</t>
        </is>
      </c>
      <c r="C4682" s="12" t="inlineStr">
        <is>
          <t>Modular / portable power</t>
        </is>
      </c>
      <c r="D4682" s="12" t="inlineStr">
        <is>
          <t>Analog instrument to JB JB-RICE 7 radiators (-AI01: 5 x 1 pr (field cables)</t>
        </is>
      </c>
      <c r="E4682" s="12" t="inlineStr"/>
      <c r="F4682" s="12" t="inlineStr">
        <is>
          <t>RICE 7 radiators (5)</t>
        </is>
      </c>
      <c r="G4682" s="12" t="inlineStr">
        <is>
          <t>JB-RICE 7 radiators (-AI01</t>
        </is>
      </c>
      <c r="H4682" s="12" t="inlineStr">
        <is>
          <t>RICE 7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I-I-0183</t>
        </is>
      </c>
      <c r="B4683" s="12" t="inlineStr">
        <is>
          <t>I</t>
        </is>
      </c>
      <c r="C4683" s="12" t="inlineStr">
        <is>
          <t>Modular / portable power</t>
        </is>
      </c>
      <c r="D4683" s="12" t="inlineStr">
        <is>
          <t>Home run JB-RICE 7 radiators (-AI01 to the control / marshalling room</t>
        </is>
      </c>
      <c r="E4683" s="12" t="inlineStr"/>
      <c r="F4683" s="12" t="inlineStr">
        <is>
          <t>PCM: power control module</t>
        </is>
      </c>
      <c r="G4683" s="12" t="inlineStr">
        <is>
          <t>JB-RICE 7 radiators (-AI01</t>
        </is>
      </c>
      <c r="H4683" s="12" t="inlineStr">
        <is>
          <t>RICE 7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122</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I-I-0184</t>
        </is>
      </c>
      <c r="B4684" s="12" t="inlineStr">
        <is>
          <t>I</t>
        </is>
      </c>
      <c r="C4684" s="12" t="inlineStr">
        <is>
          <t>Modular / portable power</t>
        </is>
      </c>
      <c r="D4684" s="12" t="inlineStr">
        <is>
          <t>Discrete device to JB JB-RICE 7 radiators (-DI01: 10 x 1 pr (field cables)</t>
        </is>
      </c>
      <c r="E4684" s="12" t="inlineStr"/>
      <c r="F4684" s="12" t="inlineStr">
        <is>
          <t>RICE 7 radiators (5)</t>
        </is>
      </c>
      <c r="G4684" s="12" t="inlineStr">
        <is>
          <t>JB-RICE 7 radiators (-DI01</t>
        </is>
      </c>
      <c r="H4684" s="12" t="inlineStr">
        <is>
          <t>RICE 7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I-I-0185</t>
        </is>
      </c>
      <c r="B4685" s="12" t="inlineStr">
        <is>
          <t>I</t>
        </is>
      </c>
      <c r="C4685" s="12" t="inlineStr">
        <is>
          <t>Modular / portable power</t>
        </is>
      </c>
      <c r="D4685" s="12" t="inlineStr">
        <is>
          <t>Home run JB-RICE 7 radiators (-DI01 to the control / marshalling room</t>
        </is>
      </c>
      <c r="E4685" s="12" t="inlineStr"/>
      <c r="F4685" s="12" t="inlineStr">
        <is>
          <t>PCM: power control module</t>
        </is>
      </c>
      <c r="G4685" s="12" t="inlineStr">
        <is>
          <t>JB-RICE 7 radiators (-DI01</t>
        </is>
      </c>
      <c r="H4685" s="12" t="inlineStr">
        <is>
          <t>RICE 7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122</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I-I-0186</t>
        </is>
      </c>
      <c r="B4686" s="12" t="inlineStr">
        <is>
          <t>I</t>
        </is>
      </c>
      <c r="C4686" s="12" t="inlineStr">
        <is>
          <t>Modular / portable power</t>
        </is>
      </c>
      <c r="D4686" s="12" t="inlineStr">
        <is>
          <t>Analog instrument to JB JB-RICE 8 SCR + oxida-AI01: 10 x 1 pr (field cables)</t>
        </is>
      </c>
      <c r="E4686" s="12" t="inlineStr"/>
      <c r="F4686" s="12" t="inlineStr">
        <is>
          <t>RICE 8 SCR + oxidation catalyst and stack</t>
        </is>
      </c>
      <c r="G4686" s="12" t="inlineStr">
        <is>
          <t>JB-RICE 8 SCR + oxida-AI01</t>
        </is>
      </c>
      <c r="H4686" s="12" t="inlineStr">
        <is>
          <t>RICE 8 SCR + oxidation catalyst and stack</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10</v>
      </c>
      <c r="O4686" s="12" t="n">
        <v>1</v>
      </c>
      <c r="P4686" s="12" t="n"/>
      <c r="Q4686" s="12" t="n"/>
      <c r="R4686" s="12" t="n"/>
      <c r="S4686" s="12" t="inlineStr">
        <is>
          <t>Tray / conduit</t>
        </is>
      </c>
      <c r="T4686" s="16" t="n">
        <v>92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I-I-0187</t>
        </is>
      </c>
      <c r="B4687" s="12" t="inlineStr">
        <is>
          <t>I</t>
        </is>
      </c>
      <c r="C4687" s="12" t="inlineStr">
        <is>
          <t>Modular / portable power</t>
        </is>
      </c>
      <c r="D4687" s="12" t="inlineStr">
        <is>
          <t>Home run JB-RICE 8 SCR + oxida-AI01 to the control / marshalling room</t>
        </is>
      </c>
      <c r="E4687" s="12" t="inlineStr"/>
      <c r="F4687" s="12" t="inlineStr">
        <is>
          <t>PCM: power control module</t>
        </is>
      </c>
      <c r="G4687" s="12" t="inlineStr">
        <is>
          <t>JB-RICE 8 SCR + oxida-AI01</t>
        </is>
      </c>
      <c r="H4687" s="12" t="inlineStr">
        <is>
          <t>RICE 8 SCR + oxidation catalyst and stack</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322</v>
      </c>
      <c r="U4687" s="16" t="n">
        <v>112</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I-I-0188</t>
        </is>
      </c>
      <c r="B4688" s="12" t="inlineStr">
        <is>
          <t>I</t>
        </is>
      </c>
      <c r="C4688" s="12" t="inlineStr">
        <is>
          <t>Modular / portable power</t>
        </is>
      </c>
      <c r="D4688" s="12" t="inlineStr">
        <is>
          <t>Discrete device to JB JB-RICE 8 SCR + oxida-DI01: 6 x 1 pr (field cables)</t>
        </is>
      </c>
      <c r="E4688" s="12" t="inlineStr"/>
      <c r="F4688" s="12" t="inlineStr">
        <is>
          <t>RICE 8 SCR + oxidation catalyst and stack</t>
        </is>
      </c>
      <c r="G4688" s="12" t="inlineStr">
        <is>
          <t>JB-RICE 8 SCR + oxida-DI01</t>
        </is>
      </c>
      <c r="H4688" s="12" t="inlineStr">
        <is>
          <t>RICE 8 SCR + oxidation catalyst and stack</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6</v>
      </c>
      <c r="O4688" s="12" t="n">
        <v>1</v>
      </c>
      <c r="P4688" s="12" t="n"/>
      <c r="Q4688" s="12" t="n"/>
      <c r="R4688" s="12" t="n"/>
      <c r="S4688" s="12" t="inlineStr">
        <is>
          <t>Tray / conduit</t>
        </is>
      </c>
      <c r="T4688" s="16" t="n">
        <v>92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I-I-0189</t>
        </is>
      </c>
      <c r="B4689" s="12" t="inlineStr">
        <is>
          <t>I</t>
        </is>
      </c>
      <c r="C4689" s="12" t="inlineStr">
        <is>
          <t>Modular / portable power</t>
        </is>
      </c>
      <c r="D4689" s="12" t="inlineStr">
        <is>
          <t>Home run JB-RICE 8 SCR + oxida-DI01 to the control / marshalling room</t>
        </is>
      </c>
      <c r="E4689" s="12" t="inlineStr"/>
      <c r="F4689" s="12" t="inlineStr">
        <is>
          <t>PCM: power control module</t>
        </is>
      </c>
      <c r="G4689" s="12" t="inlineStr">
        <is>
          <t>JB-RICE 8 SCR + oxida-DI01</t>
        </is>
      </c>
      <c r="H4689" s="12" t="inlineStr">
        <is>
          <t>RICE 8 SCR + oxidation catalyst and stack</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322</v>
      </c>
      <c r="U4689" s="16" t="n">
        <v>112</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I-I-0190</t>
        </is>
      </c>
      <c r="B4690" s="12" t="inlineStr">
        <is>
          <t>I</t>
        </is>
      </c>
      <c r="C4690" s="12" t="inlineStr">
        <is>
          <t>Modular / portable power</t>
        </is>
      </c>
      <c r="D4690" s="12" t="inlineStr">
        <is>
          <t>Analog instrument to JB JB-RICE 8 radiators (-AI01: 5 x 1 pr (field cables)</t>
        </is>
      </c>
      <c r="E4690" s="12" t="inlineStr"/>
      <c r="F4690" s="12" t="inlineStr">
        <is>
          <t>RICE 8 radiators (5)</t>
        </is>
      </c>
      <c r="G4690" s="12" t="inlineStr">
        <is>
          <t>JB-RICE 8 radiators (-AI01</t>
        </is>
      </c>
      <c r="H4690" s="12" t="inlineStr">
        <is>
          <t>RICE 8 radiators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5</v>
      </c>
      <c r="O4690" s="12" t="n">
        <v>1</v>
      </c>
      <c r="P4690" s="12" t="n"/>
      <c r="Q4690" s="12" t="n"/>
      <c r="R4690" s="12" t="n"/>
      <c r="S4690" s="12" t="inlineStr">
        <is>
          <t>Tray / conduit</t>
        </is>
      </c>
      <c r="T4690" s="16" t="n">
        <v>80</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I-I-0191</t>
        </is>
      </c>
      <c r="B4691" s="12" t="inlineStr">
        <is>
          <t>I</t>
        </is>
      </c>
      <c r="C4691" s="12" t="inlineStr">
        <is>
          <t>Modular / portable power</t>
        </is>
      </c>
      <c r="D4691" s="12" t="inlineStr">
        <is>
          <t>Home run JB-RICE 8 radiators (-AI01 to the control / marshalling room</t>
        </is>
      </c>
      <c r="E4691" s="12" t="inlineStr"/>
      <c r="F4691" s="12" t="inlineStr">
        <is>
          <t>PCM: power control module</t>
        </is>
      </c>
      <c r="G4691" s="12" t="inlineStr">
        <is>
          <t>JB-RICE 8 radiators (-AI01</t>
        </is>
      </c>
      <c r="H4691" s="12" t="inlineStr">
        <is>
          <t>RICE 8 radiators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Tray</t>
        </is>
      </c>
      <c r="T4691" s="16" t="n">
        <v>0</v>
      </c>
      <c r="U4691" s="16" t="n">
        <v>94</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I-I-0192</t>
        </is>
      </c>
      <c r="B4692" s="12" t="inlineStr">
        <is>
          <t>I</t>
        </is>
      </c>
      <c r="C4692" s="12" t="inlineStr">
        <is>
          <t>Modular / portable power</t>
        </is>
      </c>
      <c r="D4692" s="12" t="inlineStr">
        <is>
          <t>Discrete device to JB JB-RICE 8 radiators (-DI01: 10 x 1 pr (field cables)</t>
        </is>
      </c>
      <c r="E4692" s="12" t="inlineStr"/>
      <c r="F4692" s="12" t="inlineStr">
        <is>
          <t>RICE 8 radiators (5)</t>
        </is>
      </c>
      <c r="G4692" s="12" t="inlineStr">
        <is>
          <t>JB-RICE 8 radiators (-DI01</t>
        </is>
      </c>
      <c r="H4692" s="12" t="inlineStr">
        <is>
          <t>RICE 8 radiators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10</v>
      </c>
      <c r="O4692" s="12" t="n">
        <v>1</v>
      </c>
      <c r="P4692" s="12" t="n"/>
      <c r="Q4692" s="12" t="n"/>
      <c r="R4692" s="12" t="n"/>
      <c r="S4692" s="12" t="inlineStr">
        <is>
          <t>Tray / conduit</t>
        </is>
      </c>
      <c r="T4692" s="16" t="n">
        <v>80</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I-I-0193</t>
        </is>
      </c>
      <c r="B4693" s="12" t="inlineStr">
        <is>
          <t>I</t>
        </is>
      </c>
      <c r="C4693" s="12" t="inlineStr">
        <is>
          <t>Modular / portable power</t>
        </is>
      </c>
      <c r="D4693" s="12" t="inlineStr">
        <is>
          <t>Home run JB-RICE 8 radiators (-DI01 to the control / marshalling room</t>
        </is>
      </c>
      <c r="E4693" s="12" t="inlineStr"/>
      <c r="F4693" s="12" t="inlineStr">
        <is>
          <t>PCM: power control module</t>
        </is>
      </c>
      <c r="G4693" s="12" t="inlineStr">
        <is>
          <t>JB-RICE 8 radiators (-DI01</t>
        </is>
      </c>
      <c r="H4693" s="12" t="inlineStr">
        <is>
          <t>RICE 8 radiators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6" t="n">
        <v>0</v>
      </c>
      <c r="U4693" s="16" t="n">
        <v>94</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I-I-0194</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PLTC|4 pr|18</t>
        </is>
      </c>
      <c r="L4694" s="12" t="inlineStr">
        <is>
          <t>4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I-I-0195</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PLTC|4 pr|18</t>
        </is>
      </c>
      <c r="L4695" s="12" t="inlineStr">
        <is>
          <t>4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I-I-0196</t>
        </is>
      </c>
      <c r="B4696" s="12" t="inlineStr">
        <is>
          <t>I</t>
        </is>
      </c>
      <c r="C4696" s="12" t="inlineStr">
        <is>
          <t>Modular / portable power</t>
        </is>
      </c>
      <c r="D4696" s="12" t="inlineStr">
        <is>
          <t>Instrumentation</t>
        </is>
      </c>
      <c r="E4696" s="12" t="inlineStr"/>
      <c r="F4696" s="12" t="inlineStr">
        <is>
          <t>PCM: power control module</t>
        </is>
      </c>
      <c r="G4696" s="12" t="inlineStr">
        <is>
          <t>RICE</t>
        </is>
      </c>
      <c r="H4696" s="12" t="inlineStr">
        <is>
          <t>RICE engine hall (8 engines)</t>
        </is>
      </c>
      <c r="I4696" s="12" t="inlineStr">
        <is>
          <t>Instrumentation</t>
        </is>
      </c>
      <c r="J4696" s="12" t="inlineStr">
        <is>
          <t>Instrumentation PLTC / TC-ER 300 V, #18 twisted shielded pairs, overall shield</t>
        </is>
      </c>
      <c r="K4696" s="12" t="inlineStr">
        <is>
          <t>PLTC|12 pr|18</t>
        </is>
      </c>
      <c r="L4696" s="12" t="inlineStr">
        <is>
          <t>12 pr</t>
        </is>
      </c>
      <c r="M4696" s="12" t="inlineStr">
        <is>
          <t>18</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I-I-0197</t>
        </is>
      </c>
      <c r="B4697" s="12" t="inlineStr">
        <is>
          <t>I</t>
        </is>
      </c>
      <c r="C4697" s="12" t="inlineStr">
        <is>
          <t>Modular / portable power</t>
        </is>
      </c>
      <c r="D4697" s="12" t="inlineStr">
        <is>
          <t>Instrumentation</t>
        </is>
      </c>
      <c r="E4697" s="12" t="inlineStr"/>
      <c r="F4697" s="12" t="inlineStr">
        <is>
          <t>PCM: power control module</t>
        </is>
      </c>
      <c r="G4697" s="12" t="inlineStr">
        <is>
          <t>RICE</t>
        </is>
      </c>
      <c r="H4697" s="12" t="inlineStr">
        <is>
          <t>RICE engine hall (8 engines)</t>
        </is>
      </c>
      <c r="I4697" s="12" t="inlineStr">
        <is>
          <t>Instrumentation</t>
        </is>
      </c>
      <c r="J4697" s="12" t="inlineStr">
        <is>
          <t>Instrumentation PLTC / TC-ER 300 V, #18 twisted shielded pairs, overall shield</t>
        </is>
      </c>
      <c r="K4697" s="12" t="inlineStr">
        <is>
          <t>PLTC|12 pr|18</t>
        </is>
      </c>
      <c r="L4697" s="12" t="inlineStr">
        <is>
          <t>12 pr</t>
        </is>
      </c>
      <c r="M4697" s="12" t="inlineStr">
        <is>
          <t>18</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I-I-0198</t>
        </is>
      </c>
      <c r="B4698" s="12" t="inlineStr">
        <is>
          <t>I</t>
        </is>
      </c>
      <c r="C4698" s="12" t="inlineStr">
        <is>
          <t>Modular / portable power</t>
        </is>
      </c>
      <c r="D4698" s="12" t="inlineStr">
        <is>
          <t>Instrumentation</t>
        </is>
      </c>
      <c r="E4698" s="12" t="inlineStr"/>
      <c r="F4698" s="12" t="inlineStr">
        <is>
          <t>PCM: power control module</t>
        </is>
      </c>
      <c r="G4698" s="12" t="inlineStr">
        <is>
          <t>RICE</t>
        </is>
      </c>
      <c r="H4698" s="12" t="inlineStr">
        <is>
          <t>RICE engine hall (8 engines)</t>
        </is>
      </c>
      <c r="I4698" s="12" t="inlineStr">
        <is>
          <t>Instrumentation</t>
        </is>
      </c>
      <c r="J4698" s="12" t="inlineStr">
        <is>
          <t>Instrumentation PLTC / TC-ER 300 V, #18 twisted shielded pairs, overall shield</t>
        </is>
      </c>
      <c r="K4698" s="12" t="inlineStr">
        <is>
          <t>PLTC|12 pr|18</t>
        </is>
      </c>
      <c r="L4698" s="12" t="inlineStr">
        <is>
          <t>12 pr</t>
        </is>
      </c>
      <c r="M4698" s="12" t="inlineStr">
        <is>
          <t>18</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I-I-0199</t>
        </is>
      </c>
      <c r="B4699" s="12" t="inlineStr">
        <is>
          <t>I</t>
        </is>
      </c>
      <c r="C4699" s="12" t="inlineStr">
        <is>
          <t>Modular / portable power</t>
        </is>
      </c>
      <c r="D4699" s="12" t="inlineStr">
        <is>
          <t>Instrumentation</t>
        </is>
      </c>
      <c r="E4699" s="12" t="inlineStr"/>
      <c r="F4699" s="12" t="inlineStr">
        <is>
          <t>PCM: power control module</t>
        </is>
      </c>
      <c r="G4699" s="12" t="inlineStr">
        <is>
          <t>RICE</t>
        </is>
      </c>
      <c r="H4699" s="12" t="inlineStr">
        <is>
          <t>RICE engine hall (8 engines)</t>
        </is>
      </c>
      <c r="I4699" s="12" t="inlineStr">
        <is>
          <t>Instrumentation</t>
        </is>
      </c>
      <c r="J4699" s="12" t="inlineStr">
        <is>
          <t>Instrumentation PLTC / TC-ER 300 V, #18 twisted shielded pairs, overall shield</t>
        </is>
      </c>
      <c r="K4699" s="12" t="inlineStr">
        <is>
          <t>PLTC|12 pr|18</t>
        </is>
      </c>
      <c r="L4699" s="12" t="inlineStr">
        <is>
          <t>12 pr</t>
        </is>
      </c>
      <c r="M4699" s="12" t="inlineStr">
        <is>
          <t>18</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I-I-0200</t>
        </is>
      </c>
      <c r="B4700" s="12" t="inlineStr">
        <is>
          <t>I</t>
        </is>
      </c>
      <c r="C4700" s="12" t="inlineStr">
        <is>
          <t>Modular / portable power</t>
        </is>
      </c>
      <c r="D4700" s="12" t="inlineStr">
        <is>
          <t>Instrumentation</t>
        </is>
      </c>
      <c r="E4700" s="12" t="inlineStr"/>
      <c r="F4700" s="12" t="inlineStr">
        <is>
          <t>PCM: power control module</t>
        </is>
      </c>
      <c r="G4700" s="12" t="inlineStr">
        <is>
          <t>RICE</t>
        </is>
      </c>
      <c r="H4700" s="12" t="inlineStr">
        <is>
          <t>RICE engine hall (8 engines)</t>
        </is>
      </c>
      <c r="I4700" s="12" t="inlineStr">
        <is>
          <t>Instrumentation</t>
        </is>
      </c>
      <c r="J4700" s="12" t="inlineStr">
        <is>
          <t>Instrumentation PLTC / TC-ER 300 V, #18 twisted shielded pairs, overall shield</t>
        </is>
      </c>
      <c r="K4700" s="12" t="inlineStr">
        <is>
          <t>PLTC|12 pr|18</t>
        </is>
      </c>
      <c r="L4700" s="12" t="inlineStr">
        <is>
          <t>12 pr</t>
        </is>
      </c>
      <c r="M4700" s="12" t="inlineStr">
        <is>
          <t>18</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I-I-0201</t>
        </is>
      </c>
      <c r="B4701" s="12" t="inlineStr">
        <is>
          <t>I</t>
        </is>
      </c>
      <c r="C4701" s="12" t="inlineStr">
        <is>
          <t>Modular / portable power</t>
        </is>
      </c>
      <c r="D4701" s="12" t="inlineStr">
        <is>
          <t>Instrumentation</t>
        </is>
      </c>
      <c r="E4701" s="12" t="inlineStr"/>
      <c r="F4701" s="12" t="inlineStr">
        <is>
          <t>PCM: power control module</t>
        </is>
      </c>
      <c r="G4701" s="12" t="inlineStr">
        <is>
          <t>RICE</t>
        </is>
      </c>
      <c r="H4701" s="12" t="inlineStr">
        <is>
          <t>RICE engine hall (8 engines)</t>
        </is>
      </c>
      <c r="I4701" s="12" t="inlineStr">
        <is>
          <t>Instrumentation</t>
        </is>
      </c>
      <c r="J4701" s="12" t="inlineStr">
        <is>
          <t>Instrumentation PLTC / TC-ER 300 V, #18 twisted shielded pairs, overall shield</t>
        </is>
      </c>
      <c r="K4701" s="12" t="inlineStr">
        <is>
          <t>PLTC|12 pr|18</t>
        </is>
      </c>
      <c r="L4701" s="12" t="inlineStr">
        <is>
          <t>12 pr</t>
        </is>
      </c>
      <c r="M4701" s="12" t="inlineStr">
        <is>
          <t>18</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I-I-0202</t>
        </is>
      </c>
      <c r="B4702" s="12" t="inlineStr">
        <is>
          <t>I</t>
        </is>
      </c>
      <c r="C4702" s="12" t="inlineStr">
        <is>
          <t>Modular / portable power</t>
        </is>
      </c>
      <c r="D4702" s="12" t="inlineStr">
        <is>
          <t>Instrumentation</t>
        </is>
      </c>
      <c r="E4702" s="12" t="inlineStr"/>
      <c r="F4702" s="12" t="inlineStr">
        <is>
          <t>PCM: power control module</t>
        </is>
      </c>
      <c r="G4702" s="12" t="inlineStr">
        <is>
          <t>RICE</t>
        </is>
      </c>
      <c r="H4702" s="12" t="inlineStr">
        <is>
          <t>RICE engine hall (8 engines)</t>
        </is>
      </c>
      <c r="I4702" s="12" t="inlineStr">
        <is>
          <t>Instrumentation</t>
        </is>
      </c>
      <c r="J4702" s="12" t="inlineStr">
        <is>
          <t>Instrumentation PLTC / TC-ER 300 V, #18 twisted shielded pairs, overall shield</t>
        </is>
      </c>
      <c r="K4702" s="12" t="inlineStr">
        <is>
          <t>PLTC|12 pr|18</t>
        </is>
      </c>
      <c r="L4702" s="12" t="inlineStr">
        <is>
          <t>12 pr</t>
        </is>
      </c>
      <c r="M4702" s="12" t="inlineStr">
        <is>
          <t>18</t>
        </is>
      </c>
      <c r="N4702" s="12" t="n">
        <v>1</v>
      </c>
      <c r="O4702" s="12" t="n">
        <v>1</v>
      </c>
      <c r="P4702" s="12" t="n"/>
      <c r="Q4702" s="12" t="n"/>
      <c r="R4702" s="12" t="n"/>
      <c r="S4702" s="12" t="inlineStr">
        <is>
          <t>Duct bank</t>
        </is>
      </c>
      <c r="T4702" s="16" t="n">
        <v>367</v>
      </c>
      <c r="U4702" s="16" t="n">
        <v>95</v>
      </c>
      <c r="V4702" s="16">
        <f>ROUNDUP((T4702+U4702+2*'Read Me'!$B$13)*(1+'Read Me'!$B$12),-1)</f>
        <v/>
      </c>
      <c r="W4702" s="16">
        <f>V4702*N4702*O4702</f>
        <v/>
      </c>
      <c r="X4702" s="12">
        <f>IF(LEFT(I4702,2)="MV",2*N4702*IF(L4702="1/C",O4702,1),0)</f>
        <v/>
      </c>
      <c r="Y4702" s="12">
        <f>IF(OR(LEFT(K4702,4)="LVAX",LEFT(K4702,6)="MV15AX",LEFT(K4702,4)="CTAX",LEFT(K4702,2)="W|"),2*N4702*O4702,0)</f>
        <v/>
      </c>
      <c r="Z4702" s="12" t="inlineStr"/>
      <c r="AA4702" s="12">
        <f>N4702*O4702</f>
        <v/>
      </c>
    </row>
    <row r="4703">
      <c r="A4703" s="12" t="inlineStr">
        <is>
          <t>I-I-0203</t>
        </is>
      </c>
      <c r="B4703" s="12" t="inlineStr">
        <is>
          <t>I</t>
        </is>
      </c>
      <c r="C4703" s="12" t="inlineStr">
        <is>
          <t>Modular / portable power</t>
        </is>
      </c>
      <c r="D4703" s="12" t="inlineStr">
        <is>
          <t>Instrumentation</t>
        </is>
      </c>
      <c r="E4703" s="12" t="inlineStr"/>
      <c r="F4703" s="12" t="inlineStr">
        <is>
          <t>PCM: power control module</t>
        </is>
      </c>
      <c r="G4703" s="12" t="inlineStr">
        <is>
          <t>RICE</t>
        </is>
      </c>
      <c r="H4703" s="12" t="inlineStr">
        <is>
          <t>RICE engine hall (8 engines)</t>
        </is>
      </c>
      <c r="I4703" s="12" t="inlineStr">
        <is>
          <t>Instrumentation</t>
        </is>
      </c>
      <c r="J4703" s="12" t="inlineStr">
        <is>
          <t>Instrumentation PLTC / TC-ER 300 V, #18 twisted shielded pairs, overall shield</t>
        </is>
      </c>
      <c r="K4703" s="12" t="inlineStr">
        <is>
          <t>PLTC|12 pr|18</t>
        </is>
      </c>
      <c r="L4703" s="12" t="inlineStr">
        <is>
          <t>12 pr</t>
        </is>
      </c>
      <c r="M4703" s="12" t="inlineStr">
        <is>
          <t>18</t>
        </is>
      </c>
      <c r="N4703" s="12" t="n">
        <v>1</v>
      </c>
      <c r="O4703" s="12" t="n">
        <v>1</v>
      </c>
      <c r="P4703" s="12" t="n"/>
      <c r="Q4703" s="12" t="n"/>
      <c r="R4703" s="12" t="n"/>
      <c r="S4703" s="12" t="inlineStr">
        <is>
          <t>Duct bank</t>
        </is>
      </c>
      <c r="T4703" s="16" t="n">
        <v>367</v>
      </c>
      <c r="U4703" s="16" t="n">
        <v>95</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I-I-0204</t>
        </is>
      </c>
      <c r="B4704" s="12" t="inlineStr">
        <is>
          <t>I</t>
        </is>
      </c>
      <c r="C4704" s="12" t="inlineStr">
        <is>
          <t>Modular / portable power</t>
        </is>
      </c>
      <c r="D4704" s="12" t="inlineStr">
        <is>
          <t>Thermocouples</t>
        </is>
      </c>
      <c r="E4704" s="12" t="inlineStr"/>
      <c r="F4704" s="12" t="inlineStr">
        <is>
          <t>PCM: power control module</t>
        </is>
      </c>
      <c r="G4704" s="12" t="inlineStr">
        <is>
          <t>RICE</t>
        </is>
      </c>
      <c r="H4704" s="12" t="inlineStr">
        <is>
          <t>RICE engine hall (8 engines)</t>
        </is>
      </c>
      <c r="I4704" s="12" t="inlineStr">
        <is>
          <t>Instrumentation</t>
        </is>
      </c>
      <c r="J4704" s="12" t="inlineStr">
        <is>
          <t>Thermocouple extension KX, #16 shielded pairs, PLTC</t>
        </is>
      </c>
      <c r="K4704" s="12" t="inlineStr">
        <is>
          <t>TCX|12 pr|16</t>
        </is>
      </c>
      <c r="L4704" s="12" t="inlineStr">
        <is>
          <t>12 pr</t>
        </is>
      </c>
      <c r="M4704" s="12" t="inlineStr">
        <is>
          <t>16</t>
        </is>
      </c>
      <c r="N4704" s="12" t="n">
        <v>1</v>
      </c>
      <c r="O4704" s="12" t="n">
        <v>1</v>
      </c>
      <c r="P4704" s="12" t="n"/>
      <c r="Q4704" s="12" t="n"/>
      <c r="R4704" s="12" t="n"/>
      <c r="S4704" s="12" t="inlineStr">
        <is>
          <t>Duct bank</t>
        </is>
      </c>
      <c r="T4704" s="16" t="n">
        <v>367</v>
      </c>
      <c r="U4704" s="16" t="n">
        <v>95</v>
      </c>
      <c r="V4704" s="16">
        <f>ROUNDUP((T4704+U4704+2*'Read Me'!$B$13)*(1+'Read Me'!$B$12),-1)</f>
        <v/>
      </c>
      <c r="W4704" s="16">
        <f>V4704*N4704*O4704</f>
        <v/>
      </c>
      <c r="X4704" s="12">
        <f>IF(LEFT(I4704,2)="MV",2*N4704*IF(L4704="1/C",O4704,1),0)</f>
        <v/>
      </c>
      <c r="Y4704" s="12">
        <f>IF(OR(LEFT(K4704,4)="LVAX",LEFT(K4704,6)="MV15AX",LEFT(K4704,4)="CTAX",LEFT(K4704,2)="W|"),2*N4704*O4704,0)</f>
        <v/>
      </c>
      <c r="Z4704" s="12" t="inlineStr"/>
      <c r="AA4704" s="12">
        <f>N4704*O4704</f>
        <v/>
      </c>
    </row>
    <row r="4705">
      <c r="A4705" s="12" t="inlineStr">
        <is>
          <t>I-I-0205</t>
        </is>
      </c>
      <c r="B4705" s="12" t="inlineStr">
        <is>
          <t>I</t>
        </is>
      </c>
      <c r="C4705" s="12" t="inlineStr">
        <is>
          <t>Modular / portable power</t>
        </is>
      </c>
      <c r="D4705" s="12" t="inlineStr">
        <is>
          <t>Thermocouples</t>
        </is>
      </c>
      <c r="E4705" s="12" t="inlineStr"/>
      <c r="F4705" s="12" t="inlineStr">
        <is>
          <t>PCM: power control module</t>
        </is>
      </c>
      <c r="G4705" s="12" t="inlineStr">
        <is>
          <t>RICE</t>
        </is>
      </c>
      <c r="H4705" s="12" t="inlineStr">
        <is>
          <t>RICE engine hall (8 engines)</t>
        </is>
      </c>
      <c r="I4705" s="12" t="inlineStr">
        <is>
          <t>Instrumentation</t>
        </is>
      </c>
      <c r="J4705" s="12" t="inlineStr">
        <is>
          <t>Thermocouple extension KX, #16 shielded pairs, PLTC</t>
        </is>
      </c>
      <c r="K4705" s="12" t="inlineStr">
        <is>
          <t>TCX|12 pr|16</t>
        </is>
      </c>
      <c r="L4705" s="12" t="inlineStr">
        <is>
          <t>12 pr</t>
        </is>
      </c>
      <c r="M4705" s="12" t="inlineStr">
        <is>
          <t>16</t>
        </is>
      </c>
      <c r="N4705" s="12" t="n">
        <v>1</v>
      </c>
      <c r="O4705" s="12" t="n">
        <v>1</v>
      </c>
      <c r="P4705" s="12" t="n"/>
      <c r="Q4705" s="12" t="n"/>
      <c r="R4705" s="12" t="n"/>
      <c r="S4705" s="12" t="inlineStr">
        <is>
          <t>Duct bank</t>
        </is>
      </c>
      <c r="T4705" s="16" t="n">
        <v>367</v>
      </c>
      <c r="U4705" s="16" t="n">
        <v>95</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I-I-0206</t>
        </is>
      </c>
      <c r="B4706" s="12" t="inlineStr">
        <is>
          <t>I</t>
        </is>
      </c>
      <c r="C4706" s="12" t="inlineStr">
        <is>
          <t>Modular / portable power</t>
        </is>
      </c>
      <c r="D4706" s="12" t="inlineStr">
        <is>
          <t>Thermocouples</t>
        </is>
      </c>
      <c r="E4706" s="12" t="inlineStr"/>
      <c r="F4706" s="12" t="inlineStr">
        <is>
          <t>PCM: power control module</t>
        </is>
      </c>
      <c r="G4706" s="12" t="inlineStr">
        <is>
          <t>RICE</t>
        </is>
      </c>
      <c r="H4706" s="12" t="inlineStr">
        <is>
          <t>RICE engine hall (8 engines)</t>
        </is>
      </c>
      <c r="I4706" s="12" t="inlineStr">
        <is>
          <t>Instrumentation</t>
        </is>
      </c>
      <c r="J4706" s="12" t="inlineStr">
        <is>
          <t>Thermocouple extension KX, #16 shielded pairs, PLTC</t>
        </is>
      </c>
      <c r="K4706" s="12" t="inlineStr">
        <is>
          <t>TCX|12 pr|16</t>
        </is>
      </c>
      <c r="L4706" s="12" t="inlineStr">
        <is>
          <t>12 pr</t>
        </is>
      </c>
      <c r="M4706" s="12" t="inlineStr">
        <is>
          <t>16</t>
        </is>
      </c>
      <c r="N4706" s="12" t="n">
        <v>1</v>
      </c>
      <c r="O4706" s="12" t="n">
        <v>1</v>
      </c>
      <c r="P4706" s="12" t="n"/>
      <c r="Q4706" s="12" t="n"/>
      <c r="R4706" s="12" t="n"/>
      <c r="S4706" s="12" t="inlineStr">
        <is>
          <t>Duct bank</t>
        </is>
      </c>
      <c r="T4706" s="16" t="n">
        <v>367</v>
      </c>
      <c r="U4706" s="16" t="n">
        <v>95</v>
      </c>
      <c r="V4706" s="16">
        <f>ROUNDUP((T4706+U4706+2*'Read Me'!$B$13)*(1+'Read Me'!$B$12),-1)</f>
        <v/>
      </c>
      <c r="W4706" s="16">
        <f>V4706*N4706*O4706</f>
        <v/>
      </c>
      <c r="X4706" s="12">
        <f>IF(LEFT(I4706,2)="MV",2*N4706*IF(L4706="1/C",O4706,1),0)</f>
        <v/>
      </c>
      <c r="Y4706" s="12">
        <f>IF(OR(LEFT(K4706,4)="LVAX",LEFT(K4706,6)="MV15AX",LEFT(K4706,4)="CTAX",LEFT(K4706,2)="W|"),2*N4706*O4706,0)</f>
        <v/>
      </c>
      <c r="Z4706" s="12" t="inlineStr"/>
      <c r="AA4706" s="12">
        <f>N4706*O4706</f>
        <v/>
      </c>
    </row>
    <row r="4707">
      <c r="A4707" s="12" t="inlineStr">
        <is>
          <t>I-I-0207</t>
        </is>
      </c>
      <c r="B4707" s="12" t="inlineStr">
        <is>
          <t>I</t>
        </is>
      </c>
      <c r="C4707" s="12" t="inlineStr">
        <is>
          <t>Modular / portable power</t>
        </is>
      </c>
      <c r="D4707" s="12" t="inlineStr">
        <is>
          <t>Thermocouples</t>
        </is>
      </c>
      <c r="E4707" s="12" t="inlineStr"/>
      <c r="F4707" s="12" t="inlineStr">
        <is>
          <t>PCM: power control module</t>
        </is>
      </c>
      <c r="G4707" s="12" t="inlineStr">
        <is>
          <t>RICE</t>
        </is>
      </c>
      <c r="H4707" s="12" t="inlineStr">
        <is>
          <t>RICE engine hall (8 engines)</t>
        </is>
      </c>
      <c r="I4707" s="12" t="inlineStr">
        <is>
          <t>Instrumentation</t>
        </is>
      </c>
      <c r="J4707" s="12" t="inlineStr">
        <is>
          <t>Thermocouple extension KX, #16 shielded pairs, PLTC</t>
        </is>
      </c>
      <c r="K4707" s="12" t="inlineStr">
        <is>
          <t>TCX|12 pr|16</t>
        </is>
      </c>
      <c r="L4707" s="12" t="inlineStr">
        <is>
          <t>12 pr</t>
        </is>
      </c>
      <c r="M4707" s="12" t="inlineStr">
        <is>
          <t>16</t>
        </is>
      </c>
      <c r="N4707" s="12" t="n">
        <v>1</v>
      </c>
      <c r="O4707" s="12" t="n">
        <v>1</v>
      </c>
      <c r="P4707" s="12" t="n"/>
      <c r="Q4707" s="12" t="n"/>
      <c r="R4707" s="12" t="n"/>
      <c r="S4707" s="12" t="inlineStr">
        <is>
          <t>Duct bank</t>
        </is>
      </c>
      <c r="T4707" s="16" t="n">
        <v>367</v>
      </c>
      <c r="U4707" s="16" t="n">
        <v>95</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I-I-0208</t>
        </is>
      </c>
      <c r="B4708" s="12" t="inlineStr">
        <is>
          <t>I</t>
        </is>
      </c>
      <c r="C4708" s="12" t="inlineStr">
        <is>
          <t>Modular / portable power</t>
        </is>
      </c>
      <c r="D4708" s="12" t="inlineStr">
        <is>
          <t>Thermocouples</t>
        </is>
      </c>
      <c r="E4708" s="12" t="inlineStr"/>
      <c r="F4708" s="12" t="inlineStr">
        <is>
          <t>PCM: power control module</t>
        </is>
      </c>
      <c r="G4708" s="12" t="inlineStr">
        <is>
          <t>RICE</t>
        </is>
      </c>
      <c r="H4708" s="12" t="inlineStr">
        <is>
          <t>RICE engine hall (8 engines)</t>
        </is>
      </c>
      <c r="I4708" s="12" t="inlineStr">
        <is>
          <t>Instrumentation</t>
        </is>
      </c>
      <c r="J4708" s="12" t="inlineStr">
        <is>
          <t>Thermocouple extension KX, #16 shielded pairs, PLTC</t>
        </is>
      </c>
      <c r="K4708" s="12" t="inlineStr">
        <is>
          <t>TCX|12 pr|16</t>
        </is>
      </c>
      <c r="L4708" s="12" t="inlineStr">
        <is>
          <t>12 pr</t>
        </is>
      </c>
      <c r="M4708" s="12" t="inlineStr">
        <is>
          <t>16</t>
        </is>
      </c>
      <c r="N4708" s="12" t="n">
        <v>1</v>
      </c>
      <c r="O4708" s="12" t="n">
        <v>1</v>
      </c>
      <c r="P4708" s="12" t="n"/>
      <c r="Q4708" s="12" t="n"/>
      <c r="R4708" s="12" t="n"/>
      <c r="S4708" s="12" t="inlineStr">
        <is>
          <t>Duct bank</t>
        </is>
      </c>
      <c r="T4708" s="16" t="n">
        <v>367</v>
      </c>
      <c r="U4708" s="16" t="n">
        <v>95</v>
      </c>
      <c r="V4708" s="16">
        <f>ROUNDUP((T4708+U4708+2*'Read Me'!$B$13)*(1+'Read Me'!$B$12),-1)</f>
        <v/>
      </c>
      <c r="W4708" s="16">
        <f>V4708*N4708*O4708</f>
        <v/>
      </c>
      <c r="X4708" s="12">
        <f>IF(LEFT(I4708,2)="MV",2*N4708*IF(L4708="1/C",O4708,1),0)</f>
        <v/>
      </c>
      <c r="Y4708" s="12">
        <f>IF(OR(LEFT(K4708,4)="LVAX",LEFT(K4708,6)="MV15AX",LEFT(K4708,4)="CTAX",LEFT(K4708,2)="W|"),2*N4708*O4708,0)</f>
        <v/>
      </c>
      <c r="Z4708" s="12" t="inlineStr"/>
      <c r="AA4708" s="12">
        <f>N4708*O4708</f>
        <v/>
      </c>
    </row>
    <row r="4709">
      <c r="A4709" s="12" t="inlineStr">
        <is>
          <t>I-I-0209</t>
        </is>
      </c>
      <c r="B4709" s="12" t="inlineStr">
        <is>
          <t>I</t>
        </is>
      </c>
      <c r="C4709" s="12" t="inlineStr">
        <is>
          <t>Modular / portable power</t>
        </is>
      </c>
      <c r="D4709" s="12" t="inlineStr">
        <is>
          <t>Thermocouples</t>
        </is>
      </c>
      <c r="E4709" s="12" t="inlineStr"/>
      <c r="F4709" s="12" t="inlineStr">
        <is>
          <t>PCM: power control module</t>
        </is>
      </c>
      <c r="G4709" s="12" t="inlineStr">
        <is>
          <t>RICE</t>
        </is>
      </c>
      <c r="H4709" s="12" t="inlineStr">
        <is>
          <t>RICE engine hall (8 engines)</t>
        </is>
      </c>
      <c r="I4709" s="12" t="inlineStr">
        <is>
          <t>Instrumentation</t>
        </is>
      </c>
      <c r="J4709" s="12" t="inlineStr">
        <is>
          <t>Thermocouple extension KX, #16 shielded pairs, PLTC</t>
        </is>
      </c>
      <c r="K4709" s="12" t="inlineStr">
        <is>
          <t>TCX|12 pr|16</t>
        </is>
      </c>
      <c r="L4709" s="12" t="inlineStr">
        <is>
          <t>12 pr</t>
        </is>
      </c>
      <c r="M4709" s="12" t="inlineStr">
        <is>
          <t>16</t>
        </is>
      </c>
      <c r="N4709" s="12" t="n">
        <v>1</v>
      </c>
      <c r="O4709" s="12" t="n">
        <v>1</v>
      </c>
      <c r="P4709" s="12" t="n"/>
      <c r="Q4709" s="12" t="n"/>
      <c r="R4709" s="12" t="n"/>
      <c r="S4709" s="12" t="inlineStr">
        <is>
          <t>Duct bank</t>
        </is>
      </c>
      <c r="T4709" s="16" t="n">
        <v>367</v>
      </c>
      <c r="U4709" s="16" t="n">
        <v>95</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I-I-0210</t>
        </is>
      </c>
      <c r="B4710" s="12" t="inlineStr">
        <is>
          <t>I</t>
        </is>
      </c>
      <c r="C4710" s="12" t="inlineStr">
        <is>
          <t>Modular / portable power</t>
        </is>
      </c>
      <c r="D4710" s="12" t="inlineStr">
        <is>
          <t>Analog instrument to JB JB-RICE-1-AI01: 20 x 1 pr (field cables)</t>
        </is>
      </c>
      <c r="E4710" s="12" t="inlineStr">
        <is>
          <t>RICE-1</t>
        </is>
      </c>
      <c r="F4710" s="12" t="inlineStr">
        <is>
          <t>RICE engine-generator 1</t>
        </is>
      </c>
      <c r="G4710" s="12" t="inlineStr">
        <is>
          <t>JB-RICE-1-AI01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I-I-0211</t>
        </is>
      </c>
      <c r="B4711" s="12" t="inlineStr">
        <is>
          <t>I</t>
        </is>
      </c>
      <c r="C4711" s="12" t="inlineStr">
        <is>
          <t>Modular / portable power</t>
        </is>
      </c>
      <c r="D4711" s="12" t="inlineStr">
        <is>
          <t>Home run JB-RICE-1-AI01 to the control / marshalling room</t>
        </is>
      </c>
      <c r="E4711" s="12" t="inlineStr"/>
      <c r="F4711" s="12" t="inlineStr">
        <is>
          <t>PCM: power control module</t>
        </is>
      </c>
      <c r="G4711" s="12" t="inlineStr">
        <is>
          <t>JB-RICE-1-AI01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I-I-0212</t>
        </is>
      </c>
      <c r="B4712" s="12" t="inlineStr">
        <is>
          <t>I</t>
        </is>
      </c>
      <c r="C4712" s="12" t="inlineStr">
        <is>
          <t>Modular / portable power</t>
        </is>
      </c>
      <c r="D4712" s="12" t="inlineStr">
        <is>
          <t>Analog instrument to JB JB-RICE-1-AI02: 20 x 1 pr (field cables)</t>
        </is>
      </c>
      <c r="E4712" s="12" t="inlineStr">
        <is>
          <t>RICE-1</t>
        </is>
      </c>
      <c r="F4712" s="12" t="inlineStr">
        <is>
          <t>RICE engine-generator 1</t>
        </is>
      </c>
      <c r="G4712" s="12" t="inlineStr">
        <is>
          <t>JB-RICE-1-AI02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I-I-0213</t>
        </is>
      </c>
      <c r="B4713" s="12" t="inlineStr">
        <is>
          <t>I</t>
        </is>
      </c>
      <c r="C4713" s="12" t="inlineStr">
        <is>
          <t>Modular / portable power</t>
        </is>
      </c>
      <c r="D4713" s="12" t="inlineStr">
        <is>
          <t>Home run JB-RICE-1-AI02 to the control / marshalling room</t>
        </is>
      </c>
      <c r="E4713" s="12" t="inlineStr"/>
      <c r="F4713" s="12" t="inlineStr">
        <is>
          <t>PCM: power control module</t>
        </is>
      </c>
      <c r="G4713" s="12" t="inlineStr">
        <is>
          <t>JB-RICE-1-AI02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I-I-0214</t>
        </is>
      </c>
      <c r="B4714" s="12" t="inlineStr">
        <is>
          <t>I</t>
        </is>
      </c>
      <c r="C4714" s="12" t="inlineStr">
        <is>
          <t>Modular / portable power</t>
        </is>
      </c>
      <c r="D4714" s="12" t="inlineStr">
        <is>
          <t>Analog instrument to JB JB-RICE-1-AI03: 20 x 1 pr (field cables)</t>
        </is>
      </c>
      <c r="E4714" s="12" t="inlineStr">
        <is>
          <t>RICE-1</t>
        </is>
      </c>
      <c r="F4714" s="12" t="inlineStr">
        <is>
          <t>RICE engine-generator 1</t>
        </is>
      </c>
      <c r="G4714" s="12" t="inlineStr">
        <is>
          <t>JB-RICE-1-AI03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I-I-0215</t>
        </is>
      </c>
      <c r="B4715" s="12" t="inlineStr">
        <is>
          <t>I</t>
        </is>
      </c>
      <c r="C4715" s="12" t="inlineStr">
        <is>
          <t>Modular / portable power</t>
        </is>
      </c>
      <c r="D4715" s="12" t="inlineStr">
        <is>
          <t>Home run JB-RICE-1-AI03 to the control / marshalling room</t>
        </is>
      </c>
      <c r="E4715" s="12" t="inlineStr"/>
      <c r="F4715" s="12" t="inlineStr">
        <is>
          <t>PCM: power control module</t>
        </is>
      </c>
      <c r="G4715" s="12" t="inlineStr">
        <is>
          <t>JB-RICE-1-AI03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I-I-0216</t>
        </is>
      </c>
      <c r="B4716" s="12" t="inlineStr">
        <is>
          <t>I</t>
        </is>
      </c>
      <c r="C4716" s="12" t="inlineStr">
        <is>
          <t>Modular / portable power</t>
        </is>
      </c>
      <c r="D4716" s="12" t="inlineStr">
        <is>
          <t>Analog instrument to JB JB-RICE-1-AI04: 20 x 1 pr (field cables)</t>
        </is>
      </c>
      <c r="E4716" s="12" t="inlineStr">
        <is>
          <t>RICE-1</t>
        </is>
      </c>
      <c r="F4716" s="12" t="inlineStr">
        <is>
          <t>RICE engine-generator 1</t>
        </is>
      </c>
      <c r="G4716" s="12" t="inlineStr">
        <is>
          <t>JB-RICE-1-AI04</t>
        </is>
      </c>
      <c r="H4716" s="12" t="inlineStr">
        <is>
          <t>RICE engine-generator 1</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I-I-0217</t>
        </is>
      </c>
      <c r="B4717" s="12" t="inlineStr">
        <is>
          <t>I</t>
        </is>
      </c>
      <c r="C4717" s="12" t="inlineStr">
        <is>
          <t>Modular / portable power</t>
        </is>
      </c>
      <c r="D4717" s="12" t="inlineStr">
        <is>
          <t>Home run JB-RICE-1-AI04 to the control / marshalling room</t>
        </is>
      </c>
      <c r="E4717" s="12" t="inlineStr"/>
      <c r="F4717" s="12" t="inlineStr">
        <is>
          <t>PCM: power control module</t>
        </is>
      </c>
      <c r="G4717" s="12" t="inlineStr">
        <is>
          <t>JB-RICE-1-AI04</t>
        </is>
      </c>
      <c r="H4717" s="12" t="inlineStr">
        <is>
          <t>RICE engine-generator 1</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I-I-0218</t>
        </is>
      </c>
      <c r="B4718" s="12" t="inlineStr">
        <is>
          <t>I</t>
        </is>
      </c>
      <c r="C4718" s="12" t="inlineStr">
        <is>
          <t>Modular / portable power</t>
        </is>
      </c>
      <c r="D4718" s="12" t="inlineStr">
        <is>
          <t>Discrete device to JB JB-RICE-1-DI01: 20 x 1 pr (field cables)</t>
        </is>
      </c>
      <c r="E4718" s="12" t="inlineStr">
        <is>
          <t>RICE-1</t>
        </is>
      </c>
      <c r="F4718" s="12" t="inlineStr">
        <is>
          <t>RICE engine-generator 1</t>
        </is>
      </c>
      <c r="G4718" s="12" t="inlineStr">
        <is>
          <t>JB-RICE-1-DI01</t>
        </is>
      </c>
      <c r="H4718" s="12" t="inlineStr">
        <is>
          <t>RICE engine-generator 1</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I-I-0219</t>
        </is>
      </c>
      <c r="B4719" s="12" t="inlineStr">
        <is>
          <t>I</t>
        </is>
      </c>
      <c r="C4719" s="12" t="inlineStr">
        <is>
          <t>Modular / portable power</t>
        </is>
      </c>
      <c r="D4719" s="12" t="inlineStr">
        <is>
          <t>Home run JB-RICE-1-DI01 to the control / marshalling room</t>
        </is>
      </c>
      <c r="E4719" s="12" t="inlineStr"/>
      <c r="F4719" s="12" t="inlineStr">
        <is>
          <t>PCM: power control module</t>
        </is>
      </c>
      <c r="G4719" s="12" t="inlineStr">
        <is>
          <t>JB-RICE-1-DI01</t>
        </is>
      </c>
      <c r="H4719" s="12" t="inlineStr">
        <is>
          <t>RICE engine-generator 1</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I-I-0220</t>
        </is>
      </c>
      <c r="B4720" s="12" t="inlineStr">
        <is>
          <t>I</t>
        </is>
      </c>
      <c r="C4720" s="12" t="inlineStr">
        <is>
          <t>Modular / portable power</t>
        </is>
      </c>
      <c r="D4720" s="12" t="inlineStr">
        <is>
          <t>Discrete device to JB JB-RICE-1-DI02: 20 x 1 pr (field cables)</t>
        </is>
      </c>
      <c r="E4720" s="12" t="inlineStr">
        <is>
          <t>RICE-1</t>
        </is>
      </c>
      <c r="F4720" s="12" t="inlineStr">
        <is>
          <t>RICE engine-generator 1</t>
        </is>
      </c>
      <c r="G4720" s="12" t="inlineStr">
        <is>
          <t>JB-RICE-1-DI02</t>
        </is>
      </c>
      <c r="H4720" s="12" t="inlineStr">
        <is>
          <t>RICE engine-generator 1</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I-I-0221</t>
        </is>
      </c>
      <c r="B4721" s="12" t="inlineStr">
        <is>
          <t>I</t>
        </is>
      </c>
      <c r="C4721" s="12" t="inlineStr">
        <is>
          <t>Modular / portable power</t>
        </is>
      </c>
      <c r="D4721" s="12" t="inlineStr">
        <is>
          <t>Home run JB-RICE-1-DI02 to the control / marshalling room</t>
        </is>
      </c>
      <c r="E4721" s="12" t="inlineStr"/>
      <c r="F4721" s="12" t="inlineStr">
        <is>
          <t>PCM: power control module</t>
        </is>
      </c>
      <c r="G4721" s="12" t="inlineStr">
        <is>
          <t>JB-RICE-1-DI02</t>
        </is>
      </c>
      <c r="H4721" s="12" t="inlineStr">
        <is>
          <t>RICE engine-generator 1</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I-I-0222</t>
        </is>
      </c>
      <c r="B4722" s="12" t="inlineStr">
        <is>
          <t>I</t>
        </is>
      </c>
      <c r="C4722" s="12" t="inlineStr">
        <is>
          <t>Modular / portable power</t>
        </is>
      </c>
      <c r="D4722" s="12" t="inlineStr">
        <is>
          <t>Discrete device to JB JB-RICE-1-DI03: 20 x 1 pr (field cables)</t>
        </is>
      </c>
      <c r="E4722" s="12" t="inlineStr">
        <is>
          <t>RICE-1</t>
        </is>
      </c>
      <c r="F4722" s="12" t="inlineStr">
        <is>
          <t>RICE engine-generator 1</t>
        </is>
      </c>
      <c r="G4722" s="12" t="inlineStr">
        <is>
          <t>JB-RICE-1-DI03</t>
        </is>
      </c>
      <c r="H4722" s="12" t="inlineStr">
        <is>
          <t>RICE engine-generator 1</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I-I-0223</t>
        </is>
      </c>
      <c r="B4723" s="12" t="inlineStr">
        <is>
          <t>I</t>
        </is>
      </c>
      <c r="C4723" s="12" t="inlineStr">
        <is>
          <t>Modular / portable power</t>
        </is>
      </c>
      <c r="D4723" s="12" t="inlineStr">
        <is>
          <t>Home run JB-RICE-1-DI03 to the control / marshalling room</t>
        </is>
      </c>
      <c r="E4723" s="12" t="inlineStr"/>
      <c r="F4723" s="12" t="inlineStr">
        <is>
          <t>PCM: power control module</t>
        </is>
      </c>
      <c r="G4723" s="12" t="inlineStr">
        <is>
          <t>JB-RICE-1-DI03</t>
        </is>
      </c>
      <c r="H4723" s="12" t="inlineStr">
        <is>
          <t>RICE engine-generator 1</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I-I-0224</t>
        </is>
      </c>
      <c r="B4724" s="12" t="inlineStr">
        <is>
          <t>I</t>
        </is>
      </c>
      <c r="C4724" s="12" t="inlineStr">
        <is>
          <t>Modular / portable power</t>
        </is>
      </c>
      <c r="D4724" s="12" t="inlineStr">
        <is>
          <t>Thermocouple to TC JB JB-RICE-1-TC01: 20 x 1 pr (field cables)</t>
        </is>
      </c>
      <c r="E4724" s="12" t="inlineStr">
        <is>
          <t>RICE-1</t>
        </is>
      </c>
      <c r="F4724" s="12" t="inlineStr">
        <is>
          <t>RICE engine-generator 1</t>
        </is>
      </c>
      <c r="G4724" s="12" t="inlineStr">
        <is>
          <t>JB-RICE-1-TC01</t>
        </is>
      </c>
      <c r="H4724" s="12" t="inlineStr">
        <is>
          <t>RICE engine-generator 1</t>
        </is>
      </c>
      <c r="I4724" s="12" t="inlineStr">
        <is>
          <t>Instrumentation</t>
        </is>
      </c>
      <c r="J4724" s="12" t="inlineStr">
        <is>
          <t>Thermocouple extension KX, #16 shielded pairs, PLTC</t>
        </is>
      </c>
      <c r="K4724" s="12" t="inlineStr">
        <is>
          <t>TCX|1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I-I-0225</t>
        </is>
      </c>
      <c r="B4725" s="12" t="inlineStr">
        <is>
          <t>I</t>
        </is>
      </c>
      <c r="C4725" s="12" t="inlineStr">
        <is>
          <t>Modular / portable power</t>
        </is>
      </c>
      <c r="D4725" s="12" t="inlineStr">
        <is>
          <t>Home run JB-RICE-1-TC01 to the control / marshalling room</t>
        </is>
      </c>
      <c r="E4725" s="12" t="inlineStr"/>
      <c r="F4725" s="12" t="inlineStr">
        <is>
          <t>PCM: power control module</t>
        </is>
      </c>
      <c r="G4725" s="12" t="inlineStr">
        <is>
          <t>JB-RICE-1-TC01</t>
        </is>
      </c>
      <c r="H4725" s="12" t="inlineStr">
        <is>
          <t>RICE engine-generator 1</t>
        </is>
      </c>
      <c r="I4725" s="12" t="inlineStr">
        <is>
          <t>Instrumentation</t>
        </is>
      </c>
      <c r="J4725" s="12" t="inlineStr">
        <is>
          <t>Thermocouple extension KX, #16 shielded pairs, PLTC</t>
        </is>
      </c>
      <c r="K4725" s="12" t="inlineStr">
        <is>
          <t>TCX|24 pr|16</t>
        </is>
      </c>
      <c r="L4725" s="12" t="inlineStr">
        <is>
          <t>24 pr</t>
        </is>
      </c>
      <c r="M4725" s="12" t="inlineStr">
        <is>
          <t>16</t>
        </is>
      </c>
      <c r="N4725" s="12" t="n">
        <v>1</v>
      </c>
      <c r="O4725" s="12" t="n">
        <v>1</v>
      </c>
      <c r="P4725" s="12" t="n"/>
      <c r="Q4725" s="12" t="n"/>
      <c r="R4725" s="12" t="n"/>
      <c r="S4725" s="12" t="inlineStr">
        <is>
          <t>Duct bank</t>
        </is>
      </c>
      <c r="T4725" s="16" t="n">
        <v>550</v>
      </c>
      <c r="U4725" s="16" t="n">
        <v>137</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I-I-0226</t>
        </is>
      </c>
      <c r="B4726" s="12" t="inlineStr">
        <is>
          <t>I</t>
        </is>
      </c>
      <c r="C4726" s="12" t="inlineStr">
        <is>
          <t>Modular / portable power</t>
        </is>
      </c>
      <c r="D4726" s="12" t="inlineStr">
        <is>
          <t>Thermocouple to TC JB JB-RICE-1-TC02: 10 x 1 pr (field cables)</t>
        </is>
      </c>
      <c r="E4726" s="12" t="inlineStr">
        <is>
          <t>RICE-1</t>
        </is>
      </c>
      <c r="F4726" s="12" t="inlineStr">
        <is>
          <t>RICE engine-generator 1</t>
        </is>
      </c>
      <c r="G4726" s="12" t="inlineStr">
        <is>
          <t>JB-RICE-1-TC02</t>
        </is>
      </c>
      <c r="H4726" s="12" t="inlineStr">
        <is>
          <t>RICE engine-generator 1</t>
        </is>
      </c>
      <c r="I4726" s="12" t="inlineStr">
        <is>
          <t>Instrumentation</t>
        </is>
      </c>
      <c r="J4726" s="12" t="inlineStr">
        <is>
          <t>Thermocouple extension KX, #16 shielded pairs, PLTC</t>
        </is>
      </c>
      <c r="K4726" s="12" t="inlineStr">
        <is>
          <t>TCX|1 pr|16</t>
        </is>
      </c>
      <c r="L4726" s="12" t="inlineStr">
        <is>
          <t>1 pr</t>
        </is>
      </c>
      <c r="M4726" s="12" t="inlineStr">
        <is>
          <t>16</t>
        </is>
      </c>
      <c r="N4726" s="12" t="n">
        <v>10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I-I-0227</t>
        </is>
      </c>
      <c r="B4727" s="12" t="inlineStr">
        <is>
          <t>I</t>
        </is>
      </c>
      <c r="C4727" s="12" t="inlineStr">
        <is>
          <t>Modular / portable power</t>
        </is>
      </c>
      <c r="D4727" s="12" t="inlineStr">
        <is>
          <t>Home run JB-RICE-1-TC02 to the control / marshalling room</t>
        </is>
      </c>
      <c r="E4727" s="12" t="inlineStr"/>
      <c r="F4727" s="12" t="inlineStr">
        <is>
          <t>PCM: power control module</t>
        </is>
      </c>
      <c r="G4727" s="12" t="inlineStr">
        <is>
          <t>JB-RICE-1-TC02</t>
        </is>
      </c>
      <c r="H4727" s="12" t="inlineStr">
        <is>
          <t>RICE engine-generator 1</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Duct bank</t>
        </is>
      </c>
      <c r="T4727" s="16" t="n">
        <v>550</v>
      </c>
      <c r="U4727" s="16" t="n">
        <v>137</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I-I-0228</t>
        </is>
      </c>
      <c r="B4728" s="12" t="inlineStr">
        <is>
          <t>I</t>
        </is>
      </c>
      <c r="C4728" s="12" t="inlineStr">
        <is>
          <t>Modular / portable power</t>
        </is>
      </c>
      <c r="D4728" s="12" t="inlineStr">
        <is>
          <t>RTD to JB JB-RICE-1-RTD01: 10 x 1 tri (field cables)</t>
        </is>
      </c>
      <c r="E4728" s="12" t="inlineStr">
        <is>
          <t>RICE-1</t>
        </is>
      </c>
      <c r="F4728" s="12" t="inlineStr">
        <is>
          <t>RICE engine-generator 1</t>
        </is>
      </c>
      <c r="G4728" s="12" t="inlineStr">
        <is>
          <t>JB-RICE-1-RTD01</t>
        </is>
      </c>
      <c r="H4728" s="12" t="inlineStr">
        <is>
          <t>RICE engine-generator 1</t>
        </is>
      </c>
      <c r="I4728" s="12" t="inlineStr">
        <is>
          <t>Instrumentation</t>
        </is>
      </c>
      <c r="J4728" s="12" t="inlineStr">
        <is>
          <t>RTD cable, #18 shielded triads, PLTC</t>
        </is>
      </c>
      <c r="K4728" s="12" t="inlineStr">
        <is>
          <t>RTD|1 tri|18</t>
        </is>
      </c>
      <c r="L4728" s="12" t="inlineStr">
        <is>
          <t>1 tri</t>
        </is>
      </c>
      <c r="M4728" s="12" t="inlineStr">
        <is>
          <t>18</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I-I-0229</t>
        </is>
      </c>
      <c r="B4729" s="12" t="inlineStr">
        <is>
          <t>I</t>
        </is>
      </c>
      <c r="C4729" s="12" t="inlineStr">
        <is>
          <t>Modular / portable power</t>
        </is>
      </c>
      <c r="D4729" s="12" t="inlineStr">
        <is>
          <t>Home run JB-RICE-1-RTD01 to the control / marshalling room</t>
        </is>
      </c>
      <c r="E4729" s="12" t="inlineStr"/>
      <c r="F4729" s="12" t="inlineStr">
        <is>
          <t>PCM: power control module</t>
        </is>
      </c>
      <c r="G4729" s="12" t="inlineStr">
        <is>
          <t>JB-RICE-1-RTD01</t>
        </is>
      </c>
      <c r="H4729" s="12" t="inlineStr">
        <is>
          <t>RICE engine-generator 1</t>
        </is>
      </c>
      <c r="I4729" s="12" t="inlineStr">
        <is>
          <t>Instrumentation</t>
        </is>
      </c>
      <c r="J4729" s="12" t="inlineStr">
        <is>
          <t>RTD cable, #18 shielded triads, PLTC</t>
        </is>
      </c>
      <c r="K4729" s="12" t="inlineStr">
        <is>
          <t>RTD|12 tri|18</t>
        </is>
      </c>
      <c r="L4729" s="12" t="inlineStr">
        <is>
          <t>12 tri</t>
        </is>
      </c>
      <c r="M4729" s="12" t="inlineStr">
        <is>
          <t>18</t>
        </is>
      </c>
      <c r="N4729" s="12" t="n">
        <v>1</v>
      </c>
      <c r="O4729" s="12" t="n">
        <v>1</v>
      </c>
      <c r="P4729" s="12" t="n"/>
      <c r="Q4729" s="12" t="n"/>
      <c r="R4729" s="12" t="n"/>
      <c r="S4729" s="12" t="inlineStr">
        <is>
          <t>Duct bank</t>
        </is>
      </c>
      <c r="T4729" s="16" t="n">
        <v>550</v>
      </c>
      <c r="U4729" s="16" t="n">
        <v>137</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I-I-0230</t>
        </is>
      </c>
      <c r="B4730" s="12" t="inlineStr">
        <is>
          <t>I</t>
        </is>
      </c>
      <c r="C4730" s="12" t="inlineStr">
        <is>
          <t>Modular / portable power</t>
        </is>
      </c>
      <c r="D4730" s="12" t="inlineStr">
        <is>
          <t>RTD to JB JB-RICE-1-RTD02: 2 x 1 tri (field cables)</t>
        </is>
      </c>
      <c r="E4730" s="12" t="inlineStr">
        <is>
          <t>RICE-1</t>
        </is>
      </c>
      <c r="F4730" s="12" t="inlineStr">
        <is>
          <t>RICE engine-generator 1</t>
        </is>
      </c>
      <c r="G4730" s="12" t="inlineStr">
        <is>
          <t>JB-RICE-1-RTD02</t>
        </is>
      </c>
      <c r="H4730" s="12" t="inlineStr">
        <is>
          <t>RICE engine-generator 1</t>
        </is>
      </c>
      <c r="I4730" s="12" t="inlineStr">
        <is>
          <t>Instrumentation</t>
        </is>
      </c>
      <c r="J4730" s="12" t="inlineStr">
        <is>
          <t>RTD cable, #18 shielded triads, PLTC</t>
        </is>
      </c>
      <c r="K4730" s="12" t="inlineStr">
        <is>
          <t>RTD|1 tri|18</t>
        </is>
      </c>
      <c r="L4730" s="12" t="inlineStr">
        <is>
          <t>1 tri</t>
        </is>
      </c>
      <c r="M4730" s="12" t="inlineStr">
        <is>
          <t>18</t>
        </is>
      </c>
      <c r="N4730" s="12" t="n">
        <v>2</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I-I-0231</t>
        </is>
      </c>
      <c r="B4731" s="12" t="inlineStr">
        <is>
          <t>I</t>
        </is>
      </c>
      <c r="C4731" s="12" t="inlineStr">
        <is>
          <t>Modular / portable power</t>
        </is>
      </c>
      <c r="D4731" s="12" t="inlineStr">
        <is>
          <t>Home run JB-RICE-1-RTD02 to the control / marshalling room</t>
        </is>
      </c>
      <c r="E4731" s="12" t="inlineStr"/>
      <c r="F4731" s="12" t="inlineStr">
        <is>
          <t>PCM: power control module</t>
        </is>
      </c>
      <c r="G4731" s="12" t="inlineStr">
        <is>
          <t>JB-RICE-1-RTD02</t>
        </is>
      </c>
      <c r="H4731" s="12" t="inlineStr">
        <is>
          <t>RICE engine-generator 1</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Duct bank</t>
        </is>
      </c>
      <c r="T4731" s="16" t="n">
        <v>550</v>
      </c>
      <c r="U4731" s="16" t="n">
        <v>137</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I-I-0232</t>
        </is>
      </c>
      <c r="B4732" s="12" t="inlineStr">
        <is>
          <t>I</t>
        </is>
      </c>
      <c r="C4732" s="12" t="inlineStr">
        <is>
          <t>Modular / portable power</t>
        </is>
      </c>
      <c r="D4732" s="12" t="inlineStr">
        <is>
          <t>Analog instrument to JB JB-RICE-2-AI01: 20 x 1 pr (field cables)</t>
        </is>
      </c>
      <c r="E4732" s="12" t="inlineStr">
        <is>
          <t>RICE-2</t>
        </is>
      </c>
      <c r="F4732" s="12" t="inlineStr">
        <is>
          <t>RICE engine-generator 2</t>
        </is>
      </c>
      <c r="G4732" s="12" t="inlineStr">
        <is>
          <t>JB-RICE-2-AI01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I-I-0233</t>
        </is>
      </c>
      <c r="B4733" s="12" t="inlineStr">
        <is>
          <t>I</t>
        </is>
      </c>
      <c r="C4733" s="12" t="inlineStr">
        <is>
          <t>Modular / portable power</t>
        </is>
      </c>
      <c r="D4733" s="12" t="inlineStr">
        <is>
          <t>Home run JB-RICE-2-AI01 to the control / marshalling room</t>
        </is>
      </c>
      <c r="E4733" s="12" t="inlineStr"/>
      <c r="F4733" s="12" t="inlineStr">
        <is>
          <t>PCM: power control module</t>
        </is>
      </c>
      <c r="G4733" s="12" t="inlineStr">
        <is>
          <t>JB-RICE-2-AI01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I-I-0234</t>
        </is>
      </c>
      <c r="B4734" s="12" t="inlineStr">
        <is>
          <t>I</t>
        </is>
      </c>
      <c r="C4734" s="12" t="inlineStr">
        <is>
          <t>Modular / portable power</t>
        </is>
      </c>
      <c r="D4734" s="12" t="inlineStr">
        <is>
          <t>Analog instrument to JB JB-RICE-2-AI02: 20 x 1 pr (field cables)</t>
        </is>
      </c>
      <c r="E4734" s="12" t="inlineStr">
        <is>
          <t>RICE-2</t>
        </is>
      </c>
      <c r="F4734" s="12" t="inlineStr">
        <is>
          <t>RICE engine-generator 2</t>
        </is>
      </c>
      <c r="G4734" s="12" t="inlineStr">
        <is>
          <t>JB-RICE-2-AI02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I-I-0235</t>
        </is>
      </c>
      <c r="B4735" s="12" t="inlineStr">
        <is>
          <t>I</t>
        </is>
      </c>
      <c r="C4735" s="12" t="inlineStr">
        <is>
          <t>Modular / portable power</t>
        </is>
      </c>
      <c r="D4735" s="12" t="inlineStr">
        <is>
          <t>Home run JB-RICE-2-AI02 to the control / marshalling room</t>
        </is>
      </c>
      <c r="E4735" s="12" t="inlineStr"/>
      <c r="F4735" s="12" t="inlineStr">
        <is>
          <t>PCM: power control module</t>
        </is>
      </c>
      <c r="G4735" s="12" t="inlineStr">
        <is>
          <t>JB-RICE-2-AI02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I-I-0236</t>
        </is>
      </c>
      <c r="B4736" s="12" t="inlineStr">
        <is>
          <t>I</t>
        </is>
      </c>
      <c r="C4736" s="12" t="inlineStr">
        <is>
          <t>Modular / portable power</t>
        </is>
      </c>
      <c r="D4736" s="12" t="inlineStr">
        <is>
          <t>Analog instrument to JB JB-RICE-2-AI03: 20 x 1 pr (field cables)</t>
        </is>
      </c>
      <c r="E4736" s="12" t="inlineStr">
        <is>
          <t>RICE-2</t>
        </is>
      </c>
      <c r="F4736" s="12" t="inlineStr">
        <is>
          <t>RICE engine-generator 2</t>
        </is>
      </c>
      <c r="G4736" s="12" t="inlineStr">
        <is>
          <t>JB-RICE-2-AI03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I-I-0237</t>
        </is>
      </c>
      <c r="B4737" s="12" t="inlineStr">
        <is>
          <t>I</t>
        </is>
      </c>
      <c r="C4737" s="12" t="inlineStr">
        <is>
          <t>Modular / portable power</t>
        </is>
      </c>
      <c r="D4737" s="12" t="inlineStr">
        <is>
          <t>Home run JB-RICE-2-AI03 to the control / marshalling room</t>
        </is>
      </c>
      <c r="E4737" s="12" t="inlineStr"/>
      <c r="F4737" s="12" t="inlineStr">
        <is>
          <t>PCM: power control module</t>
        </is>
      </c>
      <c r="G4737" s="12" t="inlineStr">
        <is>
          <t>JB-RICE-2-AI03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I-I-0238</t>
        </is>
      </c>
      <c r="B4738" s="12" t="inlineStr">
        <is>
          <t>I</t>
        </is>
      </c>
      <c r="C4738" s="12" t="inlineStr">
        <is>
          <t>Modular / portable power</t>
        </is>
      </c>
      <c r="D4738" s="12" t="inlineStr">
        <is>
          <t>Analog instrument to JB JB-RICE-2-AI04: 20 x 1 pr (field cables)</t>
        </is>
      </c>
      <c r="E4738" s="12" t="inlineStr">
        <is>
          <t>RICE-2</t>
        </is>
      </c>
      <c r="F4738" s="12" t="inlineStr">
        <is>
          <t>RICE engine-generator 2</t>
        </is>
      </c>
      <c r="G4738" s="12" t="inlineStr">
        <is>
          <t>JB-RICE-2-AI04</t>
        </is>
      </c>
      <c r="H4738" s="12" t="inlineStr">
        <is>
          <t>RICE engine-generator 2</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I-I-0239</t>
        </is>
      </c>
      <c r="B4739" s="12" t="inlineStr">
        <is>
          <t>I</t>
        </is>
      </c>
      <c r="C4739" s="12" t="inlineStr">
        <is>
          <t>Modular / portable power</t>
        </is>
      </c>
      <c r="D4739" s="12" t="inlineStr">
        <is>
          <t>Home run JB-RICE-2-AI04 to the control / marshalling room</t>
        </is>
      </c>
      <c r="E4739" s="12" t="inlineStr"/>
      <c r="F4739" s="12" t="inlineStr">
        <is>
          <t>PCM: power control module</t>
        </is>
      </c>
      <c r="G4739" s="12" t="inlineStr">
        <is>
          <t>JB-RICE-2-AI04</t>
        </is>
      </c>
      <c r="H4739" s="12" t="inlineStr">
        <is>
          <t>RICE engine-generator 2</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I-I-0240</t>
        </is>
      </c>
      <c r="B4740" s="12" t="inlineStr">
        <is>
          <t>I</t>
        </is>
      </c>
      <c r="C4740" s="12" t="inlineStr">
        <is>
          <t>Modular / portable power</t>
        </is>
      </c>
      <c r="D4740" s="12" t="inlineStr">
        <is>
          <t>Discrete device to JB JB-RICE-2-DI01: 20 x 1 pr (field cables)</t>
        </is>
      </c>
      <c r="E4740" s="12" t="inlineStr">
        <is>
          <t>RICE-2</t>
        </is>
      </c>
      <c r="F4740" s="12" t="inlineStr">
        <is>
          <t>RICE engine-generator 2</t>
        </is>
      </c>
      <c r="G4740" s="12" t="inlineStr">
        <is>
          <t>JB-RICE-2-DI01</t>
        </is>
      </c>
      <c r="H4740" s="12" t="inlineStr">
        <is>
          <t>RICE engine-generator 2</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I-I-0241</t>
        </is>
      </c>
      <c r="B4741" s="12" t="inlineStr">
        <is>
          <t>I</t>
        </is>
      </c>
      <c r="C4741" s="12" t="inlineStr">
        <is>
          <t>Modular / portable power</t>
        </is>
      </c>
      <c r="D4741" s="12" t="inlineStr">
        <is>
          <t>Home run JB-RICE-2-DI01 to the control / marshalling room</t>
        </is>
      </c>
      <c r="E4741" s="12" t="inlineStr"/>
      <c r="F4741" s="12" t="inlineStr">
        <is>
          <t>PCM: power control module</t>
        </is>
      </c>
      <c r="G4741" s="12" t="inlineStr">
        <is>
          <t>JB-RICE-2-DI01</t>
        </is>
      </c>
      <c r="H4741" s="12" t="inlineStr">
        <is>
          <t>RICE engine-generator 2</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I-I-0242</t>
        </is>
      </c>
      <c r="B4742" s="12" t="inlineStr">
        <is>
          <t>I</t>
        </is>
      </c>
      <c r="C4742" s="12" t="inlineStr">
        <is>
          <t>Modular / portable power</t>
        </is>
      </c>
      <c r="D4742" s="12" t="inlineStr">
        <is>
          <t>Discrete device to JB JB-RICE-2-DI02: 20 x 1 pr (field cables)</t>
        </is>
      </c>
      <c r="E4742" s="12" t="inlineStr">
        <is>
          <t>RICE-2</t>
        </is>
      </c>
      <c r="F4742" s="12" t="inlineStr">
        <is>
          <t>RICE engine-generator 2</t>
        </is>
      </c>
      <c r="G4742" s="12" t="inlineStr">
        <is>
          <t>JB-RICE-2-DI02</t>
        </is>
      </c>
      <c r="H4742" s="12" t="inlineStr">
        <is>
          <t>RICE engine-generator 2</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I-I-0243</t>
        </is>
      </c>
      <c r="B4743" s="12" t="inlineStr">
        <is>
          <t>I</t>
        </is>
      </c>
      <c r="C4743" s="12" t="inlineStr">
        <is>
          <t>Modular / portable power</t>
        </is>
      </c>
      <c r="D4743" s="12" t="inlineStr">
        <is>
          <t>Home run JB-RICE-2-DI02 to the control / marshalling room</t>
        </is>
      </c>
      <c r="E4743" s="12" t="inlineStr"/>
      <c r="F4743" s="12" t="inlineStr">
        <is>
          <t>PCM: power control module</t>
        </is>
      </c>
      <c r="G4743" s="12" t="inlineStr">
        <is>
          <t>JB-RICE-2-DI02</t>
        </is>
      </c>
      <c r="H4743" s="12" t="inlineStr">
        <is>
          <t>RICE engine-generator 2</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I-I-0244</t>
        </is>
      </c>
      <c r="B4744" s="12" t="inlineStr">
        <is>
          <t>I</t>
        </is>
      </c>
      <c r="C4744" s="12" t="inlineStr">
        <is>
          <t>Modular / portable power</t>
        </is>
      </c>
      <c r="D4744" s="12" t="inlineStr">
        <is>
          <t>Discrete device to JB JB-RICE-2-DI03: 20 x 1 pr (field cables)</t>
        </is>
      </c>
      <c r="E4744" s="12" t="inlineStr">
        <is>
          <t>RICE-2</t>
        </is>
      </c>
      <c r="F4744" s="12" t="inlineStr">
        <is>
          <t>RICE engine-generator 2</t>
        </is>
      </c>
      <c r="G4744" s="12" t="inlineStr">
        <is>
          <t>JB-RICE-2-DI03</t>
        </is>
      </c>
      <c r="H4744" s="12" t="inlineStr">
        <is>
          <t>RICE engine-generator 2</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I-I-0245</t>
        </is>
      </c>
      <c r="B4745" s="12" t="inlineStr">
        <is>
          <t>I</t>
        </is>
      </c>
      <c r="C4745" s="12" t="inlineStr">
        <is>
          <t>Modular / portable power</t>
        </is>
      </c>
      <c r="D4745" s="12" t="inlineStr">
        <is>
          <t>Home run JB-RICE-2-DI03 to the control / marshalling room</t>
        </is>
      </c>
      <c r="E4745" s="12" t="inlineStr"/>
      <c r="F4745" s="12" t="inlineStr">
        <is>
          <t>PCM: power control module</t>
        </is>
      </c>
      <c r="G4745" s="12" t="inlineStr">
        <is>
          <t>JB-RICE-2-DI03</t>
        </is>
      </c>
      <c r="H4745" s="12" t="inlineStr">
        <is>
          <t>RICE engine-generator 2</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I-I-0246</t>
        </is>
      </c>
      <c r="B4746" s="12" t="inlineStr">
        <is>
          <t>I</t>
        </is>
      </c>
      <c r="C4746" s="12" t="inlineStr">
        <is>
          <t>Modular / portable power</t>
        </is>
      </c>
      <c r="D4746" s="12" t="inlineStr">
        <is>
          <t>Thermocouple to TC JB JB-RICE-2-TC01: 20 x 1 pr (field cables)</t>
        </is>
      </c>
      <c r="E4746" s="12" t="inlineStr">
        <is>
          <t>RICE-2</t>
        </is>
      </c>
      <c r="F4746" s="12" t="inlineStr">
        <is>
          <t>RICE engine-generator 2</t>
        </is>
      </c>
      <c r="G4746" s="12" t="inlineStr">
        <is>
          <t>JB-RICE-2-TC01</t>
        </is>
      </c>
      <c r="H4746" s="12" t="inlineStr">
        <is>
          <t>RICE engine-generator 2</t>
        </is>
      </c>
      <c r="I4746" s="12" t="inlineStr">
        <is>
          <t>Instrumentation</t>
        </is>
      </c>
      <c r="J4746" s="12" t="inlineStr">
        <is>
          <t>Thermocouple extension KX, #16 shielded pairs, PLTC</t>
        </is>
      </c>
      <c r="K4746" s="12" t="inlineStr">
        <is>
          <t>TCX|1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I-I-0247</t>
        </is>
      </c>
      <c r="B4747" s="12" t="inlineStr">
        <is>
          <t>I</t>
        </is>
      </c>
      <c r="C4747" s="12" t="inlineStr">
        <is>
          <t>Modular / portable power</t>
        </is>
      </c>
      <c r="D4747" s="12" t="inlineStr">
        <is>
          <t>Home run JB-RICE-2-TC01 to the control / marshalling room</t>
        </is>
      </c>
      <c r="E4747" s="12" t="inlineStr"/>
      <c r="F4747" s="12" t="inlineStr">
        <is>
          <t>PCM: power control module</t>
        </is>
      </c>
      <c r="G4747" s="12" t="inlineStr">
        <is>
          <t>JB-RICE-2-TC01</t>
        </is>
      </c>
      <c r="H4747" s="12" t="inlineStr">
        <is>
          <t>RICE engine-generator 2</t>
        </is>
      </c>
      <c r="I4747" s="12" t="inlineStr">
        <is>
          <t>Instrumentation</t>
        </is>
      </c>
      <c r="J4747" s="12" t="inlineStr">
        <is>
          <t>Thermocouple extension KX, #16 shielded pairs, PLTC</t>
        </is>
      </c>
      <c r="K4747" s="12" t="inlineStr">
        <is>
          <t>TCX|24 pr|16</t>
        </is>
      </c>
      <c r="L4747" s="12" t="inlineStr">
        <is>
          <t>24 pr</t>
        </is>
      </c>
      <c r="M4747" s="12" t="inlineStr">
        <is>
          <t>16</t>
        </is>
      </c>
      <c r="N4747" s="12" t="n">
        <v>1</v>
      </c>
      <c r="O4747" s="12" t="n">
        <v>1</v>
      </c>
      <c r="P4747" s="12" t="n"/>
      <c r="Q4747" s="12" t="n"/>
      <c r="R4747" s="12" t="n"/>
      <c r="S4747" s="12" t="inlineStr">
        <is>
          <t>Duct bank</t>
        </is>
      </c>
      <c r="T4747" s="16" t="n">
        <v>550</v>
      </c>
      <c r="U4747" s="16" t="n">
        <v>109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I-I-0248</t>
        </is>
      </c>
      <c r="B4748" s="12" t="inlineStr">
        <is>
          <t>I</t>
        </is>
      </c>
      <c r="C4748" s="12" t="inlineStr">
        <is>
          <t>Modular / portable power</t>
        </is>
      </c>
      <c r="D4748" s="12" t="inlineStr">
        <is>
          <t>Thermocouple to TC JB JB-RICE-2-TC02: 10 x 1 pr (field cables)</t>
        </is>
      </c>
      <c r="E4748" s="12" t="inlineStr">
        <is>
          <t>RICE-2</t>
        </is>
      </c>
      <c r="F4748" s="12" t="inlineStr">
        <is>
          <t>RICE engine-generator 2</t>
        </is>
      </c>
      <c r="G4748" s="12" t="inlineStr">
        <is>
          <t>JB-RICE-2-TC02</t>
        </is>
      </c>
      <c r="H4748" s="12" t="inlineStr">
        <is>
          <t>RICE engine-generator 2</t>
        </is>
      </c>
      <c r="I4748" s="12" t="inlineStr">
        <is>
          <t>Instrumentation</t>
        </is>
      </c>
      <c r="J4748" s="12" t="inlineStr">
        <is>
          <t>Thermocouple extension KX, #16 shielded pairs, PLTC</t>
        </is>
      </c>
      <c r="K4748" s="12" t="inlineStr">
        <is>
          <t>TCX|1 pr|16</t>
        </is>
      </c>
      <c r="L4748" s="12" t="inlineStr">
        <is>
          <t>1 pr</t>
        </is>
      </c>
      <c r="M4748" s="12" t="inlineStr">
        <is>
          <t>16</t>
        </is>
      </c>
      <c r="N4748" s="12" t="n">
        <v>10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I-I-0249</t>
        </is>
      </c>
      <c r="B4749" s="12" t="inlineStr">
        <is>
          <t>I</t>
        </is>
      </c>
      <c r="C4749" s="12" t="inlineStr">
        <is>
          <t>Modular / portable power</t>
        </is>
      </c>
      <c r="D4749" s="12" t="inlineStr">
        <is>
          <t>Home run JB-RICE-2-TC02 to the control / marshalling room</t>
        </is>
      </c>
      <c r="E4749" s="12" t="inlineStr"/>
      <c r="F4749" s="12" t="inlineStr">
        <is>
          <t>PCM: power control module</t>
        </is>
      </c>
      <c r="G4749" s="12" t="inlineStr">
        <is>
          <t>JB-RICE-2-TC02</t>
        </is>
      </c>
      <c r="H4749" s="12" t="inlineStr">
        <is>
          <t>RICE engine-generator 2</t>
        </is>
      </c>
      <c r="I4749" s="12" t="inlineStr">
        <is>
          <t>Instrumentation</t>
        </is>
      </c>
      <c r="J4749" s="12" t="inlineStr">
        <is>
          <t>Thermocouple extension KX, #16 shielded pairs, PLTC</t>
        </is>
      </c>
      <c r="K4749" s="12" t="inlineStr">
        <is>
          <t>TCX|24 pr|16</t>
        </is>
      </c>
      <c r="L4749" s="12" t="inlineStr">
        <is>
          <t>24 pr</t>
        </is>
      </c>
      <c r="M4749" s="12" t="inlineStr">
        <is>
          <t>16</t>
        </is>
      </c>
      <c r="N4749" s="12" t="n">
        <v>1</v>
      </c>
      <c r="O4749" s="12" t="n">
        <v>1</v>
      </c>
      <c r="P4749" s="12" t="n"/>
      <c r="Q4749" s="12" t="n"/>
      <c r="R4749" s="12" t="n"/>
      <c r="S4749" s="12" t="inlineStr">
        <is>
          <t>Duct bank</t>
        </is>
      </c>
      <c r="T4749" s="16" t="n">
        <v>550</v>
      </c>
      <c r="U4749" s="16" t="n">
        <v>109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I-I-0250</t>
        </is>
      </c>
      <c r="B4750" s="12" t="inlineStr">
        <is>
          <t>I</t>
        </is>
      </c>
      <c r="C4750" s="12" t="inlineStr">
        <is>
          <t>Modular / portable power</t>
        </is>
      </c>
      <c r="D4750" s="12" t="inlineStr">
        <is>
          <t>RTD to JB JB-RICE-2-RTD01: 10 x 1 tri (field cables)</t>
        </is>
      </c>
      <c r="E4750" s="12" t="inlineStr">
        <is>
          <t>RICE-2</t>
        </is>
      </c>
      <c r="F4750" s="12" t="inlineStr">
        <is>
          <t>RICE engine-generator 2</t>
        </is>
      </c>
      <c r="G4750" s="12" t="inlineStr">
        <is>
          <t>JB-RICE-2-RTD01</t>
        </is>
      </c>
      <c r="H4750" s="12" t="inlineStr">
        <is>
          <t>RICE engine-generator 2</t>
        </is>
      </c>
      <c r="I4750" s="12" t="inlineStr">
        <is>
          <t>Instrumentation</t>
        </is>
      </c>
      <c r="J4750" s="12" t="inlineStr">
        <is>
          <t>RTD cable, #18 shielded triads, PLTC</t>
        </is>
      </c>
      <c r="K4750" s="12" t="inlineStr">
        <is>
          <t>RTD|1 tri|18</t>
        </is>
      </c>
      <c r="L4750" s="12" t="inlineStr">
        <is>
          <t>1 tri</t>
        </is>
      </c>
      <c r="M4750" s="12" t="inlineStr">
        <is>
          <t>18</t>
        </is>
      </c>
      <c r="N4750" s="12" t="n">
        <v>10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I-I-0251</t>
        </is>
      </c>
      <c r="B4751" s="12" t="inlineStr">
        <is>
          <t>I</t>
        </is>
      </c>
      <c r="C4751" s="12" t="inlineStr">
        <is>
          <t>Modular / portable power</t>
        </is>
      </c>
      <c r="D4751" s="12" t="inlineStr">
        <is>
          <t>Home run JB-RICE-2-RTD01 to the control / marshalling room</t>
        </is>
      </c>
      <c r="E4751" s="12" t="inlineStr"/>
      <c r="F4751" s="12" t="inlineStr">
        <is>
          <t>PCM: power control module</t>
        </is>
      </c>
      <c r="G4751" s="12" t="inlineStr">
        <is>
          <t>JB-RICE-2-RTD01</t>
        </is>
      </c>
      <c r="H4751" s="12" t="inlineStr">
        <is>
          <t>RICE engine-generator 2</t>
        </is>
      </c>
      <c r="I4751" s="12" t="inlineStr">
        <is>
          <t>Instrumentation</t>
        </is>
      </c>
      <c r="J4751" s="12" t="inlineStr">
        <is>
          <t>RTD cable, #18 shielded triads, PLTC</t>
        </is>
      </c>
      <c r="K4751" s="12" t="inlineStr">
        <is>
          <t>RTD|12 tri|18</t>
        </is>
      </c>
      <c r="L4751" s="12" t="inlineStr">
        <is>
          <t>12 tri</t>
        </is>
      </c>
      <c r="M4751" s="12" t="inlineStr">
        <is>
          <t>18</t>
        </is>
      </c>
      <c r="N4751" s="12" t="n">
        <v>1</v>
      </c>
      <c r="O4751" s="12" t="n">
        <v>1</v>
      </c>
      <c r="P4751" s="12" t="n"/>
      <c r="Q4751" s="12" t="n"/>
      <c r="R4751" s="12" t="n"/>
      <c r="S4751" s="12" t="inlineStr">
        <is>
          <t>Duct bank</t>
        </is>
      </c>
      <c r="T4751" s="16" t="n">
        <v>550</v>
      </c>
      <c r="U4751" s="16" t="n">
        <v>109</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I-I-0252</t>
        </is>
      </c>
      <c r="B4752" s="12" t="inlineStr">
        <is>
          <t>I</t>
        </is>
      </c>
      <c r="C4752" s="12" t="inlineStr">
        <is>
          <t>Modular / portable power</t>
        </is>
      </c>
      <c r="D4752" s="12" t="inlineStr">
        <is>
          <t>RTD to JB JB-RICE-2-RTD02: 2 x 1 tri (field cables)</t>
        </is>
      </c>
      <c r="E4752" s="12" t="inlineStr">
        <is>
          <t>RICE-2</t>
        </is>
      </c>
      <c r="F4752" s="12" t="inlineStr">
        <is>
          <t>RICE engine-generator 2</t>
        </is>
      </c>
      <c r="G4752" s="12" t="inlineStr">
        <is>
          <t>JB-RICE-2-RTD02</t>
        </is>
      </c>
      <c r="H4752" s="12" t="inlineStr">
        <is>
          <t>RICE engine-generator 2</t>
        </is>
      </c>
      <c r="I4752" s="12" t="inlineStr">
        <is>
          <t>Instrumentation</t>
        </is>
      </c>
      <c r="J4752" s="12" t="inlineStr">
        <is>
          <t>RTD cable, #18 shielded triads, PLTC</t>
        </is>
      </c>
      <c r="K4752" s="12" t="inlineStr">
        <is>
          <t>RTD|1 tri|18</t>
        </is>
      </c>
      <c r="L4752" s="12" t="inlineStr">
        <is>
          <t>1 tri</t>
        </is>
      </c>
      <c r="M4752" s="12" t="inlineStr">
        <is>
          <t>18</t>
        </is>
      </c>
      <c r="N4752" s="12" t="n">
        <v>2</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I-I-0253</t>
        </is>
      </c>
      <c r="B4753" s="12" t="inlineStr">
        <is>
          <t>I</t>
        </is>
      </c>
      <c r="C4753" s="12" t="inlineStr">
        <is>
          <t>Modular / portable power</t>
        </is>
      </c>
      <c r="D4753" s="12" t="inlineStr">
        <is>
          <t>Home run JB-RICE-2-RTD02 to the control / marshalling room</t>
        </is>
      </c>
      <c r="E4753" s="12" t="inlineStr"/>
      <c r="F4753" s="12" t="inlineStr">
        <is>
          <t>PCM: power control module</t>
        </is>
      </c>
      <c r="G4753" s="12" t="inlineStr">
        <is>
          <t>JB-RICE-2-RTD02</t>
        </is>
      </c>
      <c r="H4753" s="12" t="inlineStr">
        <is>
          <t>RICE engine-generator 2</t>
        </is>
      </c>
      <c r="I4753" s="12" t="inlineStr">
        <is>
          <t>Instrumentation</t>
        </is>
      </c>
      <c r="J4753" s="12" t="inlineStr">
        <is>
          <t>RTD cable, #18 shielded triads, PLTC</t>
        </is>
      </c>
      <c r="K4753" s="12" t="inlineStr">
        <is>
          <t>RTD|12 tri|18</t>
        </is>
      </c>
      <c r="L4753" s="12" t="inlineStr">
        <is>
          <t>12 tri</t>
        </is>
      </c>
      <c r="M4753" s="12" t="inlineStr">
        <is>
          <t>18</t>
        </is>
      </c>
      <c r="N4753" s="12" t="n">
        <v>1</v>
      </c>
      <c r="O4753" s="12" t="n">
        <v>1</v>
      </c>
      <c r="P4753" s="12" t="n"/>
      <c r="Q4753" s="12" t="n"/>
      <c r="R4753" s="12" t="n"/>
      <c r="S4753" s="12" t="inlineStr">
        <is>
          <t>Duct bank</t>
        </is>
      </c>
      <c r="T4753" s="16" t="n">
        <v>550</v>
      </c>
      <c r="U4753" s="16" t="n">
        <v>109</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I-I-0254</t>
        </is>
      </c>
      <c r="B4754" s="12" t="inlineStr">
        <is>
          <t>I</t>
        </is>
      </c>
      <c r="C4754" s="12" t="inlineStr">
        <is>
          <t>Modular / portable power</t>
        </is>
      </c>
      <c r="D4754" s="12" t="inlineStr">
        <is>
          <t>Analog instrument to JB JB-RICE-3-AI01: 20 x 1 pr (field cables)</t>
        </is>
      </c>
      <c r="E4754" s="12" t="inlineStr">
        <is>
          <t>RICE-3</t>
        </is>
      </c>
      <c r="F4754" s="12" t="inlineStr">
        <is>
          <t>RICE engine-generator 3</t>
        </is>
      </c>
      <c r="G4754" s="12" t="inlineStr">
        <is>
          <t>JB-RICE-3-AI01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I-I-0255</t>
        </is>
      </c>
      <c r="B4755" s="12" t="inlineStr">
        <is>
          <t>I</t>
        </is>
      </c>
      <c r="C4755" s="12" t="inlineStr">
        <is>
          <t>Modular / portable power</t>
        </is>
      </c>
      <c r="D4755" s="12" t="inlineStr">
        <is>
          <t>Home run JB-RICE-3-AI01 to the control / marshalling room</t>
        </is>
      </c>
      <c r="E4755" s="12" t="inlineStr"/>
      <c r="F4755" s="12" t="inlineStr">
        <is>
          <t>PCM: power control module</t>
        </is>
      </c>
      <c r="G4755" s="12" t="inlineStr">
        <is>
          <t>JB-RICE-3-AI01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I-I-0256</t>
        </is>
      </c>
      <c r="B4756" s="12" t="inlineStr">
        <is>
          <t>I</t>
        </is>
      </c>
      <c r="C4756" s="12" t="inlineStr">
        <is>
          <t>Modular / portable power</t>
        </is>
      </c>
      <c r="D4756" s="12" t="inlineStr">
        <is>
          <t>Analog instrument to JB JB-RICE-3-AI02: 20 x 1 pr (field cables)</t>
        </is>
      </c>
      <c r="E4756" s="12" t="inlineStr">
        <is>
          <t>RICE-3</t>
        </is>
      </c>
      <c r="F4756" s="12" t="inlineStr">
        <is>
          <t>RICE engine-generator 3</t>
        </is>
      </c>
      <c r="G4756" s="12" t="inlineStr">
        <is>
          <t>JB-RICE-3-AI02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I-I-0257</t>
        </is>
      </c>
      <c r="B4757" s="12" t="inlineStr">
        <is>
          <t>I</t>
        </is>
      </c>
      <c r="C4757" s="12" t="inlineStr">
        <is>
          <t>Modular / portable power</t>
        </is>
      </c>
      <c r="D4757" s="12" t="inlineStr">
        <is>
          <t>Home run JB-RICE-3-AI02 to the control / marshalling room</t>
        </is>
      </c>
      <c r="E4757" s="12" t="inlineStr"/>
      <c r="F4757" s="12" t="inlineStr">
        <is>
          <t>PCM: power control module</t>
        </is>
      </c>
      <c r="G4757" s="12" t="inlineStr">
        <is>
          <t>JB-RICE-3-AI02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I-I-0258</t>
        </is>
      </c>
      <c r="B4758" s="12" t="inlineStr">
        <is>
          <t>I</t>
        </is>
      </c>
      <c r="C4758" s="12" t="inlineStr">
        <is>
          <t>Modular / portable power</t>
        </is>
      </c>
      <c r="D4758" s="12" t="inlineStr">
        <is>
          <t>Analog instrument to JB JB-RICE-3-AI03: 20 x 1 pr (field cables)</t>
        </is>
      </c>
      <c r="E4758" s="12" t="inlineStr">
        <is>
          <t>RICE-3</t>
        </is>
      </c>
      <c r="F4758" s="12" t="inlineStr">
        <is>
          <t>RICE engine-generator 3</t>
        </is>
      </c>
      <c r="G4758" s="12" t="inlineStr">
        <is>
          <t>JB-RICE-3-AI03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I-I-0259</t>
        </is>
      </c>
      <c r="B4759" s="12" t="inlineStr">
        <is>
          <t>I</t>
        </is>
      </c>
      <c r="C4759" s="12" t="inlineStr">
        <is>
          <t>Modular / portable power</t>
        </is>
      </c>
      <c r="D4759" s="12" t="inlineStr">
        <is>
          <t>Home run JB-RICE-3-AI03 to the control / marshalling room</t>
        </is>
      </c>
      <c r="E4759" s="12" t="inlineStr"/>
      <c r="F4759" s="12" t="inlineStr">
        <is>
          <t>PCM: power control module</t>
        </is>
      </c>
      <c r="G4759" s="12" t="inlineStr">
        <is>
          <t>JB-RICE-3-AI03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I-I-0260</t>
        </is>
      </c>
      <c r="B4760" s="12" t="inlineStr">
        <is>
          <t>I</t>
        </is>
      </c>
      <c r="C4760" s="12" t="inlineStr">
        <is>
          <t>Modular / portable power</t>
        </is>
      </c>
      <c r="D4760" s="12" t="inlineStr">
        <is>
          <t>Analog instrument to JB JB-RICE-3-AI04: 20 x 1 pr (field cables)</t>
        </is>
      </c>
      <c r="E4760" s="12" t="inlineStr">
        <is>
          <t>RICE-3</t>
        </is>
      </c>
      <c r="F4760" s="12" t="inlineStr">
        <is>
          <t>RICE engine-generator 3</t>
        </is>
      </c>
      <c r="G4760" s="12" t="inlineStr">
        <is>
          <t>JB-RICE-3-AI04</t>
        </is>
      </c>
      <c r="H4760" s="12" t="inlineStr">
        <is>
          <t>RICE engine-generator 3</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I-I-0261</t>
        </is>
      </c>
      <c r="B4761" s="12" t="inlineStr">
        <is>
          <t>I</t>
        </is>
      </c>
      <c r="C4761" s="12" t="inlineStr">
        <is>
          <t>Modular / portable power</t>
        </is>
      </c>
      <c r="D4761" s="12" t="inlineStr">
        <is>
          <t>Home run JB-RICE-3-AI04 to the control / marshalling room</t>
        </is>
      </c>
      <c r="E4761" s="12" t="inlineStr"/>
      <c r="F4761" s="12" t="inlineStr">
        <is>
          <t>PCM: power control module</t>
        </is>
      </c>
      <c r="G4761" s="12" t="inlineStr">
        <is>
          <t>JB-RICE-3-AI04</t>
        </is>
      </c>
      <c r="H4761" s="12" t="inlineStr">
        <is>
          <t>RICE engine-generator 3</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I-I-0262</t>
        </is>
      </c>
      <c r="B4762" s="12" t="inlineStr">
        <is>
          <t>I</t>
        </is>
      </c>
      <c r="C4762" s="12" t="inlineStr">
        <is>
          <t>Modular / portable power</t>
        </is>
      </c>
      <c r="D4762" s="12" t="inlineStr">
        <is>
          <t>Discrete device to JB JB-RICE-3-DI01: 20 x 1 pr (field cables)</t>
        </is>
      </c>
      <c r="E4762" s="12" t="inlineStr">
        <is>
          <t>RICE-3</t>
        </is>
      </c>
      <c r="F4762" s="12" t="inlineStr">
        <is>
          <t>RICE engine-generator 3</t>
        </is>
      </c>
      <c r="G4762" s="12" t="inlineStr">
        <is>
          <t>JB-RICE-3-DI01</t>
        </is>
      </c>
      <c r="H4762" s="12" t="inlineStr">
        <is>
          <t>RICE engine-generator 3</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I-I-0263</t>
        </is>
      </c>
      <c r="B4763" s="12" t="inlineStr">
        <is>
          <t>I</t>
        </is>
      </c>
      <c r="C4763" s="12" t="inlineStr">
        <is>
          <t>Modular / portable power</t>
        </is>
      </c>
      <c r="D4763" s="12" t="inlineStr">
        <is>
          <t>Home run JB-RICE-3-DI01 to the control / marshalling room</t>
        </is>
      </c>
      <c r="E4763" s="12" t="inlineStr"/>
      <c r="F4763" s="12" t="inlineStr">
        <is>
          <t>PCM: power control module</t>
        </is>
      </c>
      <c r="G4763" s="12" t="inlineStr">
        <is>
          <t>JB-RICE-3-DI01</t>
        </is>
      </c>
      <c r="H4763" s="12" t="inlineStr">
        <is>
          <t>RICE engine-generator 3</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I-I-0264</t>
        </is>
      </c>
      <c r="B4764" s="12" t="inlineStr">
        <is>
          <t>I</t>
        </is>
      </c>
      <c r="C4764" s="12" t="inlineStr">
        <is>
          <t>Modular / portable power</t>
        </is>
      </c>
      <c r="D4764" s="12" t="inlineStr">
        <is>
          <t>Discrete device to JB JB-RICE-3-DI02: 20 x 1 pr (field cables)</t>
        </is>
      </c>
      <c r="E4764" s="12" t="inlineStr">
        <is>
          <t>RICE-3</t>
        </is>
      </c>
      <c r="F4764" s="12" t="inlineStr">
        <is>
          <t>RICE engine-generator 3</t>
        </is>
      </c>
      <c r="G4764" s="12" t="inlineStr">
        <is>
          <t>JB-RICE-3-DI02</t>
        </is>
      </c>
      <c r="H4764" s="12" t="inlineStr">
        <is>
          <t>RICE engine-generator 3</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I-I-0265</t>
        </is>
      </c>
      <c r="B4765" s="12" t="inlineStr">
        <is>
          <t>I</t>
        </is>
      </c>
      <c r="C4765" s="12" t="inlineStr">
        <is>
          <t>Modular / portable power</t>
        </is>
      </c>
      <c r="D4765" s="12" t="inlineStr">
        <is>
          <t>Home run JB-RICE-3-DI02 to the control / marshalling room</t>
        </is>
      </c>
      <c r="E4765" s="12" t="inlineStr"/>
      <c r="F4765" s="12" t="inlineStr">
        <is>
          <t>PCM: power control module</t>
        </is>
      </c>
      <c r="G4765" s="12" t="inlineStr">
        <is>
          <t>JB-RICE-3-DI02</t>
        </is>
      </c>
      <c r="H4765" s="12" t="inlineStr">
        <is>
          <t>RICE engine-generator 3</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I-I-0266</t>
        </is>
      </c>
      <c r="B4766" s="12" t="inlineStr">
        <is>
          <t>I</t>
        </is>
      </c>
      <c r="C4766" s="12" t="inlineStr">
        <is>
          <t>Modular / portable power</t>
        </is>
      </c>
      <c r="D4766" s="12" t="inlineStr">
        <is>
          <t>Discrete device to JB JB-RICE-3-DI03: 20 x 1 pr (field cables)</t>
        </is>
      </c>
      <c r="E4766" s="12" t="inlineStr">
        <is>
          <t>RICE-3</t>
        </is>
      </c>
      <c r="F4766" s="12" t="inlineStr">
        <is>
          <t>RICE engine-generator 3</t>
        </is>
      </c>
      <c r="G4766" s="12" t="inlineStr">
        <is>
          <t>JB-RICE-3-DI03</t>
        </is>
      </c>
      <c r="H4766" s="12" t="inlineStr">
        <is>
          <t>RICE engine-generator 3</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I-I-0267</t>
        </is>
      </c>
      <c r="B4767" s="12" t="inlineStr">
        <is>
          <t>I</t>
        </is>
      </c>
      <c r="C4767" s="12" t="inlineStr">
        <is>
          <t>Modular / portable power</t>
        </is>
      </c>
      <c r="D4767" s="12" t="inlineStr">
        <is>
          <t>Home run JB-RICE-3-DI03 to the control / marshalling room</t>
        </is>
      </c>
      <c r="E4767" s="12" t="inlineStr"/>
      <c r="F4767" s="12" t="inlineStr">
        <is>
          <t>PCM: power control module</t>
        </is>
      </c>
      <c r="G4767" s="12" t="inlineStr">
        <is>
          <t>JB-RICE-3-DI03</t>
        </is>
      </c>
      <c r="H4767" s="12" t="inlineStr">
        <is>
          <t>RICE engine-generator 3</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I-I-0268</t>
        </is>
      </c>
      <c r="B4768" s="12" t="inlineStr">
        <is>
          <t>I</t>
        </is>
      </c>
      <c r="C4768" s="12" t="inlineStr">
        <is>
          <t>Modular / portable power</t>
        </is>
      </c>
      <c r="D4768" s="12" t="inlineStr">
        <is>
          <t>Thermocouple to TC JB JB-RICE-3-TC01: 20 x 1 pr (field cables)</t>
        </is>
      </c>
      <c r="E4768" s="12" t="inlineStr">
        <is>
          <t>RICE-3</t>
        </is>
      </c>
      <c r="F4768" s="12" t="inlineStr">
        <is>
          <t>RICE engine-generator 3</t>
        </is>
      </c>
      <c r="G4768" s="12" t="inlineStr">
        <is>
          <t>JB-RICE-3-TC01</t>
        </is>
      </c>
      <c r="H4768" s="12" t="inlineStr">
        <is>
          <t>RICE engine-generator 3</t>
        </is>
      </c>
      <c r="I4768" s="12" t="inlineStr">
        <is>
          <t>Instrumentation</t>
        </is>
      </c>
      <c r="J4768" s="12" t="inlineStr">
        <is>
          <t>Thermocouple extension KX, #16 shielded pairs, PLTC</t>
        </is>
      </c>
      <c r="K4768" s="12" t="inlineStr">
        <is>
          <t>TCX|1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I-I-0269</t>
        </is>
      </c>
      <c r="B4769" s="12" t="inlineStr">
        <is>
          <t>I</t>
        </is>
      </c>
      <c r="C4769" s="12" t="inlineStr">
        <is>
          <t>Modular / portable power</t>
        </is>
      </c>
      <c r="D4769" s="12" t="inlineStr">
        <is>
          <t>Home run JB-RICE-3-TC01 to the control / marshalling room</t>
        </is>
      </c>
      <c r="E4769" s="12" t="inlineStr"/>
      <c r="F4769" s="12" t="inlineStr">
        <is>
          <t>PCM: power control module</t>
        </is>
      </c>
      <c r="G4769" s="12" t="inlineStr">
        <is>
          <t>JB-RICE-3-TC01</t>
        </is>
      </c>
      <c r="H4769" s="12" t="inlineStr">
        <is>
          <t>RICE engine-generator 3</t>
        </is>
      </c>
      <c r="I4769" s="12" t="inlineStr">
        <is>
          <t>Instrumentation</t>
        </is>
      </c>
      <c r="J4769" s="12" t="inlineStr">
        <is>
          <t>Thermocouple extension KX, #16 shielded pairs, PLTC</t>
        </is>
      </c>
      <c r="K4769" s="12" t="inlineStr">
        <is>
          <t>TCX|24 pr|16</t>
        </is>
      </c>
      <c r="L4769" s="12" t="inlineStr">
        <is>
          <t>24 pr</t>
        </is>
      </c>
      <c r="M4769" s="12" t="inlineStr">
        <is>
          <t>16</t>
        </is>
      </c>
      <c r="N4769" s="12" t="n">
        <v>1</v>
      </c>
      <c r="O4769" s="12" t="n">
        <v>1</v>
      </c>
      <c r="P4769" s="12" t="n"/>
      <c r="Q4769" s="12" t="n"/>
      <c r="R4769" s="12" t="n"/>
      <c r="S4769" s="12" t="inlineStr">
        <is>
          <t>Duct bank</t>
        </is>
      </c>
      <c r="T4769" s="16" t="n">
        <v>550</v>
      </c>
      <c r="U4769" s="16" t="n">
        <v>81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I-I-0270</t>
        </is>
      </c>
      <c r="B4770" s="12" t="inlineStr">
        <is>
          <t>I</t>
        </is>
      </c>
      <c r="C4770" s="12" t="inlineStr">
        <is>
          <t>Modular / portable power</t>
        </is>
      </c>
      <c r="D4770" s="12" t="inlineStr">
        <is>
          <t>Thermocouple to TC JB JB-RICE-3-TC02: 10 x 1 pr (field cables)</t>
        </is>
      </c>
      <c r="E4770" s="12" t="inlineStr">
        <is>
          <t>RICE-3</t>
        </is>
      </c>
      <c r="F4770" s="12" t="inlineStr">
        <is>
          <t>RICE engine-generator 3</t>
        </is>
      </c>
      <c r="G4770" s="12" t="inlineStr">
        <is>
          <t>JB-RICE-3-TC02</t>
        </is>
      </c>
      <c r="H4770" s="12" t="inlineStr">
        <is>
          <t>RICE engine-generator 3</t>
        </is>
      </c>
      <c r="I4770" s="12" t="inlineStr">
        <is>
          <t>Instrumentation</t>
        </is>
      </c>
      <c r="J4770" s="12" t="inlineStr">
        <is>
          <t>Thermocouple extension KX, #16 shielded pairs, PLTC</t>
        </is>
      </c>
      <c r="K4770" s="12" t="inlineStr">
        <is>
          <t>TCX|1 pr|16</t>
        </is>
      </c>
      <c r="L4770" s="12" t="inlineStr">
        <is>
          <t>1 pr</t>
        </is>
      </c>
      <c r="M4770" s="12" t="inlineStr">
        <is>
          <t>16</t>
        </is>
      </c>
      <c r="N4770" s="12" t="n">
        <v>10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I-I-0271</t>
        </is>
      </c>
      <c r="B4771" s="12" t="inlineStr">
        <is>
          <t>I</t>
        </is>
      </c>
      <c r="C4771" s="12" t="inlineStr">
        <is>
          <t>Modular / portable power</t>
        </is>
      </c>
      <c r="D4771" s="12" t="inlineStr">
        <is>
          <t>Home run JB-RICE-3-TC02 to the control / marshalling room</t>
        </is>
      </c>
      <c r="E4771" s="12" t="inlineStr"/>
      <c r="F4771" s="12" t="inlineStr">
        <is>
          <t>PCM: power control module</t>
        </is>
      </c>
      <c r="G4771" s="12" t="inlineStr">
        <is>
          <t>JB-RICE-3-TC02</t>
        </is>
      </c>
      <c r="H4771" s="12" t="inlineStr">
        <is>
          <t>RICE engine-generator 3</t>
        </is>
      </c>
      <c r="I4771" s="12" t="inlineStr">
        <is>
          <t>Instrumentation</t>
        </is>
      </c>
      <c r="J4771" s="12" t="inlineStr">
        <is>
          <t>Thermocouple extension KX, #16 shielded pairs, PLTC</t>
        </is>
      </c>
      <c r="K4771" s="12" t="inlineStr">
        <is>
          <t>TCX|24 pr|16</t>
        </is>
      </c>
      <c r="L4771" s="12" t="inlineStr">
        <is>
          <t>24 pr</t>
        </is>
      </c>
      <c r="M4771" s="12" t="inlineStr">
        <is>
          <t>16</t>
        </is>
      </c>
      <c r="N4771" s="12" t="n">
        <v>1</v>
      </c>
      <c r="O4771" s="12" t="n">
        <v>1</v>
      </c>
      <c r="P4771" s="12" t="n"/>
      <c r="Q4771" s="12" t="n"/>
      <c r="R4771" s="12" t="n"/>
      <c r="S4771" s="12" t="inlineStr">
        <is>
          <t>Duct bank</t>
        </is>
      </c>
      <c r="T4771" s="16" t="n">
        <v>550</v>
      </c>
      <c r="U4771" s="16" t="n">
        <v>81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I-I-0272</t>
        </is>
      </c>
      <c r="B4772" s="12" t="inlineStr">
        <is>
          <t>I</t>
        </is>
      </c>
      <c r="C4772" s="12" t="inlineStr">
        <is>
          <t>Modular / portable power</t>
        </is>
      </c>
      <c r="D4772" s="12" t="inlineStr">
        <is>
          <t>RTD to JB JB-RICE-3-RTD01: 10 x 1 tri (field cables)</t>
        </is>
      </c>
      <c r="E4772" s="12" t="inlineStr">
        <is>
          <t>RICE-3</t>
        </is>
      </c>
      <c r="F4772" s="12" t="inlineStr">
        <is>
          <t>RICE engine-generator 3</t>
        </is>
      </c>
      <c r="G4772" s="12" t="inlineStr">
        <is>
          <t>JB-RICE-3-RTD01</t>
        </is>
      </c>
      <c r="H4772" s="12" t="inlineStr">
        <is>
          <t>RICE engine-generator 3</t>
        </is>
      </c>
      <c r="I4772" s="12" t="inlineStr">
        <is>
          <t>Instrumentation</t>
        </is>
      </c>
      <c r="J4772" s="12" t="inlineStr">
        <is>
          <t>RTD cable, #18 shielded triads, PLTC</t>
        </is>
      </c>
      <c r="K4772" s="12" t="inlineStr">
        <is>
          <t>RTD|1 tri|18</t>
        </is>
      </c>
      <c r="L4772" s="12" t="inlineStr">
        <is>
          <t>1 tri</t>
        </is>
      </c>
      <c r="M4772" s="12" t="inlineStr">
        <is>
          <t>18</t>
        </is>
      </c>
      <c r="N4772" s="12" t="n">
        <v>10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I-I-0273</t>
        </is>
      </c>
      <c r="B4773" s="12" t="inlineStr">
        <is>
          <t>I</t>
        </is>
      </c>
      <c r="C4773" s="12" t="inlineStr">
        <is>
          <t>Modular / portable power</t>
        </is>
      </c>
      <c r="D4773" s="12" t="inlineStr">
        <is>
          <t>Home run JB-RICE-3-RTD01 to the control / marshalling room</t>
        </is>
      </c>
      <c r="E4773" s="12" t="inlineStr"/>
      <c r="F4773" s="12" t="inlineStr">
        <is>
          <t>PCM: power control module</t>
        </is>
      </c>
      <c r="G4773" s="12" t="inlineStr">
        <is>
          <t>JB-RICE-3-RTD01</t>
        </is>
      </c>
      <c r="H4773" s="12" t="inlineStr">
        <is>
          <t>RICE engine-generator 3</t>
        </is>
      </c>
      <c r="I4773" s="12" t="inlineStr">
        <is>
          <t>Instrumentation</t>
        </is>
      </c>
      <c r="J4773" s="12" t="inlineStr">
        <is>
          <t>RTD cable, #18 shielded triads, PLTC</t>
        </is>
      </c>
      <c r="K4773" s="12" t="inlineStr">
        <is>
          <t>RTD|12 tri|18</t>
        </is>
      </c>
      <c r="L4773" s="12" t="inlineStr">
        <is>
          <t>12 tri</t>
        </is>
      </c>
      <c r="M4773" s="12" t="inlineStr">
        <is>
          <t>18</t>
        </is>
      </c>
      <c r="N4773" s="12" t="n">
        <v>1</v>
      </c>
      <c r="O4773" s="12" t="n">
        <v>1</v>
      </c>
      <c r="P4773" s="12" t="n"/>
      <c r="Q4773" s="12" t="n"/>
      <c r="R4773" s="12" t="n"/>
      <c r="S4773" s="12" t="inlineStr">
        <is>
          <t>Duct bank</t>
        </is>
      </c>
      <c r="T4773" s="16" t="n">
        <v>550</v>
      </c>
      <c r="U4773" s="16" t="n">
        <v>81</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I-I-0274</t>
        </is>
      </c>
      <c r="B4774" s="12" t="inlineStr">
        <is>
          <t>I</t>
        </is>
      </c>
      <c r="C4774" s="12" t="inlineStr">
        <is>
          <t>Modular / portable power</t>
        </is>
      </c>
      <c r="D4774" s="12" t="inlineStr">
        <is>
          <t>RTD to JB JB-RICE-3-RTD02: 2 x 1 tri (field cables)</t>
        </is>
      </c>
      <c r="E4774" s="12" t="inlineStr">
        <is>
          <t>RICE-3</t>
        </is>
      </c>
      <c r="F4774" s="12" t="inlineStr">
        <is>
          <t>RICE engine-generator 3</t>
        </is>
      </c>
      <c r="G4774" s="12" t="inlineStr">
        <is>
          <t>JB-RICE-3-RTD02</t>
        </is>
      </c>
      <c r="H4774" s="12" t="inlineStr">
        <is>
          <t>RICE engine-generator 3</t>
        </is>
      </c>
      <c r="I4774" s="12" t="inlineStr">
        <is>
          <t>Instrumentation</t>
        </is>
      </c>
      <c r="J4774" s="12" t="inlineStr">
        <is>
          <t>RTD cable, #18 shielded triads, PLTC</t>
        </is>
      </c>
      <c r="K4774" s="12" t="inlineStr">
        <is>
          <t>RTD|1 tri|18</t>
        </is>
      </c>
      <c r="L4774" s="12" t="inlineStr">
        <is>
          <t>1 tri</t>
        </is>
      </c>
      <c r="M4774" s="12" t="inlineStr">
        <is>
          <t>18</t>
        </is>
      </c>
      <c r="N4774" s="12" t="n">
        <v>2</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I-I-0275</t>
        </is>
      </c>
      <c r="B4775" s="12" t="inlineStr">
        <is>
          <t>I</t>
        </is>
      </c>
      <c r="C4775" s="12" t="inlineStr">
        <is>
          <t>Modular / portable power</t>
        </is>
      </c>
      <c r="D4775" s="12" t="inlineStr">
        <is>
          <t>Home run JB-RICE-3-RTD02 to the control / marshalling room</t>
        </is>
      </c>
      <c r="E4775" s="12" t="inlineStr"/>
      <c r="F4775" s="12" t="inlineStr">
        <is>
          <t>PCM: power control module</t>
        </is>
      </c>
      <c r="G4775" s="12" t="inlineStr">
        <is>
          <t>JB-RICE-3-RTD02</t>
        </is>
      </c>
      <c r="H4775" s="12" t="inlineStr">
        <is>
          <t>RICE engine-generator 3</t>
        </is>
      </c>
      <c r="I4775" s="12" t="inlineStr">
        <is>
          <t>Instrumentation</t>
        </is>
      </c>
      <c r="J4775" s="12" t="inlineStr">
        <is>
          <t>RTD cable, #18 shielded triads, PLTC</t>
        </is>
      </c>
      <c r="K4775" s="12" t="inlineStr">
        <is>
          <t>RTD|12 tri|18</t>
        </is>
      </c>
      <c r="L4775" s="12" t="inlineStr">
        <is>
          <t>12 tri</t>
        </is>
      </c>
      <c r="M4775" s="12" t="inlineStr">
        <is>
          <t>18</t>
        </is>
      </c>
      <c r="N4775" s="12" t="n">
        <v>1</v>
      </c>
      <c r="O4775" s="12" t="n">
        <v>1</v>
      </c>
      <c r="P4775" s="12" t="n"/>
      <c r="Q4775" s="12" t="n"/>
      <c r="R4775" s="12" t="n"/>
      <c r="S4775" s="12" t="inlineStr">
        <is>
          <t>Duct bank</t>
        </is>
      </c>
      <c r="T4775" s="16" t="n">
        <v>550</v>
      </c>
      <c r="U4775" s="16" t="n">
        <v>81</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I-I-0276</t>
        </is>
      </c>
      <c r="B4776" s="12" t="inlineStr">
        <is>
          <t>I</t>
        </is>
      </c>
      <c r="C4776" s="12" t="inlineStr">
        <is>
          <t>Modular / portable power</t>
        </is>
      </c>
      <c r="D4776" s="12" t="inlineStr">
        <is>
          <t>Analog instrument to JB JB-RICE-4-AI01: 20 x 1 pr (field cables)</t>
        </is>
      </c>
      <c r="E4776" s="12" t="inlineStr">
        <is>
          <t>RICE-4</t>
        </is>
      </c>
      <c r="F4776" s="12" t="inlineStr">
        <is>
          <t>RICE engine-generator 4</t>
        </is>
      </c>
      <c r="G4776" s="12" t="inlineStr">
        <is>
          <t>JB-RICE-4-AI01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I-I-0277</t>
        </is>
      </c>
      <c r="B4777" s="12" t="inlineStr">
        <is>
          <t>I</t>
        </is>
      </c>
      <c r="C4777" s="12" t="inlineStr">
        <is>
          <t>Modular / portable power</t>
        </is>
      </c>
      <c r="D4777" s="12" t="inlineStr">
        <is>
          <t>Home run JB-RICE-4-AI01 to the control / marshalling room</t>
        </is>
      </c>
      <c r="E4777" s="12" t="inlineStr"/>
      <c r="F4777" s="12" t="inlineStr">
        <is>
          <t>PCM: power control module</t>
        </is>
      </c>
      <c r="G4777" s="12" t="inlineStr">
        <is>
          <t>JB-RICE-4-AI01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I-I-0278</t>
        </is>
      </c>
      <c r="B4778" s="12" t="inlineStr">
        <is>
          <t>I</t>
        </is>
      </c>
      <c r="C4778" s="12" t="inlineStr">
        <is>
          <t>Modular / portable power</t>
        </is>
      </c>
      <c r="D4778" s="12" t="inlineStr">
        <is>
          <t>Analog instrument to JB JB-RICE-4-AI02: 20 x 1 pr (field cables)</t>
        </is>
      </c>
      <c r="E4778" s="12" t="inlineStr">
        <is>
          <t>RICE-4</t>
        </is>
      </c>
      <c r="F4778" s="12" t="inlineStr">
        <is>
          <t>RICE engine-generator 4</t>
        </is>
      </c>
      <c r="G4778" s="12" t="inlineStr">
        <is>
          <t>JB-RICE-4-AI02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I-I-0279</t>
        </is>
      </c>
      <c r="B4779" s="12" t="inlineStr">
        <is>
          <t>I</t>
        </is>
      </c>
      <c r="C4779" s="12" t="inlineStr">
        <is>
          <t>Modular / portable power</t>
        </is>
      </c>
      <c r="D4779" s="12" t="inlineStr">
        <is>
          <t>Home run JB-RICE-4-AI02 to the control / marshalling room</t>
        </is>
      </c>
      <c r="E4779" s="12" t="inlineStr"/>
      <c r="F4779" s="12" t="inlineStr">
        <is>
          <t>PCM: power control module</t>
        </is>
      </c>
      <c r="G4779" s="12" t="inlineStr">
        <is>
          <t>JB-RICE-4-AI02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I-I-0280</t>
        </is>
      </c>
      <c r="B4780" s="12" t="inlineStr">
        <is>
          <t>I</t>
        </is>
      </c>
      <c r="C4780" s="12" t="inlineStr">
        <is>
          <t>Modular / portable power</t>
        </is>
      </c>
      <c r="D4780" s="12" t="inlineStr">
        <is>
          <t>Analog instrument to JB JB-RICE-4-AI03: 20 x 1 pr (field cables)</t>
        </is>
      </c>
      <c r="E4780" s="12" t="inlineStr">
        <is>
          <t>RICE-4</t>
        </is>
      </c>
      <c r="F4780" s="12" t="inlineStr">
        <is>
          <t>RICE engine-generator 4</t>
        </is>
      </c>
      <c r="G4780" s="12" t="inlineStr">
        <is>
          <t>JB-RICE-4-AI03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I-I-0281</t>
        </is>
      </c>
      <c r="B4781" s="12" t="inlineStr">
        <is>
          <t>I</t>
        </is>
      </c>
      <c r="C4781" s="12" t="inlineStr">
        <is>
          <t>Modular / portable power</t>
        </is>
      </c>
      <c r="D4781" s="12" t="inlineStr">
        <is>
          <t>Home run JB-RICE-4-AI03 to the control / marshalling room</t>
        </is>
      </c>
      <c r="E4781" s="12" t="inlineStr"/>
      <c r="F4781" s="12" t="inlineStr">
        <is>
          <t>PCM: power control module</t>
        </is>
      </c>
      <c r="G4781" s="12" t="inlineStr">
        <is>
          <t>JB-RICE-4-AI03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I-I-0282</t>
        </is>
      </c>
      <c r="B4782" s="12" t="inlineStr">
        <is>
          <t>I</t>
        </is>
      </c>
      <c r="C4782" s="12" t="inlineStr">
        <is>
          <t>Modular / portable power</t>
        </is>
      </c>
      <c r="D4782" s="12" t="inlineStr">
        <is>
          <t>Analog instrument to JB JB-RICE-4-AI04: 20 x 1 pr (field cables)</t>
        </is>
      </c>
      <c r="E4782" s="12" t="inlineStr">
        <is>
          <t>RICE-4</t>
        </is>
      </c>
      <c r="F4782" s="12" t="inlineStr">
        <is>
          <t>RICE engine-generator 4</t>
        </is>
      </c>
      <c r="G4782" s="12" t="inlineStr">
        <is>
          <t>JB-RICE-4-AI04</t>
        </is>
      </c>
      <c r="H4782" s="12" t="inlineStr">
        <is>
          <t>RICE engine-generator 4</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I-I-0283</t>
        </is>
      </c>
      <c r="B4783" s="12" t="inlineStr">
        <is>
          <t>I</t>
        </is>
      </c>
      <c r="C4783" s="12" t="inlineStr">
        <is>
          <t>Modular / portable power</t>
        </is>
      </c>
      <c r="D4783" s="12" t="inlineStr">
        <is>
          <t>Home run JB-RICE-4-AI04 to the control / marshalling room</t>
        </is>
      </c>
      <c r="E4783" s="12" t="inlineStr"/>
      <c r="F4783" s="12" t="inlineStr">
        <is>
          <t>PCM: power control module</t>
        </is>
      </c>
      <c r="G4783" s="12" t="inlineStr">
        <is>
          <t>JB-RICE-4-AI04</t>
        </is>
      </c>
      <c r="H4783" s="12" t="inlineStr">
        <is>
          <t>RICE engine-generator 4</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I-I-0284</t>
        </is>
      </c>
      <c r="B4784" s="12" t="inlineStr">
        <is>
          <t>I</t>
        </is>
      </c>
      <c r="C4784" s="12" t="inlineStr">
        <is>
          <t>Modular / portable power</t>
        </is>
      </c>
      <c r="D4784" s="12" t="inlineStr">
        <is>
          <t>Discrete device to JB JB-RICE-4-DI01: 20 x 1 pr (field cables)</t>
        </is>
      </c>
      <c r="E4784" s="12" t="inlineStr">
        <is>
          <t>RICE-4</t>
        </is>
      </c>
      <c r="F4784" s="12" t="inlineStr">
        <is>
          <t>RICE engine-generator 4</t>
        </is>
      </c>
      <c r="G4784" s="12" t="inlineStr">
        <is>
          <t>JB-RICE-4-DI01</t>
        </is>
      </c>
      <c r="H4784" s="12" t="inlineStr">
        <is>
          <t>RICE engine-generator 4</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20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I-I-0285</t>
        </is>
      </c>
      <c r="B4785" s="12" t="inlineStr">
        <is>
          <t>I</t>
        </is>
      </c>
      <c r="C4785" s="12" t="inlineStr">
        <is>
          <t>Modular / portable power</t>
        </is>
      </c>
      <c r="D4785" s="12" t="inlineStr">
        <is>
          <t>Home run JB-RICE-4-DI01 to the control / marshalling room</t>
        </is>
      </c>
      <c r="E4785" s="12" t="inlineStr"/>
      <c r="F4785" s="12" t="inlineStr">
        <is>
          <t>PCM: power control module</t>
        </is>
      </c>
      <c r="G4785" s="12" t="inlineStr">
        <is>
          <t>JB-RICE-4-DI01</t>
        </is>
      </c>
      <c r="H4785" s="12" t="inlineStr">
        <is>
          <t>RICE engine-generator 4</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I-I-0286</t>
        </is>
      </c>
      <c r="B4786" s="12" t="inlineStr">
        <is>
          <t>I</t>
        </is>
      </c>
      <c r="C4786" s="12" t="inlineStr">
        <is>
          <t>Modular / portable power</t>
        </is>
      </c>
      <c r="D4786" s="12" t="inlineStr">
        <is>
          <t>Discrete device to JB JB-RICE-4-DI02: 20 x 1 pr (field cables)</t>
        </is>
      </c>
      <c r="E4786" s="12" t="inlineStr">
        <is>
          <t>RICE-4</t>
        </is>
      </c>
      <c r="F4786" s="12" t="inlineStr">
        <is>
          <t>RICE engine-generator 4</t>
        </is>
      </c>
      <c r="G4786" s="12" t="inlineStr">
        <is>
          <t>JB-RICE-4-DI02</t>
        </is>
      </c>
      <c r="H4786" s="12" t="inlineStr">
        <is>
          <t>RICE engine-generator 4</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20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I-I-0287</t>
        </is>
      </c>
      <c r="B4787" s="12" t="inlineStr">
        <is>
          <t>I</t>
        </is>
      </c>
      <c r="C4787" s="12" t="inlineStr">
        <is>
          <t>Modular / portable power</t>
        </is>
      </c>
      <c r="D4787" s="12" t="inlineStr">
        <is>
          <t>Home run JB-RICE-4-DI02 to the control / marshalling room</t>
        </is>
      </c>
      <c r="E4787" s="12" t="inlineStr"/>
      <c r="F4787" s="12" t="inlineStr">
        <is>
          <t>PCM: power control module</t>
        </is>
      </c>
      <c r="G4787" s="12" t="inlineStr">
        <is>
          <t>JB-RICE-4-DI02</t>
        </is>
      </c>
      <c r="H4787" s="12" t="inlineStr">
        <is>
          <t>RICE engine-generator 4</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I-I-0288</t>
        </is>
      </c>
      <c r="B4788" s="12" t="inlineStr">
        <is>
          <t>I</t>
        </is>
      </c>
      <c r="C4788" s="12" t="inlineStr">
        <is>
          <t>Modular / portable power</t>
        </is>
      </c>
      <c r="D4788" s="12" t="inlineStr">
        <is>
          <t>Discrete device to JB JB-RICE-4-DI03: 20 x 1 pr (field cables)</t>
        </is>
      </c>
      <c r="E4788" s="12" t="inlineStr">
        <is>
          <t>RICE-4</t>
        </is>
      </c>
      <c r="F4788" s="12" t="inlineStr">
        <is>
          <t>RICE engine-generator 4</t>
        </is>
      </c>
      <c r="G4788" s="12" t="inlineStr">
        <is>
          <t>JB-RICE-4-DI03</t>
        </is>
      </c>
      <c r="H4788" s="12" t="inlineStr">
        <is>
          <t>RICE engine-generator 4</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20</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I-I-0289</t>
        </is>
      </c>
      <c r="B4789" s="12" t="inlineStr">
        <is>
          <t>I</t>
        </is>
      </c>
      <c r="C4789" s="12" t="inlineStr">
        <is>
          <t>Modular / portable power</t>
        </is>
      </c>
      <c r="D4789" s="12" t="inlineStr">
        <is>
          <t>Home run JB-RICE-4-DI03 to the control / marshalling room</t>
        </is>
      </c>
      <c r="E4789" s="12" t="inlineStr"/>
      <c r="F4789" s="12" t="inlineStr">
        <is>
          <t>PCM: power control module</t>
        </is>
      </c>
      <c r="G4789" s="12" t="inlineStr">
        <is>
          <t>JB-RICE-4-DI03</t>
        </is>
      </c>
      <c r="H4789" s="12" t="inlineStr">
        <is>
          <t>RICE engine-generator 4</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I-I-0290</t>
        </is>
      </c>
      <c r="B4790" s="12" t="inlineStr">
        <is>
          <t>I</t>
        </is>
      </c>
      <c r="C4790" s="12" t="inlineStr">
        <is>
          <t>Modular / portable power</t>
        </is>
      </c>
      <c r="D4790" s="12" t="inlineStr">
        <is>
          <t>Thermocouple to TC JB JB-RICE-4-TC01: 20 x 1 pr (field cables)</t>
        </is>
      </c>
      <c r="E4790" s="12" t="inlineStr">
        <is>
          <t>RICE-4</t>
        </is>
      </c>
      <c r="F4790" s="12" t="inlineStr">
        <is>
          <t>RICE engine-generator 4</t>
        </is>
      </c>
      <c r="G4790" s="12" t="inlineStr">
        <is>
          <t>JB-RICE-4-TC01</t>
        </is>
      </c>
      <c r="H4790" s="12" t="inlineStr">
        <is>
          <t>RICE engine-generator 4</t>
        </is>
      </c>
      <c r="I4790" s="12" t="inlineStr">
        <is>
          <t>Instrumentation</t>
        </is>
      </c>
      <c r="J4790" s="12" t="inlineStr">
        <is>
          <t>Thermocouple extension KX, #16 shielded pairs, PLTC</t>
        </is>
      </c>
      <c r="K4790" s="12" t="inlineStr">
        <is>
          <t>TCX|1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I-I-0291</t>
        </is>
      </c>
      <c r="B4791" s="12" t="inlineStr">
        <is>
          <t>I</t>
        </is>
      </c>
      <c r="C4791" s="12" t="inlineStr">
        <is>
          <t>Modular / portable power</t>
        </is>
      </c>
      <c r="D4791" s="12" t="inlineStr">
        <is>
          <t>Home run JB-RICE-4-TC01 to the control / marshalling room</t>
        </is>
      </c>
      <c r="E4791" s="12" t="inlineStr"/>
      <c r="F4791" s="12" t="inlineStr">
        <is>
          <t>PCM: power control module</t>
        </is>
      </c>
      <c r="G4791" s="12" t="inlineStr">
        <is>
          <t>JB-RICE-4-TC01</t>
        </is>
      </c>
      <c r="H4791" s="12" t="inlineStr">
        <is>
          <t>RICE engine-generator 4</t>
        </is>
      </c>
      <c r="I4791" s="12" t="inlineStr">
        <is>
          <t>Instrumentation</t>
        </is>
      </c>
      <c r="J4791" s="12" t="inlineStr">
        <is>
          <t>Thermocouple extension KX, #16 shielded pairs, PLTC</t>
        </is>
      </c>
      <c r="K4791" s="12" t="inlineStr">
        <is>
          <t>TCX|24 pr|16</t>
        </is>
      </c>
      <c r="L4791" s="12" t="inlineStr">
        <is>
          <t>24 pr</t>
        </is>
      </c>
      <c r="M4791" s="12" t="inlineStr">
        <is>
          <t>16</t>
        </is>
      </c>
      <c r="N4791" s="12" t="n">
        <v>1</v>
      </c>
      <c r="O4791" s="12" t="n">
        <v>1</v>
      </c>
      <c r="P4791" s="12" t="n"/>
      <c r="Q4791" s="12" t="n"/>
      <c r="R4791" s="12" t="n"/>
      <c r="S4791" s="12" t="inlineStr">
        <is>
          <t>Duct bank</t>
        </is>
      </c>
      <c r="T4791" s="16" t="n">
        <v>550</v>
      </c>
      <c r="U4791" s="16" t="n">
        <v>53</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I-I-0292</t>
        </is>
      </c>
      <c r="B4792" s="12" t="inlineStr">
        <is>
          <t>I</t>
        </is>
      </c>
      <c r="C4792" s="12" t="inlineStr">
        <is>
          <t>Modular / portable power</t>
        </is>
      </c>
      <c r="D4792" s="12" t="inlineStr">
        <is>
          <t>Thermocouple to TC JB JB-RICE-4-TC02: 10 x 1 pr (field cables)</t>
        </is>
      </c>
      <c r="E4792" s="12" t="inlineStr">
        <is>
          <t>RICE-4</t>
        </is>
      </c>
      <c r="F4792" s="12" t="inlineStr">
        <is>
          <t>RICE engine-generator 4</t>
        </is>
      </c>
      <c r="G4792" s="12" t="inlineStr">
        <is>
          <t>JB-RICE-4-TC02</t>
        </is>
      </c>
      <c r="H4792" s="12" t="inlineStr">
        <is>
          <t>RICE engine-generator 4</t>
        </is>
      </c>
      <c r="I4792" s="12" t="inlineStr">
        <is>
          <t>Instrumentation</t>
        </is>
      </c>
      <c r="J4792" s="12" t="inlineStr">
        <is>
          <t>Thermocouple extension KX, #16 shielded pairs, PLTC</t>
        </is>
      </c>
      <c r="K4792" s="12" t="inlineStr">
        <is>
          <t>TCX|1 pr|16</t>
        </is>
      </c>
      <c r="L4792" s="12" t="inlineStr">
        <is>
          <t>1 pr</t>
        </is>
      </c>
      <c r="M4792" s="12" t="inlineStr">
        <is>
          <t>16</t>
        </is>
      </c>
      <c r="N4792" s="12" t="n">
        <v>10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I-I-0293</t>
        </is>
      </c>
      <c r="B4793" s="12" t="inlineStr">
        <is>
          <t>I</t>
        </is>
      </c>
      <c r="C4793" s="12" t="inlineStr">
        <is>
          <t>Modular / portable power</t>
        </is>
      </c>
      <c r="D4793" s="12" t="inlineStr">
        <is>
          <t>Home run JB-RICE-4-TC02 to the control / marshalling room</t>
        </is>
      </c>
      <c r="E4793" s="12" t="inlineStr"/>
      <c r="F4793" s="12" t="inlineStr">
        <is>
          <t>PCM: power control module</t>
        </is>
      </c>
      <c r="G4793" s="12" t="inlineStr">
        <is>
          <t>JB-RICE-4-TC02</t>
        </is>
      </c>
      <c r="H4793" s="12" t="inlineStr">
        <is>
          <t>RICE engine-generator 4</t>
        </is>
      </c>
      <c r="I4793" s="12" t="inlineStr">
        <is>
          <t>Instrumentation</t>
        </is>
      </c>
      <c r="J4793" s="12" t="inlineStr">
        <is>
          <t>Thermocouple extension KX, #16 shielded pairs, PLTC</t>
        </is>
      </c>
      <c r="K4793" s="12" t="inlineStr">
        <is>
          <t>TCX|24 pr|16</t>
        </is>
      </c>
      <c r="L4793" s="12" t="inlineStr">
        <is>
          <t>24 pr</t>
        </is>
      </c>
      <c r="M4793" s="12" t="inlineStr">
        <is>
          <t>16</t>
        </is>
      </c>
      <c r="N4793" s="12" t="n">
        <v>1</v>
      </c>
      <c r="O4793" s="12" t="n">
        <v>1</v>
      </c>
      <c r="P4793" s="12" t="n"/>
      <c r="Q4793" s="12" t="n"/>
      <c r="R4793" s="12" t="n"/>
      <c r="S4793" s="12" t="inlineStr">
        <is>
          <t>Duct bank</t>
        </is>
      </c>
      <c r="T4793" s="16" t="n">
        <v>550</v>
      </c>
      <c r="U4793" s="16" t="n">
        <v>53</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I-I-0294</t>
        </is>
      </c>
      <c r="B4794" s="12" t="inlineStr">
        <is>
          <t>I</t>
        </is>
      </c>
      <c r="C4794" s="12" t="inlineStr">
        <is>
          <t>Modular / portable power</t>
        </is>
      </c>
      <c r="D4794" s="12" t="inlineStr">
        <is>
          <t>RTD to JB JB-RICE-4-RTD01: 10 x 1 tri (field cables)</t>
        </is>
      </c>
      <c r="E4794" s="12" t="inlineStr">
        <is>
          <t>RICE-4</t>
        </is>
      </c>
      <c r="F4794" s="12" t="inlineStr">
        <is>
          <t>RICE engine-generator 4</t>
        </is>
      </c>
      <c r="G4794" s="12" t="inlineStr">
        <is>
          <t>JB-RICE-4-RTD01</t>
        </is>
      </c>
      <c r="H4794" s="12" t="inlineStr">
        <is>
          <t>RICE engine-generator 4</t>
        </is>
      </c>
      <c r="I4794" s="12" t="inlineStr">
        <is>
          <t>Instrumentation</t>
        </is>
      </c>
      <c r="J4794" s="12" t="inlineStr">
        <is>
          <t>RTD cable, #18 shielded triads, PLTC</t>
        </is>
      </c>
      <c r="K4794" s="12" t="inlineStr">
        <is>
          <t>RTD|1 tri|18</t>
        </is>
      </c>
      <c r="L4794" s="12" t="inlineStr">
        <is>
          <t>1 tri</t>
        </is>
      </c>
      <c r="M4794" s="12" t="inlineStr">
        <is>
          <t>18</t>
        </is>
      </c>
      <c r="N4794" s="12" t="n">
        <v>10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I-I-0295</t>
        </is>
      </c>
      <c r="B4795" s="12" t="inlineStr">
        <is>
          <t>I</t>
        </is>
      </c>
      <c r="C4795" s="12" t="inlineStr">
        <is>
          <t>Modular / portable power</t>
        </is>
      </c>
      <c r="D4795" s="12" t="inlineStr">
        <is>
          <t>Home run JB-RICE-4-RTD01 to the control / marshalling room</t>
        </is>
      </c>
      <c r="E4795" s="12" t="inlineStr"/>
      <c r="F4795" s="12" t="inlineStr">
        <is>
          <t>PCM: power control module</t>
        </is>
      </c>
      <c r="G4795" s="12" t="inlineStr">
        <is>
          <t>JB-RICE-4-RTD01</t>
        </is>
      </c>
      <c r="H4795" s="12" t="inlineStr">
        <is>
          <t>RICE engine-generator 4</t>
        </is>
      </c>
      <c r="I4795" s="12" t="inlineStr">
        <is>
          <t>Instrumentation</t>
        </is>
      </c>
      <c r="J4795" s="12" t="inlineStr">
        <is>
          <t>RTD cable, #18 shielded triads, PLTC</t>
        </is>
      </c>
      <c r="K4795" s="12" t="inlineStr">
        <is>
          <t>RTD|12 tri|18</t>
        </is>
      </c>
      <c r="L4795" s="12" t="inlineStr">
        <is>
          <t>12 tri</t>
        </is>
      </c>
      <c r="M4795" s="12" t="inlineStr">
        <is>
          <t>18</t>
        </is>
      </c>
      <c r="N4795" s="12" t="n">
        <v>1</v>
      </c>
      <c r="O4795" s="12" t="n">
        <v>1</v>
      </c>
      <c r="P4795" s="12" t="n"/>
      <c r="Q4795" s="12" t="n"/>
      <c r="R4795" s="12" t="n"/>
      <c r="S4795" s="12" t="inlineStr">
        <is>
          <t>Duct bank</t>
        </is>
      </c>
      <c r="T4795" s="16" t="n">
        <v>550</v>
      </c>
      <c r="U4795" s="16" t="n">
        <v>53</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I-I-0296</t>
        </is>
      </c>
      <c r="B4796" s="12" t="inlineStr">
        <is>
          <t>I</t>
        </is>
      </c>
      <c r="C4796" s="12" t="inlineStr">
        <is>
          <t>Modular / portable power</t>
        </is>
      </c>
      <c r="D4796" s="12" t="inlineStr">
        <is>
          <t>RTD to JB JB-RICE-4-RTD02: 2 x 1 tri (field cables)</t>
        </is>
      </c>
      <c r="E4796" s="12" t="inlineStr">
        <is>
          <t>RICE-4</t>
        </is>
      </c>
      <c r="F4796" s="12" t="inlineStr">
        <is>
          <t>RICE engine-generator 4</t>
        </is>
      </c>
      <c r="G4796" s="12" t="inlineStr">
        <is>
          <t>JB-RICE-4-RTD02</t>
        </is>
      </c>
      <c r="H4796" s="12" t="inlineStr">
        <is>
          <t>RICE engine-generator 4</t>
        </is>
      </c>
      <c r="I4796" s="12" t="inlineStr">
        <is>
          <t>Instrumentation</t>
        </is>
      </c>
      <c r="J4796" s="12" t="inlineStr">
        <is>
          <t>RTD cable, #18 shielded triads, PLTC</t>
        </is>
      </c>
      <c r="K4796" s="12" t="inlineStr">
        <is>
          <t>RTD|1 tri|18</t>
        </is>
      </c>
      <c r="L4796" s="12" t="inlineStr">
        <is>
          <t>1 tri</t>
        </is>
      </c>
      <c r="M4796" s="12" t="inlineStr">
        <is>
          <t>18</t>
        </is>
      </c>
      <c r="N4796" s="12" t="n">
        <v>2</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I-I-0297</t>
        </is>
      </c>
      <c r="B4797" s="12" t="inlineStr">
        <is>
          <t>I</t>
        </is>
      </c>
      <c r="C4797" s="12" t="inlineStr">
        <is>
          <t>Modular / portable power</t>
        </is>
      </c>
      <c r="D4797" s="12" t="inlineStr">
        <is>
          <t>Home run JB-RICE-4-RTD02 to the control / marshalling room</t>
        </is>
      </c>
      <c r="E4797" s="12" t="inlineStr"/>
      <c r="F4797" s="12" t="inlineStr">
        <is>
          <t>PCM: power control module</t>
        </is>
      </c>
      <c r="G4797" s="12" t="inlineStr">
        <is>
          <t>JB-RICE-4-RTD02</t>
        </is>
      </c>
      <c r="H4797" s="12" t="inlineStr">
        <is>
          <t>RICE engine-generator 4</t>
        </is>
      </c>
      <c r="I4797" s="12" t="inlineStr">
        <is>
          <t>Instrumentation</t>
        </is>
      </c>
      <c r="J4797" s="12" t="inlineStr">
        <is>
          <t>RTD cable, #18 shielded triads, PLTC</t>
        </is>
      </c>
      <c r="K4797" s="12" t="inlineStr">
        <is>
          <t>RTD|12 tri|18</t>
        </is>
      </c>
      <c r="L4797" s="12" t="inlineStr">
        <is>
          <t>12 tri</t>
        </is>
      </c>
      <c r="M4797" s="12" t="inlineStr">
        <is>
          <t>18</t>
        </is>
      </c>
      <c r="N4797" s="12" t="n">
        <v>1</v>
      </c>
      <c r="O4797" s="12" t="n">
        <v>1</v>
      </c>
      <c r="P4797" s="12" t="n"/>
      <c r="Q4797" s="12" t="n"/>
      <c r="R4797" s="12" t="n"/>
      <c r="S4797" s="12" t="inlineStr">
        <is>
          <t>Duct bank</t>
        </is>
      </c>
      <c r="T4797" s="16" t="n">
        <v>550</v>
      </c>
      <c r="U4797" s="16" t="n">
        <v>53</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I-I-0298</t>
        </is>
      </c>
      <c r="B4798" s="12" t="inlineStr">
        <is>
          <t>I</t>
        </is>
      </c>
      <c r="C4798" s="12" t="inlineStr">
        <is>
          <t>Modular / portable power</t>
        </is>
      </c>
      <c r="D4798" s="12" t="inlineStr">
        <is>
          <t>Analog instrument to JB JB-RICE-5-AI01: 20 x 1 pr (field cables)</t>
        </is>
      </c>
      <c r="E4798" s="12" t="inlineStr">
        <is>
          <t>RICE-5</t>
        </is>
      </c>
      <c r="F4798" s="12" t="inlineStr">
        <is>
          <t>RICE engine-generator 5</t>
        </is>
      </c>
      <c r="G4798" s="12" t="inlineStr">
        <is>
          <t>JB-RICE-5-AI01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I-I-0299</t>
        </is>
      </c>
      <c r="B4799" s="12" t="inlineStr">
        <is>
          <t>I</t>
        </is>
      </c>
      <c r="C4799" s="12" t="inlineStr">
        <is>
          <t>Modular / portable power</t>
        </is>
      </c>
      <c r="D4799" s="12" t="inlineStr">
        <is>
          <t>Home run JB-RICE-5-AI01 to the control / marshalling room</t>
        </is>
      </c>
      <c r="E4799" s="12" t="inlineStr"/>
      <c r="F4799" s="12" t="inlineStr">
        <is>
          <t>PCM: power control module</t>
        </is>
      </c>
      <c r="G4799" s="12" t="inlineStr">
        <is>
          <t>JB-RICE-5-AI01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I-I-0300</t>
        </is>
      </c>
      <c r="B4800" s="12" t="inlineStr">
        <is>
          <t>I</t>
        </is>
      </c>
      <c r="C4800" s="12" t="inlineStr">
        <is>
          <t>Modular / portable power</t>
        </is>
      </c>
      <c r="D4800" s="12" t="inlineStr">
        <is>
          <t>Analog instrument to JB JB-RICE-5-AI02: 20 x 1 pr (field cables)</t>
        </is>
      </c>
      <c r="E4800" s="12" t="inlineStr">
        <is>
          <t>RICE-5</t>
        </is>
      </c>
      <c r="F4800" s="12" t="inlineStr">
        <is>
          <t>RICE engine-generator 5</t>
        </is>
      </c>
      <c r="G4800" s="12" t="inlineStr">
        <is>
          <t>JB-RICE-5-AI02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I-I-0301</t>
        </is>
      </c>
      <c r="B4801" s="12" t="inlineStr">
        <is>
          <t>I</t>
        </is>
      </c>
      <c r="C4801" s="12" t="inlineStr">
        <is>
          <t>Modular / portable power</t>
        </is>
      </c>
      <c r="D4801" s="12" t="inlineStr">
        <is>
          <t>Home run JB-RICE-5-AI02 to the control / marshalling room</t>
        </is>
      </c>
      <c r="E4801" s="12" t="inlineStr"/>
      <c r="F4801" s="12" t="inlineStr">
        <is>
          <t>PCM: power control module</t>
        </is>
      </c>
      <c r="G4801" s="12" t="inlineStr">
        <is>
          <t>JB-RICE-5-AI02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I-I-0302</t>
        </is>
      </c>
      <c r="B4802" s="12" t="inlineStr">
        <is>
          <t>I</t>
        </is>
      </c>
      <c r="C4802" s="12" t="inlineStr">
        <is>
          <t>Modular / portable power</t>
        </is>
      </c>
      <c r="D4802" s="12" t="inlineStr">
        <is>
          <t>Analog instrument to JB JB-RICE-5-AI03: 20 x 1 pr (field cables)</t>
        </is>
      </c>
      <c r="E4802" s="12" t="inlineStr">
        <is>
          <t>RICE-5</t>
        </is>
      </c>
      <c r="F4802" s="12" t="inlineStr">
        <is>
          <t>RICE engine-generator 5</t>
        </is>
      </c>
      <c r="G4802" s="12" t="inlineStr">
        <is>
          <t>JB-RICE-5-AI03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I-I-0303</t>
        </is>
      </c>
      <c r="B4803" s="12" t="inlineStr">
        <is>
          <t>I</t>
        </is>
      </c>
      <c r="C4803" s="12" t="inlineStr">
        <is>
          <t>Modular / portable power</t>
        </is>
      </c>
      <c r="D4803" s="12" t="inlineStr">
        <is>
          <t>Home run JB-RICE-5-AI03 to the control / marshalling room</t>
        </is>
      </c>
      <c r="E4803" s="12" t="inlineStr"/>
      <c r="F4803" s="12" t="inlineStr">
        <is>
          <t>PCM: power control module</t>
        </is>
      </c>
      <c r="G4803" s="12" t="inlineStr">
        <is>
          <t>JB-RICE-5-AI03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I-I-0304</t>
        </is>
      </c>
      <c r="B4804" s="12" t="inlineStr">
        <is>
          <t>I</t>
        </is>
      </c>
      <c r="C4804" s="12" t="inlineStr">
        <is>
          <t>Modular / portable power</t>
        </is>
      </c>
      <c r="D4804" s="12" t="inlineStr">
        <is>
          <t>Analog instrument to JB JB-RICE-5-AI04: 20 x 1 pr (field cables)</t>
        </is>
      </c>
      <c r="E4804" s="12" t="inlineStr">
        <is>
          <t>RICE-5</t>
        </is>
      </c>
      <c r="F4804" s="12" t="inlineStr">
        <is>
          <t>RICE engine-generator 5</t>
        </is>
      </c>
      <c r="G4804" s="12" t="inlineStr">
        <is>
          <t>JB-RICE-5-AI04</t>
        </is>
      </c>
      <c r="H4804" s="12" t="inlineStr">
        <is>
          <t>RICE engine-generator 5</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I-I-0305</t>
        </is>
      </c>
      <c r="B4805" s="12" t="inlineStr">
        <is>
          <t>I</t>
        </is>
      </c>
      <c r="C4805" s="12" t="inlineStr">
        <is>
          <t>Modular / portable power</t>
        </is>
      </c>
      <c r="D4805" s="12" t="inlineStr">
        <is>
          <t>Home run JB-RICE-5-AI04 to the control / marshalling room</t>
        </is>
      </c>
      <c r="E4805" s="12" t="inlineStr"/>
      <c r="F4805" s="12" t="inlineStr">
        <is>
          <t>PCM: power control module</t>
        </is>
      </c>
      <c r="G4805" s="12" t="inlineStr">
        <is>
          <t>JB-RICE-5-AI04</t>
        </is>
      </c>
      <c r="H4805" s="12" t="inlineStr">
        <is>
          <t>RICE engine-generator 5</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I-I-0306</t>
        </is>
      </c>
      <c r="B4806" s="12" t="inlineStr">
        <is>
          <t>I</t>
        </is>
      </c>
      <c r="C4806" s="12" t="inlineStr">
        <is>
          <t>Modular / portable power</t>
        </is>
      </c>
      <c r="D4806" s="12" t="inlineStr">
        <is>
          <t>Discrete device to JB JB-RICE-5-DI01: 20 x 1 pr (field cables)</t>
        </is>
      </c>
      <c r="E4806" s="12" t="inlineStr">
        <is>
          <t>RICE-5</t>
        </is>
      </c>
      <c r="F4806" s="12" t="inlineStr">
        <is>
          <t>RICE engine-generator 5</t>
        </is>
      </c>
      <c r="G4806" s="12" t="inlineStr">
        <is>
          <t>JB-RICE-5-DI01</t>
        </is>
      </c>
      <c r="H4806" s="12" t="inlineStr">
        <is>
          <t>RICE engine-generator 5</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20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I-I-0307</t>
        </is>
      </c>
      <c r="B4807" s="12" t="inlineStr">
        <is>
          <t>I</t>
        </is>
      </c>
      <c r="C4807" s="12" t="inlineStr">
        <is>
          <t>Modular / portable power</t>
        </is>
      </c>
      <c r="D4807" s="12" t="inlineStr">
        <is>
          <t>Home run JB-RICE-5-DI01 to the control / marshalling room</t>
        </is>
      </c>
      <c r="E4807" s="12" t="inlineStr"/>
      <c r="F4807" s="12" t="inlineStr">
        <is>
          <t>PCM: power control module</t>
        </is>
      </c>
      <c r="G4807" s="12" t="inlineStr">
        <is>
          <t>JB-RICE-5-DI01</t>
        </is>
      </c>
      <c r="H4807" s="12" t="inlineStr">
        <is>
          <t>RICE engine-generator 5</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I-I-0308</t>
        </is>
      </c>
      <c r="B4808" s="12" t="inlineStr">
        <is>
          <t>I</t>
        </is>
      </c>
      <c r="C4808" s="12" t="inlineStr">
        <is>
          <t>Modular / portable power</t>
        </is>
      </c>
      <c r="D4808" s="12" t="inlineStr">
        <is>
          <t>Discrete device to JB JB-RICE-5-DI02: 20 x 1 pr (field cables)</t>
        </is>
      </c>
      <c r="E4808" s="12" t="inlineStr">
        <is>
          <t>RICE-5</t>
        </is>
      </c>
      <c r="F4808" s="12" t="inlineStr">
        <is>
          <t>RICE engine-generator 5</t>
        </is>
      </c>
      <c r="G4808" s="12" t="inlineStr">
        <is>
          <t>JB-RICE-5-DI02</t>
        </is>
      </c>
      <c r="H4808" s="12" t="inlineStr">
        <is>
          <t>RICE engine-generator 5</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20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I-I-0309</t>
        </is>
      </c>
      <c r="B4809" s="12" t="inlineStr">
        <is>
          <t>I</t>
        </is>
      </c>
      <c r="C4809" s="12" t="inlineStr">
        <is>
          <t>Modular / portable power</t>
        </is>
      </c>
      <c r="D4809" s="12" t="inlineStr">
        <is>
          <t>Home run JB-RICE-5-DI02 to the control / marshalling room</t>
        </is>
      </c>
      <c r="E4809" s="12" t="inlineStr"/>
      <c r="F4809" s="12" t="inlineStr">
        <is>
          <t>PCM: power control module</t>
        </is>
      </c>
      <c r="G4809" s="12" t="inlineStr">
        <is>
          <t>JB-RICE-5-DI02</t>
        </is>
      </c>
      <c r="H4809" s="12" t="inlineStr">
        <is>
          <t>RICE engine-generator 5</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I-I-0310</t>
        </is>
      </c>
      <c r="B4810" s="12" t="inlineStr">
        <is>
          <t>I</t>
        </is>
      </c>
      <c r="C4810" s="12" t="inlineStr">
        <is>
          <t>Modular / portable power</t>
        </is>
      </c>
      <c r="D4810" s="12" t="inlineStr">
        <is>
          <t>Discrete device to JB JB-RICE-5-DI03: 20 x 1 pr (field cables)</t>
        </is>
      </c>
      <c r="E4810" s="12" t="inlineStr">
        <is>
          <t>RICE-5</t>
        </is>
      </c>
      <c r="F4810" s="12" t="inlineStr">
        <is>
          <t>RICE engine-generator 5</t>
        </is>
      </c>
      <c r="G4810" s="12" t="inlineStr">
        <is>
          <t>JB-RICE-5-DI03</t>
        </is>
      </c>
      <c r="H4810" s="12" t="inlineStr">
        <is>
          <t>RICE engine-generator 5</t>
        </is>
      </c>
      <c r="I4810" s="12" t="inlineStr">
        <is>
          <t>Instrumentation</t>
        </is>
      </c>
      <c r="J4810" s="12" t="inlineStr">
        <is>
          <t>Instrumentation PLTC / TC-ER 300 V, #18 twisted shielded pairs, overall shield</t>
        </is>
      </c>
      <c r="K4810" s="12" t="inlineStr">
        <is>
          <t>PLTC|1 pr|16</t>
        </is>
      </c>
      <c r="L4810" s="12" t="inlineStr">
        <is>
          <t>1 pr</t>
        </is>
      </c>
      <c r="M4810" s="12" t="inlineStr">
        <is>
          <t>16</t>
        </is>
      </c>
      <c r="N4810" s="12" t="n">
        <v>20</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I-I-0311</t>
        </is>
      </c>
      <c r="B4811" s="12" t="inlineStr">
        <is>
          <t>I</t>
        </is>
      </c>
      <c r="C4811" s="12" t="inlineStr">
        <is>
          <t>Modular / portable power</t>
        </is>
      </c>
      <c r="D4811" s="12" t="inlineStr">
        <is>
          <t>Home run JB-RICE-5-DI03 to the control / marshalling room</t>
        </is>
      </c>
      <c r="E4811" s="12" t="inlineStr"/>
      <c r="F4811" s="12" t="inlineStr">
        <is>
          <t>PCM: power control module</t>
        </is>
      </c>
      <c r="G4811" s="12" t="inlineStr">
        <is>
          <t>JB-RICE-5-DI03</t>
        </is>
      </c>
      <c r="H4811" s="12" t="inlineStr">
        <is>
          <t>RICE engine-generator 5</t>
        </is>
      </c>
      <c r="I4811" s="12" t="inlineStr">
        <is>
          <t>Instrumentation</t>
        </is>
      </c>
      <c r="J4811" s="12" t="inlineStr">
        <is>
          <t>Instrumentation PLTC / TC-ER 300 V, #18 twisted shielded pairs, overall shield</t>
        </is>
      </c>
      <c r="K4811" s="12" t="inlineStr">
        <is>
          <t>PLTC|24 pr|18</t>
        </is>
      </c>
      <c r="L4811" s="12" t="inlineStr">
        <is>
          <t>24 pr</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I-I-0312</t>
        </is>
      </c>
      <c r="B4812" s="12" t="inlineStr">
        <is>
          <t>I</t>
        </is>
      </c>
      <c r="C4812" s="12" t="inlineStr">
        <is>
          <t>Modular / portable power</t>
        </is>
      </c>
      <c r="D4812" s="12" t="inlineStr">
        <is>
          <t>Thermocouple to TC JB JB-RICE-5-TC01: 20 x 1 pr (field cables)</t>
        </is>
      </c>
      <c r="E4812" s="12" t="inlineStr">
        <is>
          <t>RICE-5</t>
        </is>
      </c>
      <c r="F4812" s="12" t="inlineStr">
        <is>
          <t>RICE engine-generator 5</t>
        </is>
      </c>
      <c r="G4812" s="12" t="inlineStr">
        <is>
          <t>JB-RICE-5-TC01</t>
        </is>
      </c>
      <c r="H4812" s="12" t="inlineStr">
        <is>
          <t>RICE engine-generator 5</t>
        </is>
      </c>
      <c r="I4812" s="12" t="inlineStr">
        <is>
          <t>Instrumentation</t>
        </is>
      </c>
      <c r="J4812" s="12" t="inlineStr">
        <is>
          <t>Thermocouple extension KX, #16 shielded pairs, PLTC</t>
        </is>
      </c>
      <c r="K4812" s="12" t="inlineStr">
        <is>
          <t>TCX|1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I-I-0313</t>
        </is>
      </c>
      <c r="B4813" s="12" t="inlineStr">
        <is>
          <t>I</t>
        </is>
      </c>
      <c r="C4813" s="12" t="inlineStr">
        <is>
          <t>Modular / portable power</t>
        </is>
      </c>
      <c r="D4813" s="12" t="inlineStr">
        <is>
          <t>Home run JB-RICE-5-TC01 to the control / marshalling room</t>
        </is>
      </c>
      <c r="E4813" s="12" t="inlineStr"/>
      <c r="F4813" s="12" t="inlineStr">
        <is>
          <t>PCM: power control module</t>
        </is>
      </c>
      <c r="G4813" s="12" t="inlineStr">
        <is>
          <t>JB-RICE-5-TC01</t>
        </is>
      </c>
      <c r="H4813" s="12" t="inlineStr">
        <is>
          <t>RICE engine-generator 5</t>
        </is>
      </c>
      <c r="I4813" s="12" t="inlineStr">
        <is>
          <t>Instrumentation</t>
        </is>
      </c>
      <c r="J4813" s="12" t="inlineStr">
        <is>
          <t>Thermocouple extension KX, #16 shielded pairs, PLTC</t>
        </is>
      </c>
      <c r="K4813" s="12" t="inlineStr">
        <is>
          <t>TCX|24 pr|16</t>
        </is>
      </c>
      <c r="L4813" s="12" t="inlineStr">
        <is>
          <t>24 pr</t>
        </is>
      </c>
      <c r="M4813" s="12" t="inlineStr">
        <is>
          <t>16</t>
        </is>
      </c>
      <c r="N4813" s="12" t="n">
        <v>1</v>
      </c>
      <c r="O4813" s="12" t="n">
        <v>1</v>
      </c>
      <c r="P4813" s="12" t="n"/>
      <c r="Q4813" s="12" t="n"/>
      <c r="R4813" s="12" t="n"/>
      <c r="S4813" s="12" t="inlineStr">
        <is>
          <t>Duct bank</t>
        </is>
      </c>
      <c r="T4813" s="16" t="n">
        <v>367</v>
      </c>
      <c r="U4813" s="16" t="n">
        <v>208</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I-I-0314</t>
        </is>
      </c>
      <c r="B4814" s="12" t="inlineStr">
        <is>
          <t>I</t>
        </is>
      </c>
      <c r="C4814" s="12" t="inlineStr">
        <is>
          <t>Modular / portable power</t>
        </is>
      </c>
      <c r="D4814" s="12" t="inlineStr">
        <is>
          <t>Thermocouple to TC JB JB-RICE-5-TC02: 10 x 1 pr (field cables)</t>
        </is>
      </c>
      <c r="E4814" s="12" t="inlineStr">
        <is>
          <t>RICE-5</t>
        </is>
      </c>
      <c r="F4814" s="12" t="inlineStr">
        <is>
          <t>RICE engine-generator 5</t>
        </is>
      </c>
      <c r="G4814" s="12" t="inlineStr">
        <is>
          <t>JB-RICE-5-TC02</t>
        </is>
      </c>
      <c r="H4814" s="12" t="inlineStr">
        <is>
          <t>RICE engine-generator 5</t>
        </is>
      </c>
      <c r="I4814" s="12" t="inlineStr">
        <is>
          <t>Instrumentation</t>
        </is>
      </c>
      <c r="J4814" s="12" t="inlineStr">
        <is>
          <t>Thermocouple extension KX, #16 shielded pairs, PLTC</t>
        </is>
      </c>
      <c r="K4814" s="12" t="inlineStr">
        <is>
          <t>TCX|1 pr|16</t>
        </is>
      </c>
      <c r="L4814" s="12" t="inlineStr">
        <is>
          <t>1 pr</t>
        </is>
      </c>
      <c r="M4814" s="12" t="inlineStr">
        <is>
          <t>16</t>
        </is>
      </c>
      <c r="N4814" s="12" t="n">
        <v>10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I-I-0315</t>
        </is>
      </c>
      <c r="B4815" s="12" t="inlineStr">
        <is>
          <t>I</t>
        </is>
      </c>
      <c r="C4815" s="12" t="inlineStr">
        <is>
          <t>Modular / portable power</t>
        </is>
      </c>
      <c r="D4815" s="12" t="inlineStr">
        <is>
          <t>Home run JB-RICE-5-TC02 to the control / marshalling room</t>
        </is>
      </c>
      <c r="E4815" s="12" t="inlineStr"/>
      <c r="F4815" s="12" t="inlineStr">
        <is>
          <t>PCM: power control module</t>
        </is>
      </c>
      <c r="G4815" s="12" t="inlineStr">
        <is>
          <t>JB-RICE-5-TC02</t>
        </is>
      </c>
      <c r="H4815" s="12" t="inlineStr">
        <is>
          <t>RICE engine-generator 5</t>
        </is>
      </c>
      <c r="I4815" s="12" t="inlineStr">
        <is>
          <t>Instrumentation</t>
        </is>
      </c>
      <c r="J4815" s="12" t="inlineStr">
        <is>
          <t>Thermocouple extension KX, #16 shielded pairs, PLTC</t>
        </is>
      </c>
      <c r="K4815" s="12" t="inlineStr">
        <is>
          <t>TCX|24 pr|16</t>
        </is>
      </c>
      <c r="L4815" s="12" t="inlineStr">
        <is>
          <t>24 pr</t>
        </is>
      </c>
      <c r="M4815" s="12" t="inlineStr">
        <is>
          <t>16</t>
        </is>
      </c>
      <c r="N4815" s="12" t="n">
        <v>1</v>
      </c>
      <c r="O4815" s="12" t="n">
        <v>1</v>
      </c>
      <c r="P4815" s="12" t="n"/>
      <c r="Q4815" s="12" t="n"/>
      <c r="R4815" s="12" t="n"/>
      <c r="S4815" s="12" t="inlineStr">
        <is>
          <t>Duct bank</t>
        </is>
      </c>
      <c r="T4815" s="16" t="n">
        <v>367</v>
      </c>
      <c r="U4815" s="16" t="n">
        <v>208</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I-I-0316</t>
        </is>
      </c>
      <c r="B4816" s="12" t="inlineStr">
        <is>
          <t>I</t>
        </is>
      </c>
      <c r="C4816" s="12" t="inlineStr">
        <is>
          <t>Modular / portable power</t>
        </is>
      </c>
      <c r="D4816" s="12" t="inlineStr">
        <is>
          <t>RTD to JB JB-RICE-5-RTD01: 10 x 1 tri (field cables)</t>
        </is>
      </c>
      <c r="E4816" s="12" t="inlineStr">
        <is>
          <t>RICE-5</t>
        </is>
      </c>
      <c r="F4816" s="12" t="inlineStr">
        <is>
          <t>RICE engine-generator 5</t>
        </is>
      </c>
      <c r="G4816" s="12" t="inlineStr">
        <is>
          <t>JB-RICE-5-RTD01</t>
        </is>
      </c>
      <c r="H4816" s="12" t="inlineStr">
        <is>
          <t>RICE engine-generator 5</t>
        </is>
      </c>
      <c r="I4816" s="12" t="inlineStr">
        <is>
          <t>Instrumentation</t>
        </is>
      </c>
      <c r="J4816" s="12" t="inlineStr">
        <is>
          <t>RTD cable, #18 shielded triads, PLTC</t>
        </is>
      </c>
      <c r="K4816" s="12" t="inlineStr">
        <is>
          <t>RTD|1 tri|18</t>
        </is>
      </c>
      <c r="L4816" s="12" t="inlineStr">
        <is>
          <t>1 tri</t>
        </is>
      </c>
      <c r="M4816" s="12" t="inlineStr">
        <is>
          <t>18</t>
        </is>
      </c>
      <c r="N4816" s="12" t="n">
        <v>10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I-I-0317</t>
        </is>
      </c>
      <c r="B4817" s="12" t="inlineStr">
        <is>
          <t>I</t>
        </is>
      </c>
      <c r="C4817" s="12" t="inlineStr">
        <is>
          <t>Modular / portable power</t>
        </is>
      </c>
      <c r="D4817" s="12" t="inlineStr">
        <is>
          <t>Home run JB-RICE-5-RTD01 to the control / marshalling room</t>
        </is>
      </c>
      <c r="E4817" s="12" t="inlineStr"/>
      <c r="F4817" s="12" t="inlineStr">
        <is>
          <t>PCM: power control module</t>
        </is>
      </c>
      <c r="G4817" s="12" t="inlineStr">
        <is>
          <t>JB-RICE-5-RTD01</t>
        </is>
      </c>
      <c r="H4817" s="12" t="inlineStr">
        <is>
          <t>RICE engine-generator 5</t>
        </is>
      </c>
      <c r="I4817" s="12" t="inlineStr">
        <is>
          <t>Instrumentation</t>
        </is>
      </c>
      <c r="J4817" s="12" t="inlineStr">
        <is>
          <t>RTD cable, #18 shielded triads, PLTC</t>
        </is>
      </c>
      <c r="K4817" s="12" t="inlineStr">
        <is>
          <t>RTD|12 tri|18</t>
        </is>
      </c>
      <c r="L4817" s="12" t="inlineStr">
        <is>
          <t>12 tri</t>
        </is>
      </c>
      <c r="M4817" s="12" t="inlineStr">
        <is>
          <t>18</t>
        </is>
      </c>
      <c r="N4817" s="12" t="n">
        <v>1</v>
      </c>
      <c r="O4817" s="12" t="n">
        <v>1</v>
      </c>
      <c r="P4817" s="12" t="n"/>
      <c r="Q4817" s="12" t="n"/>
      <c r="R4817" s="12" t="n"/>
      <c r="S4817" s="12" t="inlineStr">
        <is>
          <t>Duct bank</t>
        </is>
      </c>
      <c r="T4817" s="16" t="n">
        <v>367</v>
      </c>
      <c r="U4817" s="16" t="n">
        <v>208</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I-I-0318</t>
        </is>
      </c>
      <c r="B4818" s="12" t="inlineStr">
        <is>
          <t>I</t>
        </is>
      </c>
      <c r="C4818" s="12" t="inlineStr">
        <is>
          <t>Modular / portable power</t>
        </is>
      </c>
      <c r="D4818" s="12" t="inlineStr">
        <is>
          <t>RTD to JB JB-RICE-5-RTD02: 2 x 1 tri (field cables)</t>
        </is>
      </c>
      <c r="E4818" s="12" t="inlineStr">
        <is>
          <t>RICE-5</t>
        </is>
      </c>
      <c r="F4818" s="12" t="inlineStr">
        <is>
          <t>RICE engine-generator 5</t>
        </is>
      </c>
      <c r="G4818" s="12" t="inlineStr">
        <is>
          <t>JB-RICE-5-RTD02</t>
        </is>
      </c>
      <c r="H4818" s="12" t="inlineStr">
        <is>
          <t>RICE engine-generator 5</t>
        </is>
      </c>
      <c r="I4818" s="12" t="inlineStr">
        <is>
          <t>Instrumentation</t>
        </is>
      </c>
      <c r="J4818" s="12" t="inlineStr">
        <is>
          <t>RTD cable, #18 shielded triads, PLTC</t>
        </is>
      </c>
      <c r="K4818" s="12" t="inlineStr">
        <is>
          <t>RTD|1 tri|18</t>
        </is>
      </c>
      <c r="L4818" s="12" t="inlineStr">
        <is>
          <t>1 tri</t>
        </is>
      </c>
      <c r="M4818" s="12" t="inlineStr">
        <is>
          <t>18</t>
        </is>
      </c>
      <c r="N4818" s="12" t="n">
        <v>2</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I-I-0319</t>
        </is>
      </c>
      <c r="B4819" s="12" t="inlineStr">
        <is>
          <t>I</t>
        </is>
      </c>
      <c r="C4819" s="12" t="inlineStr">
        <is>
          <t>Modular / portable power</t>
        </is>
      </c>
      <c r="D4819" s="12" t="inlineStr">
        <is>
          <t>Home run JB-RICE-5-RTD02 to the control / marshalling room</t>
        </is>
      </c>
      <c r="E4819" s="12" t="inlineStr"/>
      <c r="F4819" s="12" t="inlineStr">
        <is>
          <t>PCM: power control module</t>
        </is>
      </c>
      <c r="G4819" s="12" t="inlineStr">
        <is>
          <t>JB-RICE-5-RTD02</t>
        </is>
      </c>
      <c r="H4819" s="12" t="inlineStr">
        <is>
          <t>RICE engine-generator 5</t>
        </is>
      </c>
      <c r="I4819" s="12" t="inlineStr">
        <is>
          <t>Instrumentation</t>
        </is>
      </c>
      <c r="J4819" s="12" t="inlineStr">
        <is>
          <t>RTD cable, #18 shielded triads, PLTC</t>
        </is>
      </c>
      <c r="K4819" s="12" t="inlineStr">
        <is>
          <t>RTD|12 tri|18</t>
        </is>
      </c>
      <c r="L4819" s="12" t="inlineStr">
        <is>
          <t>12 tri</t>
        </is>
      </c>
      <c r="M4819" s="12" t="inlineStr">
        <is>
          <t>18</t>
        </is>
      </c>
      <c r="N4819" s="12" t="n">
        <v>1</v>
      </c>
      <c r="O4819" s="12" t="n">
        <v>1</v>
      </c>
      <c r="P4819" s="12" t="n"/>
      <c r="Q4819" s="12" t="n"/>
      <c r="R4819" s="12" t="n"/>
      <c r="S4819" s="12" t="inlineStr">
        <is>
          <t>Duct bank</t>
        </is>
      </c>
      <c r="T4819" s="16" t="n">
        <v>367</v>
      </c>
      <c r="U4819" s="16" t="n">
        <v>208</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I-I-0320</t>
        </is>
      </c>
      <c r="B4820" s="12" t="inlineStr">
        <is>
          <t>I</t>
        </is>
      </c>
      <c r="C4820" s="12" t="inlineStr">
        <is>
          <t>Modular / portable power</t>
        </is>
      </c>
      <c r="D4820" s="12" t="inlineStr">
        <is>
          <t>Analog instrument to JB JB-RICE-6-AI01: 20 x 1 pr (field cables)</t>
        </is>
      </c>
      <c r="E4820" s="12" t="inlineStr">
        <is>
          <t>RICE-6</t>
        </is>
      </c>
      <c r="F4820" s="12" t="inlineStr">
        <is>
          <t>RICE engine-generator 6</t>
        </is>
      </c>
      <c r="G4820" s="12" t="inlineStr">
        <is>
          <t>JB-RICE-6-AI01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I-I-0321</t>
        </is>
      </c>
      <c r="B4821" s="12" t="inlineStr">
        <is>
          <t>I</t>
        </is>
      </c>
      <c r="C4821" s="12" t="inlineStr">
        <is>
          <t>Modular / portable power</t>
        </is>
      </c>
      <c r="D4821" s="12" t="inlineStr">
        <is>
          <t>Home run JB-RICE-6-AI01 to the control / marshalling room</t>
        </is>
      </c>
      <c r="E4821" s="12" t="inlineStr"/>
      <c r="F4821" s="12" t="inlineStr">
        <is>
          <t>PCM: power control module</t>
        </is>
      </c>
      <c r="G4821" s="12" t="inlineStr">
        <is>
          <t>JB-RICE-6-AI01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I-I-0322</t>
        </is>
      </c>
      <c r="B4822" s="12" t="inlineStr">
        <is>
          <t>I</t>
        </is>
      </c>
      <c r="C4822" s="12" t="inlineStr">
        <is>
          <t>Modular / portable power</t>
        </is>
      </c>
      <c r="D4822" s="12" t="inlineStr">
        <is>
          <t>Analog instrument to JB JB-RICE-6-AI02: 20 x 1 pr (field cables)</t>
        </is>
      </c>
      <c r="E4822" s="12" t="inlineStr">
        <is>
          <t>RICE-6</t>
        </is>
      </c>
      <c r="F4822" s="12" t="inlineStr">
        <is>
          <t>RICE engine-generator 6</t>
        </is>
      </c>
      <c r="G4822" s="12" t="inlineStr">
        <is>
          <t>JB-RICE-6-AI02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I-I-0323</t>
        </is>
      </c>
      <c r="B4823" s="12" t="inlineStr">
        <is>
          <t>I</t>
        </is>
      </c>
      <c r="C4823" s="12" t="inlineStr">
        <is>
          <t>Modular / portable power</t>
        </is>
      </c>
      <c r="D4823" s="12" t="inlineStr">
        <is>
          <t>Home run JB-RICE-6-AI02 to the control / marshalling room</t>
        </is>
      </c>
      <c r="E4823" s="12" t="inlineStr"/>
      <c r="F4823" s="12" t="inlineStr">
        <is>
          <t>PCM: power control module</t>
        </is>
      </c>
      <c r="G4823" s="12" t="inlineStr">
        <is>
          <t>JB-RICE-6-AI02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I-I-0324</t>
        </is>
      </c>
      <c r="B4824" s="12" t="inlineStr">
        <is>
          <t>I</t>
        </is>
      </c>
      <c r="C4824" s="12" t="inlineStr">
        <is>
          <t>Modular / portable power</t>
        </is>
      </c>
      <c r="D4824" s="12" t="inlineStr">
        <is>
          <t>Analog instrument to JB JB-RICE-6-AI03: 20 x 1 pr (field cables)</t>
        </is>
      </c>
      <c r="E4824" s="12" t="inlineStr">
        <is>
          <t>RICE-6</t>
        </is>
      </c>
      <c r="F4824" s="12" t="inlineStr">
        <is>
          <t>RICE engine-generator 6</t>
        </is>
      </c>
      <c r="G4824" s="12" t="inlineStr">
        <is>
          <t>JB-RICE-6-AI03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I-I-0325</t>
        </is>
      </c>
      <c r="B4825" s="12" t="inlineStr">
        <is>
          <t>I</t>
        </is>
      </c>
      <c r="C4825" s="12" t="inlineStr">
        <is>
          <t>Modular / portable power</t>
        </is>
      </c>
      <c r="D4825" s="12" t="inlineStr">
        <is>
          <t>Home run JB-RICE-6-AI03 to the control / marshalling room</t>
        </is>
      </c>
      <c r="E4825" s="12" t="inlineStr"/>
      <c r="F4825" s="12" t="inlineStr">
        <is>
          <t>PCM: power control module</t>
        </is>
      </c>
      <c r="G4825" s="12" t="inlineStr">
        <is>
          <t>JB-RICE-6-AI03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I-I-0326</t>
        </is>
      </c>
      <c r="B4826" s="12" t="inlineStr">
        <is>
          <t>I</t>
        </is>
      </c>
      <c r="C4826" s="12" t="inlineStr">
        <is>
          <t>Modular / portable power</t>
        </is>
      </c>
      <c r="D4826" s="12" t="inlineStr">
        <is>
          <t>Analog instrument to JB JB-RICE-6-AI04: 20 x 1 pr (field cables)</t>
        </is>
      </c>
      <c r="E4826" s="12" t="inlineStr">
        <is>
          <t>RICE-6</t>
        </is>
      </c>
      <c r="F4826" s="12" t="inlineStr">
        <is>
          <t>RICE engine-generator 6</t>
        </is>
      </c>
      <c r="G4826" s="12" t="inlineStr">
        <is>
          <t>JB-RICE-6-AI04</t>
        </is>
      </c>
      <c r="H4826" s="12" t="inlineStr">
        <is>
          <t>RICE engine-generator 6</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I-I-0327</t>
        </is>
      </c>
      <c r="B4827" s="12" t="inlineStr">
        <is>
          <t>I</t>
        </is>
      </c>
      <c r="C4827" s="12" t="inlineStr">
        <is>
          <t>Modular / portable power</t>
        </is>
      </c>
      <c r="D4827" s="12" t="inlineStr">
        <is>
          <t>Home run JB-RICE-6-AI04 to the control / marshalling room</t>
        </is>
      </c>
      <c r="E4827" s="12" t="inlineStr"/>
      <c r="F4827" s="12" t="inlineStr">
        <is>
          <t>PCM: power control module</t>
        </is>
      </c>
      <c r="G4827" s="12" t="inlineStr">
        <is>
          <t>JB-RICE-6-AI04</t>
        </is>
      </c>
      <c r="H4827" s="12" t="inlineStr">
        <is>
          <t>RICE engine-generator 6</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I-I-0328</t>
        </is>
      </c>
      <c r="B4828" s="12" t="inlineStr">
        <is>
          <t>I</t>
        </is>
      </c>
      <c r="C4828" s="12" t="inlineStr">
        <is>
          <t>Modular / portable power</t>
        </is>
      </c>
      <c r="D4828" s="12" t="inlineStr">
        <is>
          <t>Discrete device to JB JB-RICE-6-DI01: 20 x 1 pr (field cables)</t>
        </is>
      </c>
      <c r="E4828" s="12" t="inlineStr">
        <is>
          <t>RICE-6</t>
        </is>
      </c>
      <c r="F4828" s="12" t="inlineStr">
        <is>
          <t>RICE engine-generator 6</t>
        </is>
      </c>
      <c r="G4828" s="12" t="inlineStr">
        <is>
          <t>JB-RICE-6-DI01</t>
        </is>
      </c>
      <c r="H4828" s="12" t="inlineStr">
        <is>
          <t>RICE engine-generator 6</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I-I-0329</t>
        </is>
      </c>
      <c r="B4829" s="12" t="inlineStr">
        <is>
          <t>I</t>
        </is>
      </c>
      <c r="C4829" s="12" t="inlineStr">
        <is>
          <t>Modular / portable power</t>
        </is>
      </c>
      <c r="D4829" s="12" t="inlineStr">
        <is>
          <t>Home run JB-RICE-6-DI01 to the control / marshalling room</t>
        </is>
      </c>
      <c r="E4829" s="12" t="inlineStr"/>
      <c r="F4829" s="12" t="inlineStr">
        <is>
          <t>PCM: power control module</t>
        </is>
      </c>
      <c r="G4829" s="12" t="inlineStr">
        <is>
          <t>JB-RICE-6-DI01</t>
        </is>
      </c>
      <c r="H4829" s="12" t="inlineStr">
        <is>
          <t>RICE engine-generator 6</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I-I-0330</t>
        </is>
      </c>
      <c r="B4830" s="12" t="inlineStr">
        <is>
          <t>I</t>
        </is>
      </c>
      <c r="C4830" s="12" t="inlineStr">
        <is>
          <t>Modular / portable power</t>
        </is>
      </c>
      <c r="D4830" s="12" t="inlineStr">
        <is>
          <t>Discrete device to JB JB-RICE-6-DI02: 20 x 1 pr (field cables)</t>
        </is>
      </c>
      <c r="E4830" s="12" t="inlineStr">
        <is>
          <t>RICE-6</t>
        </is>
      </c>
      <c r="F4830" s="12" t="inlineStr">
        <is>
          <t>RICE engine-generator 6</t>
        </is>
      </c>
      <c r="G4830" s="12" t="inlineStr">
        <is>
          <t>JB-RICE-6-DI02</t>
        </is>
      </c>
      <c r="H4830" s="12" t="inlineStr">
        <is>
          <t>RICE engine-generator 6</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I-I-0331</t>
        </is>
      </c>
      <c r="B4831" s="12" t="inlineStr">
        <is>
          <t>I</t>
        </is>
      </c>
      <c r="C4831" s="12" t="inlineStr">
        <is>
          <t>Modular / portable power</t>
        </is>
      </c>
      <c r="D4831" s="12" t="inlineStr">
        <is>
          <t>Home run JB-RICE-6-DI02 to the control / marshalling room</t>
        </is>
      </c>
      <c r="E4831" s="12" t="inlineStr"/>
      <c r="F4831" s="12" t="inlineStr">
        <is>
          <t>PCM: power control module</t>
        </is>
      </c>
      <c r="G4831" s="12" t="inlineStr">
        <is>
          <t>JB-RICE-6-DI02</t>
        </is>
      </c>
      <c r="H4831" s="12" t="inlineStr">
        <is>
          <t>RICE engine-generator 6</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I-I-0332</t>
        </is>
      </c>
      <c r="B4832" s="12" t="inlineStr">
        <is>
          <t>I</t>
        </is>
      </c>
      <c r="C4832" s="12" t="inlineStr">
        <is>
          <t>Modular / portable power</t>
        </is>
      </c>
      <c r="D4832" s="12" t="inlineStr">
        <is>
          <t>Discrete device to JB JB-RICE-6-DI03: 20 x 1 pr (field cables)</t>
        </is>
      </c>
      <c r="E4832" s="12" t="inlineStr">
        <is>
          <t>RICE-6</t>
        </is>
      </c>
      <c r="F4832" s="12" t="inlineStr">
        <is>
          <t>RICE engine-generator 6</t>
        </is>
      </c>
      <c r="G4832" s="12" t="inlineStr">
        <is>
          <t>JB-RICE-6-DI03</t>
        </is>
      </c>
      <c r="H4832" s="12" t="inlineStr">
        <is>
          <t>RICE engine-generator 6</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I-I-0333</t>
        </is>
      </c>
      <c r="B4833" s="12" t="inlineStr">
        <is>
          <t>I</t>
        </is>
      </c>
      <c r="C4833" s="12" t="inlineStr">
        <is>
          <t>Modular / portable power</t>
        </is>
      </c>
      <c r="D4833" s="12" t="inlineStr">
        <is>
          <t>Home run JB-RICE-6-DI03 to the control / marshalling room</t>
        </is>
      </c>
      <c r="E4833" s="12" t="inlineStr"/>
      <c r="F4833" s="12" t="inlineStr">
        <is>
          <t>PCM: power control module</t>
        </is>
      </c>
      <c r="G4833" s="12" t="inlineStr">
        <is>
          <t>JB-RICE-6-DI03</t>
        </is>
      </c>
      <c r="H4833" s="12" t="inlineStr">
        <is>
          <t>RICE engine-generator 6</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I-I-0334</t>
        </is>
      </c>
      <c r="B4834" s="12" t="inlineStr">
        <is>
          <t>I</t>
        </is>
      </c>
      <c r="C4834" s="12" t="inlineStr">
        <is>
          <t>Modular / portable power</t>
        </is>
      </c>
      <c r="D4834" s="12" t="inlineStr">
        <is>
          <t>Thermocouple to TC JB JB-RICE-6-TC01: 20 x 1 pr (field cables)</t>
        </is>
      </c>
      <c r="E4834" s="12" t="inlineStr">
        <is>
          <t>RICE-6</t>
        </is>
      </c>
      <c r="F4834" s="12" t="inlineStr">
        <is>
          <t>RICE engine-generator 6</t>
        </is>
      </c>
      <c r="G4834" s="12" t="inlineStr">
        <is>
          <t>JB-RICE-6-TC01</t>
        </is>
      </c>
      <c r="H4834" s="12" t="inlineStr">
        <is>
          <t>RICE engine-generator 6</t>
        </is>
      </c>
      <c r="I4834" s="12" t="inlineStr">
        <is>
          <t>Instrumentation</t>
        </is>
      </c>
      <c r="J4834" s="12" t="inlineStr">
        <is>
          <t>Thermocouple extension KX, #16 shielded pairs, PLTC</t>
        </is>
      </c>
      <c r="K4834" s="12" t="inlineStr">
        <is>
          <t>TCX|1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I-I-0335</t>
        </is>
      </c>
      <c r="B4835" s="12" t="inlineStr">
        <is>
          <t>I</t>
        </is>
      </c>
      <c r="C4835" s="12" t="inlineStr">
        <is>
          <t>Modular / portable power</t>
        </is>
      </c>
      <c r="D4835" s="12" t="inlineStr">
        <is>
          <t>Home run JB-RICE-6-TC01 to the control / marshalling room</t>
        </is>
      </c>
      <c r="E4835" s="12" t="inlineStr"/>
      <c r="F4835" s="12" t="inlineStr">
        <is>
          <t>PCM: power control module</t>
        </is>
      </c>
      <c r="G4835" s="12" t="inlineStr">
        <is>
          <t>JB-RICE-6-TC01</t>
        </is>
      </c>
      <c r="H4835" s="12" t="inlineStr">
        <is>
          <t>RICE engine-generator 6</t>
        </is>
      </c>
      <c r="I4835" s="12" t="inlineStr">
        <is>
          <t>Instrumentation</t>
        </is>
      </c>
      <c r="J4835" s="12" t="inlineStr">
        <is>
          <t>Thermocouple extension KX, #16 shielded pairs, PLTC</t>
        </is>
      </c>
      <c r="K4835" s="12" t="inlineStr">
        <is>
          <t>TCX|24 pr|16</t>
        </is>
      </c>
      <c r="L4835" s="12" t="inlineStr">
        <is>
          <t>24 pr</t>
        </is>
      </c>
      <c r="M4835" s="12" t="inlineStr">
        <is>
          <t>16</t>
        </is>
      </c>
      <c r="N4835" s="12" t="n">
        <v>1</v>
      </c>
      <c r="O4835" s="12" t="n">
        <v>1</v>
      </c>
      <c r="P4835" s="12" t="n"/>
      <c r="Q4835" s="12" t="n"/>
      <c r="R4835" s="12" t="n"/>
      <c r="S4835" s="12" t="inlineStr">
        <is>
          <t>Duct bank</t>
        </is>
      </c>
      <c r="T4835" s="16" t="n">
        <v>367</v>
      </c>
      <c r="U4835" s="16" t="n">
        <v>180</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I-I-0336</t>
        </is>
      </c>
      <c r="B4836" s="12" t="inlineStr">
        <is>
          <t>I</t>
        </is>
      </c>
      <c r="C4836" s="12" t="inlineStr">
        <is>
          <t>Modular / portable power</t>
        </is>
      </c>
      <c r="D4836" s="12" t="inlineStr">
        <is>
          <t>Thermocouple to TC JB JB-RICE-6-TC02: 10 x 1 pr (field cables)</t>
        </is>
      </c>
      <c r="E4836" s="12" t="inlineStr">
        <is>
          <t>RICE-6</t>
        </is>
      </c>
      <c r="F4836" s="12" t="inlineStr">
        <is>
          <t>RICE engine-generator 6</t>
        </is>
      </c>
      <c r="G4836" s="12" t="inlineStr">
        <is>
          <t>JB-RICE-6-TC02</t>
        </is>
      </c>
      <c r="H4836" s="12" t="inlineStr">
        <is>
          <t>RICE engine-generator 6</t>
        </is>
      </c>
      <c r="I4836" s="12" t="inlineStr">
        <is>
          <t>Instrumentation</t>
        </is>
      </c>
      <c r="J4836" s="12" t="inlineStr">
        <is>
          <t>Thermocouple extension KX, #16 shielded pairs, PLTC</t>
        </is>
      </c>
      <c r="K4836" s="12" t="inlineStr">
        <is>
          <t>TCX|1 pr|16</t>
        </is>
      </c>
      <c r="L4836" s="12" t="inlineStr">
        <is>
          <t>1 pr</t>
        </is>
      </c>
      <c r="M4836" s="12" t="inlineStr">
        <is>
          <t>16</t>
        </is>
      </c>
      <c r="N4836" s="12" t="n">
        <v>10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I-I-0337</t>
        </is>
      </c>
      <c r="B4837" s="12" t="inlineStr">
        <is>
          <t>I</t>
        </is>
      </c>
      <c r="C4837" s="12" t="inlineStr">
        <is>
          <t>Modular / portable power</t>
        </is>
      </c>
      <c r="D4837" s="12" t="inlineStr">
        <is>
          <t>Home run JB-RICE-6-TC02 to the control / marshalling room</t>
        </is>
      </c>
      <c r="E4837" s="12" t="inlineStr"/>
      <c r="F4837" s="12" t="inlineStr">
        <is>
          <t>PCM: power control module</t>
        </is>
      </c>
      <c r="G4837" s="12" t="inlineStr">
        <is>
          <t>JB-RICE-6-TC02</t>
        </is>
      </c>
      <c r="H4837" s="12" t="inlineStr">
        <is>
          <t>RICE engine-generator 6</t>
        </is>
      </c>
      <c r="I4837" s="12" t="inlineStr">
        <is>
          <t>Instrumentation</t>
        </is>
      </c>
      <c r="J4837" s="12" t="inlineStr">
        <is>
          <t>Thermocouple extension KX, #16 shielded pairs, PLTC</t>
        </is>
      </c>
      <c r="K4837" s="12" t="inlineStr">
        <is>
          <t>TCX|24 pr|16</t>
        </is>
      </c>
      <c r="L4837" s="12" t="inlineStr">
        <is>
          <t>24 pr</t>
        </is>
      </c>
      <c r="M4837" s="12" t="inlineStr">
        <is>
          <t>16</t>
        </is>
      </c>
      <c r="N4837" s="12" t="n">
        <v>1</v>
      </c>
      <c r="O4837" s="12" t="n">
        <v>1</v>
      </c>
      <c r="P4837" s="12" t="n"/>
      <c r="Q4837" s="12" t="n"/>
      <c r="R4837" s="12" t="n"/>
      <c r="S4837" s="12" t="inlineStr">
        <is>
          <t>Duct bank</t>
        </is>
      </c>
      <c r="T4837" s="16" t="n">
        <v>367</v>
      </c>
      <c r="U4837" s="16" t="n">
        <v>180</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I-I-0338</t>
        </is>
      </c>
      <c r="B4838" s="12" t="inlineStr">
        <is>
          <t>I</t>
        </is>
      </c>
      <c r="C4838" s="12" t="inlineStr">
        <is>
          <t>Modular / portable power</t>
        </is>
      </c>
      <c r="D4838" s="12" t="inlineStr">
        <is>
          <t>RTD to JB JB-RICE-6-RTD01: 10 x 1 tri (field cables)</t>
        </is>
      </c>
      <c r="E4838" s="12" t="inlineStr">
        <is>
          <t>RICE-6</t>
        </is>
      </c>
      <c r="F4838" s="12" t="inlineStr">
        <is>
          <t>RICE engine-generator 6</t>
        </is>
      </c>
      <c r="G4838" s="12" t="inlineStr">
        <is>
          <t>JB-RICE-6-RTD01</t>
        </is>
      </c>
      <c r="H4838" s="12" t="inlineStr">
        <is>
          <t>RICE engine-generator 6</t>
        </is>
      </c>
      <c r="I4838" s="12" t="inlineStr">
        <is>
          <t>Instrumentation</t>
        </is>
      </c>
      <c r="J4838" s="12" t="inlineStr">
        <is>
          <t>RTD cable, #18 shielded triads, PLTC</t>
        </is>
      </c>
      <c r="K4838" s="12" t="inlineStr">
        <is>
          <t>RTD|1 tri|18</t>
        </is>
      </c>
      <c r="L4838" s="12" t="inlineStr">
        <is>
          <t>1 tri</t>
        </is>
      </c>
      <c r="M4838" s="12" t="inlineStr">
        <is>
          <t>18</t>
        </is>
      </c>
      <c r="N4838" s="12" t="n">
        <v>10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I-I-0339</t>
        </is>
      </c>
      <c r="B4839" s="12" t="inlineStr">
        <is>
          <t>I</t>
        </is>
      </c>
      <c r="C4839" s="12" t="inlineStr">
        <is>
          <t>Modular / portable power</t>
        </is>
      </c>
      <c r="D4839" s="12" t="inlineStr">
        <is>
          <t>Home run JB-RICE-6-RTD01 to the control / marshalling room</t>
        </is>
      </c>
      <c r="E4839" s="12" t="inlineStr"/>
      <c r="F4839" s="12" t="inlineStr">
        <is>
          <t>PCM: power control module</t>
        </is>
      </c>
      <c r="G4839" s="12" t="inlineStr">
        <is>
          <t>JB-RICE-6-RTD01</t>
        </is>
      </c>
      <c r="H4839" s="12" t="inlineStr">
        <is>
          <t>RICE engine-generator 6</t>
        </is>
      </c>
      <c r="I4839" s="12" t="inlineStr">
        <is>
          <t>Instrumentation</t>
        </is>
      </c>
      <c r="J4839" s="12" t="inlineStr">
        <is>
          <t>RTD cable, #18 shielded triads, PLTC</t>
        </is>
      </c>
      <c r="K4839" s="12" t="inlineStr">
        <is>
          <t>RTD|12 tri|18</t>
        </is>
      </c>
      <c r="L4839" s="12" t="inlineStr">
        <is>
          <t>12 tri</t>
        </is>
      </c>
      <c r="M4839" s="12" t="inlineStr">
        <is>
          <t>18</t>
        </is>
      </c>
      <c r="N4839" s="12" t="n">
        <v>1</v>
      </c>
      <c r="O4839" s="12" t="n">
        <v>1</v>
      </c>
      <c r="P4839" s="12" t="n"/>
      <c r="Q4839" s="12" t="n"/>
      <c r="R4839" s="12" t="n"/>
      <c r="S4839" s="12" t="inlineStr">
        <is>
          <t>Duct bank</t>
        </is>
      </c>
      <c r="T4839" s="16" t="n">
        <v>367</v>
      </c>
      <c r="U4839" s="16" t="n">
        <v>180</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I-I-0340</t>
        </is>
      </c>
      <c r="B4840" s="12" t="inlineStr">
        <is>
          <t>I</t>
        </is>
      </c>
      <c r="C4840" s="12" t="inlineStr">
        <is>
          <t>Modular / portable power</t>
        </is>
      </c>
      <c r="D4840" s="12" t="inlineStr">
        <is>
          <t>RTD to JB JB-RICE-6-RTD02: 2 x 1 tri (field cables)</t>
        </is>
      </c>
      <c r="E4840" s="12" t="inlineStr">
        <is>
          <t>RICE-6</t>
        </is>
      </c>
      <c r="F4840" s="12" t="inlineStr">
        <is>
          <t>RICE engine-generator 6</t>
        </is>
      </c>
      <c r="G4840" s="12" t="inlineStr">
        <is>
          <t>JB-RICE-6-RTD02</t>
        </is>
      </c>
      <c r="H4840" s="12" t="inlineStr">
        <is>
          <t>RICE engine-generator 6</t>
        </is>
      </c>
      <c r="I4840" s="12" t="inlineStr">
        <is>
          <t>Instrumentation</t>
        </is>
      </c>
      <c r="J4840" s="12" t="inlineStr">
        <is>
          <t>RTD cable, #18 shielded triads, PLTC</t>
        </is>
      </c>
      <c r="K4840" s="12" t="inlineStr">
        <is>
          <t>RTD|1 tri|18</t>
        </is>
      </c>
      <c r="L4840" s="12" t="inlineStr">
        <is>
          <t>1 tri</t>
        </is>
      </c>
      <c r="M4840" s="12" t="inlineStr">
        <is>
          <t>18</t>
        </is>
      </c>
      <c r="N4840" s="12" t="n">
        <v>2</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I-I-0341</t>
        </is>
      </c>
      <c r="B4841" s="12" t="inlineStr">
        <is>
          <t>I</t>
        </is>
      </c>
      <c r="C4841" s="12" t="inlineStr">
        <is>
          <t>Modular / portable power</t>
        </is>
      </c>
      <c r="D4841" s="12" t="inlineStr">
        <is>
          <t>Home run JB-RICE-6-RTD02 to the control / marshalling room</t>
        </is>
      </c>
      <c r="E4841" s="12" t="inlineStr"/>
      <c r="F4841" s="12" t="inlineStr">
        <is>
          <t>PCM: power control module</t>
        </is>
      </c>
      <c r="G4841" s="12" t="inlineStr">
        <is>
          <t>JB-RICE-6-RTD02</t>
        </is>
      </c>
      <c r="H4841" s="12" t="inlineStr">
        <is>
          <t>RICE engine-generator 6</t>
        </is>
      </c>
      <c r="I4841" s="12" t="inlineStr">
        <is>
          <t>Instrumentation</t>
        </is>
      </c>
      <c r="J4841" s="12" t="inlineStr">
        <is>
          <t>RTD cable, #18 shielded triads, PLTC</t>
        </is>
      </c>
      <c r="K4841" s="12" t="inlineStr">
        <is>
          <t>RTD|12 tri|18</t>
        </is>
      </c>
      <c r="L4841" s="12" t="inlineStr">
        <is>
          <t>12 tri</t>
        </is>
      </c>
      <c r="M4841" s="12" t="inlineStr">
        <is>
          <t>18</t>
        </is>
      </c>
      <c r="N4841" s="12" t="n">
        <v>1</v>
      </c>
      <c r="O4841" s="12" t="n">
        <v>1</v>
      </c>
      <c r="P4841" s="12" t="n"/>
      <c r="Q4841" s="12" t="n"/>
      <c r="R4841" s="12" t="n"/>
      <c r="S4841" s="12" t="inlineStr">
        <is>
          <t>Duct bank</t>
        </is>
      </c>
      <c r="T4841" s="16" t="n">
        <v>367</v>
      </c>
      <c r="U4841" s="16" t="n">
        <v>180</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I-I-0342</t>
        </is>
      </c>
      <c r="B4842" s="12" t="inlineStr">
        <is>
          <t>I</t>
        </is>
      </c>
      <c r="C4842" s="12" t="inlineStr">
        <is>
          <t>Modular / portable power</t>
        </is>
      </c>
      <c r="D4842" s="12" t="inlineStr">
        <is>
          <t>Analog instrument to JB JB-RICE-7-AI01: 20 x 1 pr (field cables)</t>
        </is>
      </c>
      <c r="E4842" s="12" t="inlineStr">
        <is>
          <t>RICE-7</t>
        </is>
      </c>
      <c r="F4842" s="12" t="inlineStr">
        <is>
          <t>RICE engine-generator 7</t>
        </is>
      </c>
      <c r="G4842" s="12" t="inlineStr">
        <is>
          <t>JB-RICE-7-AI01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I-I-0343</t>
        </is>
      </c>
      <c r="B4843" s="12" t="inlineStr">
        <is>
          <t>I</t>
        </is>
      </c>
      <c r="C4843" s="12" t="inlineStr">
        <is>
          <t>Modular / portable power</t>
        </is>
      </c>
      <c r="D4843" s="12" t="inlineStr">
        <is>
          <t>Home run JB-RICE-7-AI01 to the control / marshalling room</t>
        </is>
      </c>
      <c r="E4843" s="12" t="inlineStr"/>
      <c r="F4843" s="12" t="inlineStr">
        <is>
          <t>PCM: power control module</t>
        </is>
      </c>
      <c r="G4843" s="12" t="inlineStr">
        <is>
          <t>JB-RICE-7-AI01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I-I-0344</t>
        </is>
      </c>
      <c r="B4844" s="12" t="inlineStr">
        <is>
          <t>I</t>
        </is>
      </c>
      <c r="C4844" s="12" t="inlineStr">
        <is>
          <t>Modular / portable power</t>
        </is>
      </c>
      <c r="D4844" s="12" t="inlineStr">
        <is>
          <t>Analog instrument to JB JB-RICE-7-AI02: 20 x 1 pr (field cables)</t>
        </is>
      </c>
      <c r="E4844" s="12" t="inlineStr">
        <is>
          <t>RICE-7</t>
        </is>
      </c>
      <c r="F4844" s="12" t="inlineStr">
        <is>
          <t>RICE engine-generator 7</t>
        </is>
      </c>
      <c r="G4844" s="12" t="inlineStr">
        <is>
          <t>JB-RICE-7-AI02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I-I-0345</t>
        </is>
      </c>
      <c r="B4845" s="12" t="inlineStr">
        <is>
          <t>I</t>
        </is>
      </c>
      <c r="C4845" s="12" t="inlineStr">
        <is>
          <t>Modular / portable power</t>
        </is>
      </c>
      <c r="D4845" s="12" t="inlineStr">
        <is>
          <t>Home run JB-RICE-7-AI02 to the control / marshalling room</t>
        </is>
      </c>
      <c r="E4845" s="12" t="inlineStr"/>
      <c r="F4845" s="12" t="inlineStr">
        <is>
          <t>PCM: power control module</t>
        </is>
      </c>
      <c r="G4845" s="12" t="inlineStr">
        <is>
          <t>JB-RICE-7-AI02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I-I-0346</t>
        </is>
      </c>
      <c r="B4846" s="12" t="inlineStr">
        <is>
          <t>I</t>
        </is>
      </c>
      <c r="C4846" s="12" t="inlineStr">
        <is>
          <t>Modular / portable power</t>
        </is>
      </c>
      <c r="D4846" s="12" t="inlineStr">
        <is>
          <t>Analog instrument to JB JB-RICE-7-AI03: 20 x 1 pr (field cables)</t>
        </is>
      </c>
      <c r="E4846" s="12" t="inlineStr">
        <is>
          <t>RICE-7</t>
        </is>
      </c>
      <c r="F4846" s="12" t="inlineStr">
        <is>
          <t>RICE engine-generator 7</t>
        </is>
      </c>
      <c r="G4846" s="12" t="inlineStr">
        <is>
          <t>JB-RICE-7-AI03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I-I-0347</t>
        </is>
      </c>
      <c r="B4847" s="12" t="inlineStr">
        <is>
          <t>I</t>
        </is>
      </c>
      <c r="C4847" s="12" t="inlineStr">
        <is>
          <t>Modular / portable power</t>
        </is>
      </c>
      <c r="D4847" s="12" t="inlineStr">
        <is>
          <t>Home run JB-RICE-7-AI03 to the control / marshalling room</t>
        </is>
      </c>
      <c r="E4847" s="12" t="inlineStr"/>
      <c r="F4847" s="12" t="inlineStr">
        <is>
          <t>PCM: power control module</t>
        </is>
      </c>
      <c r="G4847" s="12" t="inlineStr">
        <is>
          <t>JB-RICE-7-AI03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I-I-0348</t>
        </is>
      </c>
      <c r="B4848" s="12" t="inlineStr">
        <is>
          <t>I</t>
        </is>
      </c>
      <c r="C4848" s="12" t="inlineStr">
        <is>
          <t>Modular / portable power</t>
        </is>
      </c>
      <c r="D4848" s="12" t="inlineStr">
        <is>
          <t>Analog instrument to JB JB-RICE-7-AI04: 20 x 1 pr (field cables)</t>
        </is>
      </c>
      <c r="E4848" s="12" t="inlineStr">
        <is>
          <t>RICE-7</t>
        </is>
      </c>
      <c r="F4848" s="12" t="inlineStr">
        <is>
          <t>RICE engine-generator 7</t>
        </is>
      </c>
      <c r="G4848" s="12" t="inlineStr">
        <is>
          <t>JB-RICE-7-AI04</t>
        </is>
      </c>
      <c r="H4848" s="12" t="inlineStr">
        <is>
          <t>RICE engine-generator 7</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I-I-0349</t>
        </is>
      </c>
      <c r="B4849" s="12" t="inlineStr">
        <is>
          <t>I</t>
        </is>
      </c>
      <c r="C4849" s="12" t="inlineStr">
        <is>
          <t>Modular / portable power</t>
        </is>
      </c>
      <c r="D4849" s="12" t="inlineStr">
        <is>
          <t>Home run JB-RICE-7-AI04 to the control / marshalling room</t>
        </is>
      </c>
      <c r="E4849" s="12" t="inlineStr"/>
      <c r="F4849" s="12" t="inlineStr">
        <is>
          <t>PCM: power control module</t>
        </is>
      </c>
      <c r="G4849" s="12" t="inlineStr">
        <is>
          <t>JB-RICE-7-AI04</t>
        </is>
      </c>
      <c r="H4849" s="12" t="inlineStr">
        <is>
          <t>RICE engine-generator 7</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I-I-0350</t>
        </is>
      </c>
      <c r="B4850" s="12" t="inlineStr">
        <is>
          <t>I</t>
        </is>
      </c>
      <c r="C4850" s="12" t="inlineStr">
        <is>
          <t>Modular / portable power</t>
        </is>
      </c>
      <c r="D4850" s="12" t="inlineStr">
        <is>
          <t>Discrete device to JB JB-RICE-7-DI01: 20 x 1 pr (field cables)</t>
        </is>
      </c>
      <c r="E4850" s="12" t="inlineStr">
        <is>
          <t>RICE-7</t>
        </is>
      </c>
      <c r="F4850" s="12" t="inlineStr">
        <is>
          <t>RICE engine-generator 7</t>
        </is>
      </c>
      <c r="G4850" s="12" t="inlineStr">
        <is>
          <t>JB-RICE-7-DI01</t>
        </is>
      </c>
      <c r="H4850" s="12" t="inlineStr">
        <is>
          <t>RICE engine-generator 7</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I-I-0351</t>
        </is>
      </c>
      <c r="B4851" s="12" t="inlineStr">
        <is>
          <t>I</t>
        </is>
      </c>
      <c r="C4851" s="12" t="inlineStr">
        <is>
          <t>Modular / portable power</t>
        </is>
      </c>
      <c r="D4851" s="12" t="inlineStr">
        <is>
          <t>Home run JB-RICE-7-DI01 to the control / marshalling room</t>
        </is>
      </c>
      <c r="E4851" s="12" t="inlineStr"/>
      <c r="F4851" s="12" t="inlineStr">
        <is>
          <t>PCM: power control module</t>
        </is>
      </c>
      <c r="G4851" s="12" t="inlineStr">
        <is>
          <t>JB-RICE-7-DI01</t>
        </is>
      </c>
      <c r="H4851" s="12" t="inlineStr">
        <is>
          <t>RICE engine-generator 7</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I-I-0352</t>
        </is>
      </c>
      <c r="B4852" s="12" t="inlineStr">
        <is>
          <t>I</t>
        </is>
      </c>
      <c r="C4852" s="12" t="inlineStr">
        <is>
          <t>Modular / portable power</t>
        </is>
      </c>
      <c r="D4852" s="12" t="inlineStr">
        <is>
          <t>Discrete device to JB JB-RICE-7-DI02: 20 x 1 pr (field cables)</t>
        </is>
      </c>
      <c r="E4852" s="12" t="inlineStr">
        <is>
          <t>RICE-7</t>
        </is>
      </c>
      <c r="F4852" s="12" t="inlineStr">
        <is>
          <t>RICE engine-generator 7</t>
        </is>
      </c>
      <c r="G4852" s="12" t="inlineStr">
        <is>
          <t>JB-RICE-7-DI02</t>
        </is>
      </c>
      <c r="H4852" s="12" t="inlineStr">
        <is>
          <t>RICE engine-generator 7</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I-I-0353</t>
        </is>
      </c>
      <c r="B4853" s="12" t="inlineStr">
        <is>
          <t>I</t>
        </is>
      </c>
      <c r="C4853" s="12" t="inlineStr">
        <is>
          <t>Modular / portable power</t>
        </is>
      </c>
      <c r="D4853" s="12" t="inlineStr">
        <is>
          <t>Home run JB-RICE-7-DI02 to the control / marshalling room</t>
        </is>
      </c>
      <c r="E4853" s="12" t="inlineStr"/>
      <c r="F4853" s="12" t="inlineStr">
        <is>
          <t>PCM: power control module</t>
        </is>
      </c>
      <c r="G4853" s="12" t="inlineStr">
        <is>
          <t>JB-RICE-7-DI02</t>
        </is>
      </c>
      <c r="H4853" s="12" t="inlineStr">
        <is>
          <t>RICE engine-generator 7</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I-I-0354</t>
        </is>
      </c>
      <c r="B4854" s="12" t="inlineStr">
        <is>
          <t>I</t>
        </is>
      </c>
      <c r="C4854" s="12" t="inlineStr">
        <is>
          <t>Modular / portable power</t>
        </is>
      </c>
      <c r="D4854" s="12" t="inlineStr">
        <is>
          <t>Discrete device to JB JB-RICE-7-DI03: 20 x 1 pr (field cables)</t>
        </is>
      </c>
      <c r="E4854" s="12" t="inlineStr">
        <is>
          <t>RICE-7</t>
        </is>
      </c>
      <c r="F4854" s="12" t="inlineStr">
        <is>
          <t>RICE engine-generator 7</t>
        </is>
      </c>
      <c r="G4854" s="12" t="inlineStr">
        <is>
          <t>JB-RICE-7-DI03</t>
        </is>
      </c>
      <c r="H4854" s="12" t="inlineStr">
        <is>
          <t>RICE engine-generator 7</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I-I-0355</t>
        </is>
      </c>
      <c r="B4855" s="12" t="inlineStr">
        <is>
          <t>I</t>
        </is>
      </c>
      <c r="C4855" s="12" t="inlineStr">
        <is>
          <t>Modular / portable power</t>
        </is>
      </c>
      <c r="D4855" s="12" t="inlineStr">
        <is>
          <t>Home run JB-RICE-7-DI03 to the control / marshalling room</t>
        </is>
      </c>
      <c r="E4855" s="12" t="inlineStr"/>
      <c r="F4855" s="12" t="inlineStr">
        <is>
          <t>PCM: power control module</t>
        </is>
      </c>
      <c r="G4855" s="12" t="inlineStr">
        <is>
          <t>JB-RICE-7-DI03</t>
        </is>
      </c>
      <c r="H4855" s="12" t="inlineStr">
        <is>
          <t>RICE engine-generator 7</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I-I-0356</t>
        </is>
      </c>
      <c r="B4856" s="12" t="inlineStr">
        <is>
          <t>I</t>
        </is>
      </c>
      <c r="C4856" s="12" t="inlineStr">
        <is>
          <t>Modular / portable power</t>
        </is>
      </c>
      <c r="D4856" s="12" t="inlineStr">
        <is>
          <t>Thermocouple to TC JB JB-RICE-7-TC01: 20 x 1 pr (field cables)</t>
        </is>
      </c>
      <c r="E4856" s="12" t="inlineStr">
        <is>
          <t>RICE-7</t>
        </is>
      </c>
      <c r="F4856" s="12" t="inlineStr">
        <is>
          <t>RICE engine-generator 7</t>
        </is>
      </c>
      <c r="G4856" s="12" t="inlineStr">
        <is>
          <t>JB-RICE-7-TC01</t>
        </is>
      </c>
      <c r="H4856" s="12" t="inlineStr">
        <is>
          <t>RICE engine-generator 7</t>
        </is>
      </c>
      <c r="I4856" s="12" t="inlineStr">
        <is>
          <t>Instrumentation</t>
        </is>
      </c>
      <c r="J4856" s="12" t="inlineStr">
        <is>
          <t>Thermocouple extension KX, #16 shielded pairs, PLTC</t>
        </is>
      </c>
      <c r="K4856" s="12" t="inlineStr">
        <is>
          <t>TCX|1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I-I-0357</t>
        </is>
      </c>
      <c r="B4857" s="12" t="inlineStr">
        <is>
          <t>I</t>
        </is>
      </c>
      <c r="C4857" s="12" t="inlineStr">
        <is>
          <t>Modular / portable power</t>
        </is>
      </c>
      <c r="D4857" s="12" t="inlineStr">
        <is>
          <t>Home run JB-RICE-7-TC01 to the control / marshalling room</t>
        </is>
      </c>
      <c r="E4857" s="12" t="inlineStr"/>
      <c r="F4857" s="12" t="inlineStr">
        <is>
          <t>PCM: power control module</t>
        </is>
      </c>
      <c r="G4857" s="12" t="inlineStr">
        <is>
          <t>JB-RICE-7-TC01</t>
        </is>
      </c>
      <c r="H4857" s="12" t="inlineStr">
        <is>
          <t>RICE engine-generator 7</t>
        </is>
      </c>
      <c r="I4857" s="12" t="inlineStr">
        <is>
          <t>Instrumentation</t>
        </is>
      </c>
      <c r="J4857" s="12" t="inlineStr">
        <is>
          <t>Thermocouple extension KX, #16 shielded pairs, PLTC</t>
        </is>
      </c>
      <c r="K4857" s="12" t="inlineStr">
        <is>
          <t>TCX|24 pr|16</t>
        </is>
      </c>
      <c r="L4857" s="12" t="inlineStr">
        <is>
          <t>24 pr</t>
        </is>
      </c>
      <c r="M4857" s="12" t="inlineStr">
        <is>
          <t>16</t>
        </is>
      </c>
      <c r="N4857" s="12" t="n">
        <v>1</v>
      </c>
      <c r="O4857" s="12" t="n">
        <v>1</v>
      </c>
      <c r="P4857" s="12" t="n"/>
      <c r="Q4857" s="12" t="n"/>
      <c r="R4857" s="12" t="n"/>
      <c r="S4857" s="12" t="inlineStr">
        <is>
          <t>Tray</t>
        </is>
      </c>
      <c r="T4857" s="16" t="n">
        <v>0</v>
      </c>
      <c r="U4857" s="16" t="n">
        <v>189</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I-I-0358</t>
        </is>
      </c>
      <c r="B4858" s="12" t="inlineStr">
        <is>
          <t>I</t>
        </is>
      </c>
      <c r="C4858" s="12" t="inlineStr">
        <is>
          <t>Modular / portable power</t>
        </is>
      </c>
      <c r="D4858" s="12" t="inlineStr">
        <is>
          <t>Thermocouple to TC JB JB-RICE-7-TC02: 10 x 1 pr (field cables)</t>
        </is>
      </c>
      <c r="E4858" s="12" t="inlineStr">
        <is>
          <t>RICE-7</t>
        </is>
      </c>
      <c r="F4858" s="12" t="inlineStr">
        <is>
          <t>RICE engine-generator 7</t>
        </is>
      </c>
      <c r="G4858" s="12" t="inlineStr">
        <is>
          <t>JB-RICE-7-TC02</t>
        </is>
      </c>
      <c r="H4858" s="12" t="inlineStr">
        <is>
          <t>RICE engine-generator 7</t>
        </is>
      </c>
      <c r="I4858" s="12" t="inlineStr">
        <is>
          <t>Instrumentation</t>
        </is>
      </c>
      <c r="J4858" s="12" t="inlineStr">
        <is>
          <t>Thermocouple extension KX, #16 shielded pairs, PLTC</t>
        </is>
      </c>
      <c r="K4858" s="12" t="inlineStr">
        <is>
          <t>TCX|1 pr|16</t>
        </is>
      </c>
      <c r="L4858" s="12" t="inlineStr">
        <is>
          <t>1 pr</t>
        </is>
      </c>
      <c r="M4858" s="12" t="inlineStr">
        <is>
          <t>16</t>
        </is>
      </c>
      <c r="N4858" s="12" t="n">
        <v>10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I-I-0359</t>
        </is>
      </c>
      <c r="B4859" s="12" t="inlineStr">
        <is>
          <t>I</t>
        </is>
      </c>
      <c r="C4859" s="12" t="inlineStr">
        <is>
          <t>Modular / portable power</t>
        </is>
      </c>
      <c r="D4859" s="12" t="inlineStr">
        <is>
          <t>Home run JB-RICE-7-TC02 to the control / marshalling room</t>
        </is>
      </c>
      <c r="E4859" s="12" t="inlineStr"/>
      <c r="F4859" s="12" t="inlineStr">
        <is>
          <t>PCM: power control module</t>
        </is>
      </c>
      <c r="G4859" s="12" t="inlineStr">
        <is>
          <t>JB-RICE-7-TC02</t>
        </is>
      </c>
      <c r="H4859" s="12" t="inlineStr">
        <is>
          <t>RICE engine-generator 7</t>
        </is>
      </c>
      <c r="I4859" s="12" t="inlineStr">
        <is>
          <t>Instrumentation</t>
        </is>
      </c>
      <c r="J4859" s="12" t="inlineStr">
        <is>
          <t>Thermocouple extension KX, #16 shielded pairs, PLTC</t>
        </is>
      </c>
      <c r="K4859" s="12" t="inlineStr">
        <is>
          <t>TCX|24 pr|16</t>
        </is>
      </c>
      <c r="L4859" s="12" t="inlineStr">
        <is>
          <t>24 pr</t>
        </is>
      </c>
      <c r="M4859" s="12" t="inlineStr">
        <is>
          <t>16</t>
        </is>
      </c>
      <c r="N4859" s="12" t="n">
        <v>1</v>
      </c>
      <c r="O4859" s="12" t="n">
        <v>1</v>
      </c>
      <c r="P4859" s="12" t="n"/>
      <c r="Q4859" s="12" t="n"/>
      <c r="R4859" s="12" t="n"/>
      <c r="S4859" s="12" t="inlineStr">
        <is>
          <t>Tray</t>
        </is>
      </c>
      <c r="T4859" s="16" t="n">
        <v>0</v>
      </c>
      <c r="U4859" s="16" t="n">
        <v>189</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I-I-0360</t>
        </is>
      </c>
      <c r="B4860" s="12" t="inlineStr">
        <is>
          <t>I</t>
        </is>
      </c>
      <c r="C4860" s="12" t="inlineStr">
        <is>
          <t>Modular / portable power</t>
        </is>
      </c>
      <c r="D4860" s="12" t="inlineStr">
        <is>
          <t>RTD to JB JB-RICE-7-RTD01: 10 x 1 tri (field cables)</t>
        </is>
      </c>
      <c r="E4860" s="12" t="inlineStr">
        <is>
          <t>RICE-7</t>
        </is>
      </c>
      <c r="F4860" s="12" t="inlineStr">
        <is>
          <t>RICE engine-generator 7</t>
        </is>
      </c>
      <c r="G4860" s="12" t="inlineStr">
        <is>
          <t>JB-RICE-7-RTD01</t>
        </is>
      </c>
      <c r="H4860" s="12" t="inlineStr">
        <is>
          <t>RICE engine-generator 7</t>
        </is>
      </c>
      <c r="I4860" s="12" t="inlineStr">
        <is>
          <t>Instrumentation</t>
        </is>
      </c>
      <c r="J4860" s="12" t="inlineStr">
        <is>
          <t>RTD cable, #18 shielded triads, PLTC</t>
        </is>
      </c>
      <c r="K4860" s="12" t="inlineStr">
        <is>
          <t>RTD|1 tri|18</t>
        </is>
      </c>
      <c r="L4860" s="12" t="inlineStr">
        <is>
          <t>1 tri</t>
        </is>
      </c>
      <c r="M4860" s="12" t="inlineStr">
        <is>
          <t>18</t>
        </is>
      </c>
      <c r="N4860" s="12" t="n">
        <v>10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I-I-0361</t>
        </is>
      </c>
      <c r="B4861" s="12" t="inlineStr">
        <is>
          <t>I</t>
        </is>
      </c>
      <c r="C4861" s="12" t="inlineStr">
        <is>
          <t>Modular / portable power</t>
        </is>
      </c>
      <c r="D4861" s="12" t="inlineStr">
        <is>
          <t>Home run JB-RICE-7-RTD01 to the control / marshalling room</t>
        </is>
      </c>
      <c r="E4861" s="12" t="inlineStr"/>
      <c r="F4861" s="12" t="inlineStr">
        <is>
          <t>PCM: power control module</t>
        </is>
      </c>
      <c r="G4861" s="12" t="inlineStr">
        <is>
          <t>JB-RICE-7-RTD01</t>
        </is>
      </c>
      <c r="H4861" s="12" t="inlineStr">
        <is>
          <t>RICE engine-generator 7</t>
        </is>
      </c>
      <c r="I4861" s="12" t="inlineStr">
        <is>
          <t>Instrumentation</t>
        </is>
      </c>
      <c r="J4861" s="12" t="inlineStr">
        <is>
          <t>RTD cable, #18 shielded triads, PLTC</t>
        </is>
      </c>
      <c r="K4861" s="12" t="inlineStr">
        <is>
          <t>RTD|12 tri|18</t>
        </is>
      </c>
      <c r="L4861" s="12" t="inlineStr">
        <is>
          <t>12 tri</t>
        </is>
      </c>
      <c r="M4861" s="12" t="inlineStr">
        <is>
          <t>18</t>
        </is>
      </c>
      <c r="N4861" s="12" t="n">
        <v>1</v>
      </c>
      <c r="O4861" s="12" t="n">
        <v>1</v>
      </c>
      <c r="P4861" s="12" t="n"/>
      <c r="Q4861" s="12" t="n"/>
      <c r="R4861" s="12" t="n"/>
      <c r="S4861" s="12" t="inlineStr">
        <is>
          <t>Tray</t>
        </is>
      </c>
      <c r="T4861" s="16" t="n">
        <v>0</v>
      </c>
      <c r="U4861" s="16" t="n">
        <v>189</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I-I-0362</t>
        </is>
      </c>
      <c r="B4862" s="12" t="inlineStr">
        <is>
          <t>I</t>
        </is>
      </c>
      <c r="C4862" s="12" t="inlineStr">
        <is>
          <t>Modular / portable power</t>
        </is>
      </c>
      <c r="D4862" s="12" t="inlineStr">
        <is>
          <t>RTD to JB JB-RICE-7-RTD02: 2 x 1 tri (field cables)</t>
        </is>
      </c>
      <c r="E4862" s="12" t="inlineStr">
        <is>
          <t>RICE-7</t>
        </is>
      </c>
      <c r="F4862" s="12" t="inlineStr">
        <is>
          <t>RICE engine-generator 7</t>
        </is>
      </c>
      <c r="G4862" s="12" t="inlineStr">
        <is>
          <t>JB-RICE-7-RTD02</t>
        </is>
      </c>
      <c r="H4862" s="12" t="inlineStr">
        <is>
          <t>RICE engine-generator 7</t>
        </is>
      </c>
      <c r="I4862" s="12" t="inlineStr">
        <is>
          <t>Instrumentation</t>
        </is>
      </c>
      <c r="J4862" s="12" t="inlineStr">
        <is>
          <t>RTD cable, #18 shielded triads, PLTC</t>
        </is>
      </c>
      <c r="K4862" s="12" t="inlineStr">
        <is>
          <t>RTD|1 tri|18</t>
        </is>
      </c>
      <c r="L4862" s="12" t="inlineStr">
        <is>
          <t>1 tri</t>
        </is>
      </c>
      <c r="M4862" s="12" t="inlineStr">
        <is>
          <t>18</t>
        </is>
      </c>
      <c r="N4862" s="12" t="n">
        <v>2</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I-I-0363</t>
        </is>
      </c>
      <c r="B4863" s="12" t="inlineStr">
        <is>
          <t>I</t>
        </is>
      </c>
      <c r="C4863" s="12" t="inlineStr">
        <is>
          <t>Modular / portable power</t>
        </is>
      </c>
      <c r="D4863" s="12" t="inlineStr">
        <is>
          <t>Home run JB-RICE-7-RTD02 to the control / marshalling room</t>
        </is>
      </c>
      <c r="E4863" s="12" t="inlineStr"/>
      <c r="F4863" s="12" t="inlineStr">
        <is>
          <t>PCM: power control module</t>
        </is>
      </c>
      <c r="G4863" s="12" t="inlineStr">
        <is>
          <t>JB-RICE-7-RTD02</t>
        </is>
      </c>
      <c r="H4863" s="12" t="inlineStr">
        <is>
          <t>RICE engine-generator 7</t>
        </is>
      </c>
      <c r="I4863" s="12" t="inlineStr">
        <is>
          <t>Instrumentation</t>
        </is>
      </c>
      <c r="J4863" s="12" t="inlineStr">
        <is>
          <t>RTD cable, #18 shielded triads, PLTC</t>
        </is>
      </c>
      <c r="K4863" s="12" t="inlineStr">
        <is>
          <t>RTD|12 tri|18</t>
        </is>
      </c>
      <c r="L4863" s="12" t="inlineStr">
        <is>
          <t>12 tri</t>
        </is>
      </c>
      <c r="M4863" s="12" t="inlineStr">
        <is>
          <t>18</t>
        </is>
      </c>
      <c r="N4863" s="12" t="n">
        <v>1</v>
      </c>
      <c r="O4863" s="12" t="n">
        <v>1</v>
      </c>
      <c r="P4863" s="12" t="n"/>
      <c r="Q4863" s="12" t="n"/>
      <c r="R4863" s="12" t="n"/>
      <c r="S4863" s="12" t="inlineStr">
        <is>
          <t>Tray</t>
        </is>
      </c>
      <c r="T4863" s="16" t="n">
        <v>0</v>
      </c>
      <c r="U4863" s="16" t="n">
        <v>189</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I-I-0364</t>
        </is>
      </c>
      <c r="B4864" s="12" t="inlineStr">
        <is>
          <t>I</t>
        </is>
      </c>
      <c r="C4864" s="12" t="inlineStr">
        <is>
          <t>Modular / portable power</t>
        </is>
      </c>
      <c r="D4864" s="12" t="inlineStr">
        <is>
          <t>Analog instrument to JB JB-RICE-8-AI01: 20 x 1 pr (field cables)</t>
        </is>
      </c>
      <c r="E4864" s="12" t="inlineStr">
        <is>
          <t>RICE-8</t>
        </is>
      </c>
      <c r="F4864" s="12" t="inlineStr">
        <is>
          <t>RICE engine-generator 8</t>
        </is>
      </c>
      <c r="G4864" s="12" t="inlineStr">
        <is>
          <t>JB-RICE-8-AI01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I-I-0365</t>
        </is>
      </c>
      <c r="B4865" s="12" t="inlineStr">
        <is>
          <t>I</t>
        </is>
      </c>
      <c r="C4865" s="12" t="inlineStr">
        <is>
          <t>Modular / portable power</t>
        </is>
      </c>
      <c r="D4865" s="12" t="inlineStr">
        <is>
          <t>Home run JB-RICE-8-AI01 to the control / marshalling room</t>
        </is>
      </c>
      <c r="E4865" s="12" t="inlineStr"/>
      <c r="F4865" s="12" t="inlineStr">
        <is>
          <t>PCM: power control module</t>
        </is>
      </c>
      <c r="G4865" s="12" t="inlineStr">
        <is>
          <t>JB-RICE-8-AI01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I-I-0366</t>
        </is>
      </c>
      <c r="B4866" s="12" t="inlineStr">
        <is>
          <t>I</t>
        </is>
      </c>
      <c r="C4866" s="12" t="inlineStr">
        <is>
          <t>Modular / portable power</t>
        </is>
      </c>
      <c r="D4866" s="12" t="inlineStr">
        <is>
          <t>Analog instrument to JB JB-RICE-8-AI02: 20 x 1 pr (field cables)</t>
        </is>
      </c>
      <c r="E4866" s="12" t="inlineStr">
        <is>
          <t>RICE-8</t>
        </is>
      </c>
      <c r="F4866" s="12" t="inlineStr">
        <is>
          <t>RICE engine-generator 8</t>
        </is>
      </c>
      <c r="G4866" s="12" t="inlineStr">
        <is>
          <t>JB-RICE-8-AI02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I-I-0367</t>
        </is>
      </c>
      <c r="B4867" s="12" t="inlineStr">
        <is>
          <t>I</t>
        </is>
      </c>
      <c r="C4867" s="12" t="inlineStr">
        <is>
          <t>Modular / portable power</t>
        </is>
      </c>
      <c r="D4867" s="12" t="inlineStr">
        <is>
          <t>Home run JB-RICE-8-AI02 to the control / marshalling room</t>
        </is>
      </c>
      <c r="E4867" s="12" t="inlineStr"/>
      <c r="F4867" s="12" t="inlineStr">
        <is>
          <t>PCM: power control module</t>
        </is>
      </c>
      <c r="G4867" s="12" t="inlineStr">
        <is>
          <t>JB-RICE-8-AI02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I-I-0368</t>
        </is>
      </c>
      <c r="B4868" s="12" t="inlineStr">
        <is>
          <t>I</t>
        </is>
      </c>
      <c r="C4868" s="12" t="inlineStr">
        <is>
          <t>Modular / portable power</t>
        </is>
      </c>
      <c r="D4868" s="12" t="inlineStr">
        <is>
          <t>Analog instrument to JB JB-RICE-8-AI03: 20 x 1 pr (field cables)</t>
        </is>
      </c>
      <c r="E4868" s="12" t="inlineStr">
        <is>
          <t>RICE-8</t>
        </is>
      </c>
      <c r="F4868" s="12" t="inlineStr">
        <is>
          <t>RICE engine-generator 8</t>
        </is>
      </c>
      <c r="G4868" s="12" t="inlineStr">
        <is>
          <t>JB-RICE-8-AI03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I-I-0369</t>
        </is>
      </c>
      <c r="B4869" s="12" t="inlineStr">
        <is>
          <t>I</t>
        </is>
      </c>
      <c r="C4869" s="12" t="inlineStr">
        <is>
          <t>Modular / portable power</t>
        </is>
      </c>
      <c r="D4869" s="12" t="inlineStr">
        <is>
          <t>Home run JB-RICE-8-AI03 to the control / marshalling room</t>
        </is>
      </c>
      <c r="E4869" s="12" t="inlineStr"/>
      <c r="F4869" s="12" t="inlineStr">
        <is>
          <t>PCM: power control module</t>
        </is>
      </c>
      <c r="G4869" s="12" t="inlineStr">
        <is>
          <t>JB-RICE-8-AI03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I-I-0370</t>
        </is>
      </c>
      <c r="B4870" s="12" t="inlineStr">
        <is>
          <t>I</t>
        </is>
      </c>
      <c r="C4870" s="12" t="inlineStr">
        <is>
          <t>Modular / portable power</t>
        </is>
      </c>
      <c r="D4870" s="12" t="inlineStr">
        <is>
          <t>Analog instrument to JB JB-RICE-8-AI04: 20 x 1 pr (field cables)</t>
        </is>
      </c>
      <c r="E4870" s="12" t="inlineStr">
        <is>
          <t>RICE-8</t>
        </is>
      </c>
      <c r="F4870" s="12" t="inlineStr">
        <is>
          <t>RICE engine-generator 8</t>
        </is>
      </c>
      <c r="G4870" s="12" t="inlineStr">
        <is>
          <t>JB-RICE-8-AI04</t>
        </is>
      </c>
      <c r="H4870" s="12" t="inlineStr">
        <is>
          <t>RICE engine-generator 8</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I-I-0371</t>
        </is>
      </c>
      <c r="B4871" s="12" t="inlineStr">
        <is>
          <t>I</t>
        </is>
      </c>
      <c r="C4871" s="12" t="inlineStr">
        <is>
          <t>Modular / portable power</t>
        </is>
      </c>
      <c r="D4871" s="12" t="inlineStr">
        <is>
          <t>Home run JB-RICE-8-AI04 to the control / marshalling room</t>
        </is>
      </c>
      <c r="E4871" s="12" t="inlineStr"/>
      <c r="F4871" s="12" t="inlineStr">
        <is>
          <t>PCM: power control module</t>
        </is>
      </c>
      <c r="G4871" s="12" t="inlineStr">
        <is>
          <t>JB-RICE-8-AI04</t>
        </is>
      </c>
      <c r="H4871" s="12" t="inlineStr">
        <is>
          <t>RICE engine-generator 8</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I-I-0372</t>
        </is>
      </c>
      <c r="B4872" s="12" t="inlineStr">
        <is>
          <t>I</t>
        </is>
      </c>
      <c r="C4872" s="12" t="inlineStr">
        <is>
          <t>Modular / portable power</t>
        </is>
      </c>
      <c r="D4872" s="12" t="inlineStr">
        <is>
          <t>Discrete device to JB JB-RICE-8-DI01: 20 x 1 pr (field cables)</t>
        </is>
      </c>
      <c r="E4872" s="12" t="inlineStr">
        <is>
          <t>RICE-8</t>
        </is>
      </c>
      <c r="F4872" s="12" t="inlineStr">
        <is>
          <t>RICE engine-generator 8</t>
        </is>
      </c>
      <c r="G4872" s="12" t="inlineStr">
        <is>
          <t>JB-RICE-8-DI01</t>
        </is>
      </c>
      <c r="H4872" s="12" t="inlineStr">
        <is>
          <t>RICE engine-generator 8</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I-I-0373</t>
        </is>
      </c>
      <c r="B4873" s="12" t="inlineStr">
        <is>
          <t>I</t>
        </is>
      </c>
      <c r="C4873" s="12" t="inlineStr">
        <is>
          <t>Modular / portable power</t>
        </is>
      </c>
      <c r="D4873" s="12" t="inlineStr">
        <is>
          <t>Home run JB-RICE-8-DI01 to the control / marshalling room</t>
        </is>
      </c>
      <c r="E4873" s="12" t="inlineStr"/>
      <c r="F4873" s="12" t="inlineStr">
        <is>
          <t>PCM: power control module</t>
        </is>
      </c>
      <c r="G4873" s="12" t="inlineStr">
        <is>
          <t>JB-RICE-8-DI01</t>
        </is>
      </c>
      <c r="H4873" s="12" t="inlineStr">
        <is>
          <t>RICE engine-generator 8</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I-I-0374</t>
        </is>
      </c>
      <c r="B4874" s="12" t="inlineStr">
        <is>
          <t>I</t>
        </is>
      </c>
      <c r="C4874" s="12" t="inlineStr">
        <is>
          <t>Modular / portable power</t>
        </is>
      </c>
      <c r="D4874" s="12" t="inlineStr">
        <is>
          <t>Discrete device to JB JB-RICE-8-DI02: 20 x 1 pr (field cables)</t>
        </is>
      </c>
      <c r="E4874" s="12" t="inlineStr">
        <is>
          <t>RICE-8</t>
        </is>
      </c>
      <c r="F4874" s="12" t="inlineStr">
        <is>
          <t>RICE engine-generator 8</t>
        </is>
      </c>
      <c r="G4874" s="12" t="inlineStr">
        <is>
          <t>JB-RICE-8-DI02</t>
        </is>
      </c>
      <c r="H4874" s="12" t="inlineStr">
        <is>
          <t>RICE engine-generator 8</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I-I-0375</t>
        </is>
      </c>
      <c r="B4875" s="12" t="inlineStr">
        <is>
          <t>I</t>
        </is>
      </c>
      <c r="C4875" s="12" t="inlineStr">
        <is>
          <t>Modular / portable power</t>
        </is>
      </c>
      <c r="D4875" s="12" t="inlineStr">
        <is>
          <t>Home run JB-RICE-8-DI02 to the control / marshalling room</t>
        </is>
      </c>
      <c r="E4875" s="12" t="inlineStr"/>
      <c r="F4875" s="12" t="inlineStr">
        <is>
          <t>PCM: power control module</t>
        </is>
      </c>
      <c r="G4875" s="12" t="inlineStr">
        <is>
          <t>JB-RICE-8-DI02</t>
        </is>
      </c>
      <c r="H4875" s="12" t="inlineStr">
        <is>
          <t>RICE engine-generator 8</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I-I-0376</t>
        </is>
      </c>
      <c r="B4876" s="12" t="inlineStr">
        <is>
          <t>I</t>
        </is>
      </c>
      <c r="C4876" s="12" t="inlineStr">
        <is>
          <t>Modular / portable power</t>
        </is>
      </c>
      <c r="D4876" s="12" t="inlineStr">
        <is>
          <t>Discrete device to JB JB-RICE-8-DI03: 20 x 1 pr (field cables)</t>
        </is>
      </c>
      <c r="E4876" s="12" t="inlineStr">
        <is>
          <t>RICE-8</t>
        </is>
      </c>
      <c r="F4876" s="12" t="inlineStr">
        <is>
          <t>RICE engine-generator 8</t>
        </is>
      </c>
      <c r="G4876" s="12" t="inlineStr">
        <is>
          <t>JB-RICE-8-DI03</t>
        </is>
      </c>
      <c r="H4876" s="12" t="inlineStr">
        <is>
          <t>RICE engine-generator 8</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I-I-0377</t>
        </is>
      </c>
      <c r="B4877" s="12" t="inlineStr">
        <is>
          <t>I</t>
        </is>
      </c>
      <c r="C4877" s="12" t="inlineStr">
        <is>
          <t>Modular / portable power</t>
        </is>
      </c>
      <c r="D4877" s="12" t="inlineStr">
        <is>
          <t>Home run JB-RICE-8-DI03 to the control / marshalling room</t>
        </is>
      </c>
      <c r="E4877" s="12" t="inlineStr"/>
      <c r="F4877" s="12" t="inlineStr">
        <is>
          <t>PCM: power control module</t>
        </is>
      </c>
      <c r="G4877" s="12" t="inlineStr">
        <is>
          <t>JB-RICE-8-DI03</t>
        </is>
      </c>
      <c r="H4877" s="12" t="inlineStr">
        <is>
          <t>RICE engine-generator 8</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I-I-0378</t>
        </is>
      </c>
      <c r="B4878" s="12" t="inlineStr">
        <is>
          <t>I</t>
        </is>
      </c>
      <c r="C4878" s="12" t="inlineStr">
        <is>
          <t>Modular / portable power</t>
        </is>
      </c>
      <c r="D4878" s="12" t="inlineStr">
        <is>
          <t>Thermocouple to TC JB JB-RICE-8-TC01: 20 x 1 pr (field cables)</t>
        </is>
      </c>
      <c r="E4878" s="12" t="inlineStr">
        <is>
          <t>RICE-8</t>
        </is>
      </c>
      <c r="F4878" s="12" t="inlineStr">
        <is>
          <t>RICE engine-generator 8</t>
        </is>
      </c>
      <c r="G4878" s="12" t="inlineStr">
        <is>
          <t>JB-RICE-8-TC01</t>
        </is>
      </c>
      <c r="H4878" s="12" t="inlineStr">
        <is>
          <t>RICE engine-generator 8</t>
        </is>
      </c>
      <c r="I4878" s="12" t="inlineStr">
        <is>
          <t>Instrumentation</t>
        </is>
      </c>
      <c r="J4878" s="12" t="inlineStr">
        <is>
          <t>Thermocouple extension KX, #16 shielded pairs, PLTC</t>
        </is>
      </c>
      <c r="K4878" s="12" t="inlineStr">
        <is>
          <t>TCX|1 pr|16</t>
        </is>
      </c>
      <c r="L4878" s="12" t="inlineStr">
        <is>
          <t>1 pr</t>
        </is>
      </c>
      <c r="M4878" s="12" t="inlineStr">
        <is>
          <t>16</t>
        </is>
      </c>
      <c r="N4878" s="12" t="n">
        <v>20</v>
      </c>
      <c r="O4878" s="12" t="n">
        <v>1</v>
      </c>
      <c r="P4878" s="12" t="n"/>
      <c r="Q4878" s="12" t="n"/>
      <c r="R4878" s="12" t="n"/>
      <c r="S4878" s="12" t="inlineStr">
        <is>
          <t>Tray / conduit</t>
        </is>
      </c>
      <c r="T4878" s="16" t="n">
        <v>72</v>
      </c>
      <c r="U4878" s="16" t="n">
        <v>10</v>
      </c>
      <c r="V4878" s="16">
        <f>ROUNDUP((T4878+U4878+2*'Read Me'!$B$13)*(1+'Read Me'!$B$12),-1)</f>
        <v/>
      </c>
      <c r="W4878" s="16">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I-I-0379</t>
        </is>
      </c>
      <c r="B4879" s="12" t="inlineStr">
        <is>
          <t>I</t>
        </is>
      </c>
      <c r="C4879" s="12" t="inlineStr">
        <is>
          <t>Modular / portable power</t>
        </is>
      </c>
      <c r="D4879" s="12" t="inlineStr">
        <is>
          <t>Home run JB-RICE-8-TC01 to the control / marshalling room</t>
        </is>
      </c>
      <c r="E4879" s="12" t="inlineStr"/>
      <c r="F4879" s="12" t="inlineStr">
        <is>
          <t>PCM: power control module</t>
        </is>
      </c>
      <c r="G4879" s="12" t="inlineStr">
        <is>
          <t>JB-RICE-8-TC01</t>
        </is>
      </c>
      <c r="H4879" s="12" t="inlineStr">
        <is>
          <t>RICE engine-generator 8</t>
        </is>
      </c>
      <c r="I4879" s="12" t="inlineStr">
        <is>
          <t>Instrumentation</t>
        </is>
      </c>
      <c r="J4879" s="12" t="inlineStr">
        <is>
          <t>Thermocouple extension KX, #16 shielded pairs, PLTC</t>
        </is>
      </c>
      <c r="K4879" s="12" t="inlineStr">
        <is>
          <t>TCX|24 pr|16</t>
        </is>
      </c>
      <c r="L4879" s="12" t="inlineStr">
        <is>
          <t>24 pr</t>
        </is>
      </c>
      <c r="M4879" s="12" t="inlineStr">
        <is>
          <t>16</t>
        </is>
      </c>
      <c r="N4879" s="12" t="n">
        <v>1</v>
      </c>
      <c r="O4879" s="12" t="n">
        <v>1</v>
      </c>
      <c r="P4879" s="12" t="n"/>
      <c r="Q4879" s="12" t="n"/>
      <c r="R4879" s="12" t="n"/>
      <c r="S4879" s="12" t="inlineStr">
        <is>
          <t>Tray</t>
        </is>
      </c>
      <c r="T4879" s="16" t="n">
        <v>0</v>
      </c>
      <c r="U4879" s="16" t="n">
        <v>161</v>
      </c>
      <c r="V4879" s="16">
        <f>ROUNDUP((T4879+U4879+2*'Read Me'!$B$13)*(1+'Read Me'!$B$12),-1)</f>
        <v/>
      </c>
      <c r="W4879" s="16">
        <f>V4879*N4879*O4879</f>
        <v/>
      </c>
      <c r="X4879" s="12">
        <f>IF(LEFT(I4879,2)="MV",2*N4879*IF(L4879="1/C",O4879,1),0)</f>
        <v/>
      </c>
      <c r="Y4879" s="12">
        <f>IF(OR(LEFT(K4879,4)="LVAX",LEFT(K4879,6)="MV15AX",LEFT(K4879,4)="CTAX",LEFT(K4879,2)="W|"),2*N4879*O4879,0)</f>
        <v/>
      </c>
      <c r="Z4879" s="12" t="inlineStr"/>
      <c r="AA4879" s="12">
        <f>N4879*O4879</f>
        <v/>
      </c>
    </row>
    <row r="4880">
      <c r="A4880" s="12" t="inlineStr">
        <is>
          <t>I-I-0380</t>
        </is>
      </c>
      <c r="B4880" s="12" t="inlineStr">
        <is>
          <t>I</t>
        </is>
      </c>
      <c r="C4880" s="12" t="inlineStr">
        <is>
          <t>Modular / portable power</t>
        </is>
      </c>
      <c r="D4880" s="12" t="inlineStr">
        <is>
          <t>Thermocouple to TC JB JB-RICE-8-TC02: 10 x 1 pr (field cables)</t>
        </is>
      </c>
      <c r="E4880" s="12" t="inlineStr">
        <is>
          <t>RICE-8</t>
        </is>
      </c>
      <c r="F4880" s="12" t="inlineStr">
        <is>
          <t>RICE engine-generator 8</t>
        </is>
      </c>
      <c r="G4880" s="12" t="inlineStr">
        <is>
          <t>JB-RICE-8-TC02</t>
        </is>
      </c>
      <c r="H4880" s="12" t="inlineStr">
        <is>
          <t>RICE engine-generator 8</t>
        </is>
      </c>
      <c r="I4880" s="12" t="inlineStr">
        <is>
          <t>Instrumentation</t>
        </is>
      </c>
      <c r="J4880" s="12" t="inlineStr">
        <is>
          <t>Thermocouple extension KX, #16 shielded pairs, PLTC</t>
        </is>
      </c>
      <c r="K4880" s="12" t="inlineStr">
        <is>
          <t>TCX|1 pr|16</t>
        </is>
      </c>
      <c r="L4880" s="12" t="inlineStr">
        <is>
          <t>1 pr</t>
        </is>
      </c>
      <c r="M4880" s="12" t="inlineStr">
        <is>
          <t>16</t>
        </is>
      </c>
      <c r="N4880" s="12" t="n">
        <v>10</v>
      </c>
      <c r="O4880" s="12" t="n">
        <v>1</v>
      </c>
      <c r="P4880" s="12" t="n"/>
      <c r="Q4880" s="12" t="n"/>
      <c r="R4880" s="12" t="n"/>
      <c r="S4880" s="12" t="inlineStr">
        <is>
          <t>Tray / conduit</t>
        </is>
      </c>
      <c r="T4880" s="16" t="n">
        <v>72</v>
      </c>
      <c r="U4880" s="16" t="n">
        <v>10</v>
      </c>
      <c r="V4880" s="16">
        <f>ROUNDUP((T4880+U4880+2*'Read Me'!$B$13)*(1+'Read Me'!$B$12),-1)</f>
        <v/>
      </c>
      <c r="W4880" s="16">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I-I-0381</t>
        </is>
      </c>
      <c r="B4881" s="12" t="inlineStr">
        <is>
          <t>I</t>
        </is>
      </c>
      <c r="C4881" s="12" t="inlineStr">
        <is>
          <t>Modular / portable power</t>
        </is>
      </c>
      <c r="D4881" s="12" t="inlineStr">
        <is>
          <t>Home run JB-RICE-8-TC02 to the control / marshalling room</t>
        </is>
      </c>
      <c r="E4881" s="12" t="inlineStr"/>
      <c r="F4881" s="12" t="inlineStr">
        <is>
          <t>PCM: power control module</t>
        </is>
      </c>
      <c r="G4881" s="12" t="inlineStr">
        <is>
          <t>JB-RICE-8-TC02</t>
        </is>
      </c>
      <c r="H4881" s="12" t="inlineStr">
        <is>
          <t>RICE engine-generator 8</t>
        </is>
      </c>
      <c r="I4881" s="12" t="inlineStr">
        <is>
          <t>Instrumentation</t>
        </is>
      </c>
      <c r="J4881" s="12" t="inlineStr">
        <is>
          <t>Thermocouple extension KX, #16 shielded pairs, PLTC</t>
        </is>
      </c>
      <c r="K4881" s="12" t="inlineStr">
        <is>
          <t>TCX|24 pr|16</t>
        </is>
      </c>
      <c r="L4881" s="12" t="inlineStr">
        <is>
          <t>24 pr</t>
        </is>
      </c>
      <c r="M4881" s="12" t="inlineStr">
        <is>
          <t>16</t>
        </is>
      </c>
      <c r="N4881" s="12" t="n">
        <v>1</v>
      </c>
      <c r="O4881" s="12" t="n">
        <v>1</v>
      </c>
      <c r="P4881" s="12" t="n"/>
      <c r="Q4881" s="12" t="n"/>
      <c r="R4881" s="12" t="n"/>
      <c r="S4881" s="12" t="inlineStr">
        <is>
          <t>Tray</t>
        </is>
      </c>
      <c r="T4881" s="16" t="n">
        <v>0</v>
      </c>
      <c r="U4881" s="16" t="n">
        <v>161</v>
      </c>
      <c r="V4881" s="16">
        <f>ROUNDUP((T4881+U4881+2*'Read Me'!$B$13)*(1+'Read Me'!$B$12),-1)</f>
        <v/>
      </c>
      <c r="W4881" s="16">
        <f>V4881*N4881*O4881</f>
        <v/>
      </c>
      <c r="X4881" s="12">
        <f>IF(LEFT(I4881,2)="MV",2*N4881*IF(L4881="1/C",O4881,1),0)</f>
        <v/>
      </c>
      <c r="Y4881" s="12">
        <f>IF(OR(LEFT(K4881,4)="LVAX",LEFT(K4881,6)="MV15AX",LEFT(K4881,4)="CTAX",LEFT(K4881,2)="W|"),2*N4881*O4881,0)</f>
        <v/>
      </c>
      <c r="Z4881" s="12" t="inlineStr"/>
      <c r="AA4881" s="12">
        <f>N4881*O4881</f>
        <v/>
      </c>
    </row>
    <row r="4882">
      <c r="A4882" s="12" t="inlineStr">
        <is>
          <t>I-I-0382</t>
        </is>
      </c>
      <c r="B4882" s="12" t="inlineStr">
        <is>
          <t>I</t>
        </is>
      </c>
      <c r="C4882" s="12" t="inlineStr">
        <is>
          <t>Modular / portable power</t>
        </is>
      </c>
      <c r="D4882" s="12" t="inlineStr">
        <is>
          <t>RTD to JB JB-RICE-8-RTD01: 10 x 1 tri (field cables)</t>
        </is>
      </c>
      <c r="E4882" s="12" t="inlineStr">
        <is>
          <t>RICE-8</t>
        </is>
      </c>
      <c r="F4882" s="12" t="inlineStr">
        <is>
          <t>RICE engine-generator 8</t>
        </is>
      </c>
      <c r="G4882" s="12" t="inlineStr">
        <is>
          <t>JB-RICE-8-RTD01</t>
        </is>
      </c>
      <c r="H4882" s="12" t="inlineStr">
        <is>
          <t>RICE engine-generator 8</t>
        </is>
      </c>
      <c r="I4882" s="12" t="inlineStr">
        <is>
          <t>Instrumentation</t>
        </is>
      </c>
      <c r="J4882" s="12" t="inlineStr">
        <is>
          <t>RTD cable, #18 shielded triads, PLTC</t>
        </is>
      </c>
      <c r="K4882" s="12" t="inlineStr">
        <is>
          <t>RTD|1 tri|18</t>
        </is>
      </c>
      <c r="L4882" s="12" t="inlineStr">
        <is>
          <t>1 tri</t>
        </is>
      </c>
      <c r="M4882" s="12" t="inlineStr">
        <is>
          <t>18</t>
        </is>
      </c>
      <c r="N4882" s="12" t="n">
        <v>10</v>
      </c>
      <c r="O4882" s="12" t="n">
        <v>1</v>
      </c>
      <c r="P4882" s="12" t="n"/>
      <c r="Q4882" s="12" t="n"/>
      <c r="R4882" s="12" t="n"/>
      <c r="S4882" s="12" t="inlineStr">
        <is>
          <t>Tray / conduit</t>
        </is>
      </c>
      <c r="T4882" s="16" t="n">
        <v>72</v>
      </c>
      <c r="U4882" s="16" t="n">
        <v>10</v>
      </c>
      <c r="V4882" s="16">
        <f>ROUNDUP((T4882+U4882+2*'Read Me'!$B$13)*(1+'Read Me'!$B$12),-1)</f>
        <v/>
      </c>
      <c r="W4882" s="16">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I-I-0383</t>
        </is>
      </c>
      <c r="B4883" s="12" t="inlineStr">
        <is>
          <t>I</t>
        </is>
      </c>
      <c r="C4883" s="12" t="inlineStr">
        <is>
          <t>Modular / portable power</t>
        </is>
      </c>
      <c r="D4883" s="12" t="inlineStr">
        <is>
          <t>Home run JB-RICE-8-RTD01 to the control / marshalling room</t>
        </is>
      </c>
      <c r="E4883" s="12" t="inlineStr"/>
      <c r="F4883" s="12" t="inlineStr">
        <is>
          <t>PCM: power control module</t>
        </is>
      </c>
      <c r="G4883" s="12" t="inlineStr">
        <is>
          <t>JB-RICE-8-RTD01</t>
        </is>
      </c>
      <c r="H4883" s="12" t="inlineStr">
        <is>
          <t>RICE engine-generator 8</t>
        </is>
      </c>
      <c r="I4883" s="12" t="inlineStr">
        <is>
          <t>Instrumentation</t>
        </is>
      </c>
      <c r="J4883" s="12" t="inlineStr">
        <is>
          <t>RTD cable, #18 shielded triads, PLTC</t>
        </is>
      </c>
      <c r="K4883" s="12" t="inlineStr">
        <is>
          <t>RTD|12 tri|18</t>
        </is>
      </c>
      <c r="L4883" s="12" t="inlineStr">
        <is>
          <t>12 tri</t>
        </is>
      </c>
      <c r="M4883" s="12" t="inlineStr">
        <is>
          <t>18</t>
        </is>
      </c>
      <c r="N4883" s="12" t="n">
        <v>1</v>
      </c>
      <c r="O4883" s="12" t="n">
        <v>1</v>
      </c>
      <c r="P4883" s="12" t="n"/>
      <c r="Q4883" s="12" t="n"/>
      <c r="R4883" s="12" t="n"/>
      <c r="S4883" s="12" t="inlineStr">
        <is>
          <t>Tray</t>
        </is>
      </c>
      <c r="T4883" s="16" t="n">
        <v>0</v>
      </c>
      <c r="U4883" s="16" t="n">
        <v>161</v>
      </c>
      <c r="V4883" s="16">
        <f>ROUNDUP((T4883+U4883+2*'Read Me'!$B$13)*(1+'Read Me'!$B$12),-1)</f>
        <v/>
      </c>
      <c r="W4883" s="16">
        <f>V4883*N4883*O4883</f>
        <v/>
      </c>
      <c r="X4883" s="12">
        <f>IF(LEFT(I4883,2)="MV",2*N4883*IF(L4883="1/C",O4883,1),0)</f>
        <v/>
      </c>
      <c r="Y4883" s="12">
        <f>IF(OR(LEFT(K4883,4)="LVAX",LEFT(K4883,6)="MV15AX",LEFT(K4883,4)="CTAX",LEFT(K4883,2)="W|"),2*N4883*O4883,0)</f>
        <v/>
      </c>
      <c r="Z4883" s="12" t="inlineStr"/>
      <c r="AA4883" s="12">
        <f>N4883*O4883</f>
        <v/>
      </c>
    </row>
    <row r="4884">
      <c r="A4884" s="12" t="inlineStr">
        <is>
          <t>I-I-0384</t>
        </is>
      </c>
      <c r="B4884" s="12" t="inlineStr">
        <is>
          <t>I</t>
        </is>
      </c>
      <c r="C4884" s="12" t="inlineStr">
        <is>
          <t>Modular / portable power</t>
        </is>
      </c>
      <c r="D4884" s="12" t="inlineStr">
        <is>
          <t>RTD to JB JB-RICE-8-RTD02: 2 x 1 tri (field cables)</t>
        </is>
      </c>
      <c r="E4884" s="12" t="inlineStr">
        <is>
          <t>RICE-8</t>
        </is>
      </c>
      <c r="F4884" s="12" t="inlineStr">
        <is>
          <t>RICE engine-generator 8</t>
        </is>
      </c>
      <c r="G4884" s="12" t="inlineStr">
        <is>
          <t>JB-RICE-8-RTD02</t>
        </is>
      </c>
      <c r="H4884" s="12" t="inlineStr">
        <is>
          <t>RICE engine-generator 8</t>
        </is>
      </c>
      <c r="I4884" s="12" t="inlineStr">
        <is>
          <t>Instrumentation</t>
        </is>
      </c>
      <c r="J4884" s="12" t="inlineStr">
        <is>
          <t>RTD cable, #18 shielded triads, PLTC</t>
        </is>
      </c>
      <c r="K4884" s="12" t="inlineStr">
        <is>
          <t>RTD|1 tri|18</t>
        </is>
      </c>
      <c r="L4884" s="12" t="inlineStr">
        <is>
          <t>1 tri</t>
        </is>
      </c>
      <c r="M4884" s="12" t="inlineStr">
        <is>
          <t>18</t>
        </is>
      </c>
      <c r="N4884" s="12" t="n">
        <v>2</v>
      </c>
      <c r="O4884" s="12" t="n">
        <v>1</v>
      </c>
      <c r="P4884" s="12" t="n"/>
      <c r="Q4884" s="12" t="n"/>
      <c r="R4884" s="12" t="n"/>
      <c r="S4884" s="12" t="inlineStr">
        <is>
          <t>Tray / conduit</t>
        </is>
      </c>
      <c r="T4884" s="16" t="n">
        <v>72</v>
      </c>
      <c r="U4884" s="16" t="n">
        <v>10</v>
      </c>
      <c r="V4884" s="16">
        <f>ROUNDUP((T4884+U4884+2*'Read Me'!$B$13)*(1+'Read Me'!$B$12),-1)</f>
        <v/>
      </c>
      <c r="W4884" s="16">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I-I-0385</t>
        </is>
      </c>
      <c r="B4885" s="12" t="inlineStr">
        <is>
          <t>I</t>
        </is>
      </c>
      <c r="C4885" s="12" t="inlineStr">
        <is>
          <t>Modular / portable power</t>
        </is>
      </c>
      <c r="D4885" s="12" t="inlineStr">
        <is>
          <t>Home run JB-RICE-8-RTD02 to the control / marshalling room</t>
        </is>
      </c>
      <c r="E4885" s="12" t="inlineStr"/>
      <c r="F4885" s="12" t="inlineStr">
        <is>
          <t>PCM: power control module</t>
        </is>
      </c>
      <c r="G4885" s="12" t="inlineStr">
        <is>
          <t>JB-RICE-8-RTD02</t>
        </is>
      </c>
      <c r="H4885" s="12" t="inlineStr">
        <is>
          <t>RICE engine-generator 8</t>
        </is>
      </c>
      <c r="I4885" s="12" t="inlineStr">
        <is>
          <t>Instrumentation</t>
        </is>
      </c>
      <c r="J4885" s="12" t="inlineStr">
        <is>
          <t>RTD cable, #18 shielded triads, PLTC</t>
        </is>
      </c>
      <c r="K4885" s="12" t="inlineStr">
        <is>
          <t>RTD|12 tri|18</t>
        </is>
      </c>
      <c r="L4885" s="12" t="inlineStr">
        <is>
          <t>12 tri</t>
        </is>
      </c>
      <c r="M4885" s="12" t="inlineStr">
        <is>
          <t>18</t>
        </is>
      </c>
      <c r="N4885" s="12" t="n">
        <v>1</v>
      </c>
      <c r="O4885" s="12" t="n">
        <v>1</v>
      </c>
      <c r="P4885" s="12" t="n"/>
      <c r="Q4885" s="12" t="n"/>
      <c r="R4885" s="12" t="n"/>
      <c r="S4885" s="12" t="inlineStr">
        <is>
          <t>Tray</t>
        </is>
      </c>
      <c r="T4885" s="16" t="n">
        <v>0</v>
      </c>
      <c r="U4885" s="16" t="n">
        <v>161</v>
      </c>
      <c r="V4885" s="16">
        <f>ROUNDUP((T4885+U4885+2*'Read Me'!$B$13)*(1+'Read Me'!$B$12),-1)</f>
        <v/>
      </c>
      <c r="W4885" s="16">
        <f>V4885*N4885*O4885</f>
        <v/>
      </c>
      <c r="X4885" s="12">
        <f>IF(LEFT(I4885,2)="MV",2*N4885*IF(L4885="1/C",O4885,1),0)</f>
        <v/>
      </c>
      <c r="Y4885" s="12">
        <f>IF(OR(LEFT(K4885,4)="LVAX",LEFT(K4885,6)="MV15AX",LEFT(K4885,4)="CTAX",LEFT(K4885,2)="W|"),2*N4885*O4885,0)</f>
        <v/>
      </c>
      <c r="Z4885" s="12" t="inlineStr"/>
      <c r="AA4885" s="12">
        <f>N4885*O4885</f>
        <v/>
      </c>
    </row>
    <row r="4886">
      <c r="A4886" s="12" t="inlineStr">
        <is>
          <t>I-I-0386</t>
        </is>
      </c>
      <c r="B4886" s="12" t="inlineStr">
        <is>
          <t>I</t>
        </is>
      </c>
      <c r="C4886" s="12" t="inlineStr">
        <is>
          <t>Modular / portable power</t>
        </is>
      </c>
      <c r="D4886" s="12" t="inlineStr">
        <is>
          <t>Instrumentation</t>
        </is>
      </c>
      <c r="E4886" s="12" t="inlineStr"/>
      <c r="F4886" s="12" t="inlineStr">
        <is>
          <t>PCM: power control module</t>
        </is>
      </c>
      <c r="G4886" s="12" t="inlineStr"/>
      <c r="H4886" s="12" t="inlineStr">
        <is>
          <t>Reagent storage</t>
        </is>
      </c>
      <c r="I4886" s="12" t="inlineStr">
        <is>
          <t>Instrumentation</t>
        </is>
      </c>
      <c r="J4886" s="12" t="inlineStr">
        <is>
          <t>Instrumentation PLTC / TC-ER 300 V, #18 twisted shielded pairs, overall shield</t>
        </is>
      </c>
      <c r="K4886" s="12" t="inlineStr">
        <is>
          <t>PLTC|4 pr|18</t>
        </is>
      </c>
      <c r="L4886" s="12" t="inlineStr">
        <is>
          <t>4 pr</t>
        </is>
      </c>
      <c r="M4886" s="12" t="inlineStr">
        <is>
          <t>18</t>
        </is>
      </c>
      <c r="N4886" s="12" t="n">
        <v>1</v>
      </c>
      <c r="O4886" s="12" t="n">
        <v>1</v>
      </c>
      <c r="P4886" s="12" t="n"/>
      <c r="Q4886" s="12" t="n"/>
      <c r="R4886" s="12" t="n"/>
      <c r="S4886" s="12" t="inlineStr">
        <is>
          <t>Tray</t>
        </is>
      </c>
      <c r="T4886" s="16" t="n">
        <v>40</v>
      </c>
      <c r="U4886" s="16" t="n">
        <v>32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I-I-0387</t>
        </is>
      </c>
      <c r="B4887" s="12" t="inlineStr">
        <is>
          <t>I</t>
        </is>
      </c>
      <c r="C4887" s="12" t="inlineStr">
        <is>
          <t>Modular / portable power</t>
        </is>
      </c>
      <c r="D4887" s="12" t="inlineStr">
        <is>
          <t>Analog instrument to JB JB-SC-1 CEMS shelter-AI01: 12 x 1 pr (field cables)</t>
        </is>
      </c>
      <c r="E4887" s="12" t="inlineStr"/>
      <c r="F4887" s="12" t="inlineStr">
        <is>
          <t>SC-1 CEMS shelter</t>
        </is>
      </c>
      <c r="G4887" s="12" t="inlineStr">
        <is>
          <t>JB-SC-1 CEMS shelter-AI01</t>
        </is>
      </c>
      <c r="H4887" s="12" t="inlineStr">
        <is>
          <t>SC-1 CEMS shelter</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12</v>
      </c>
      <c r="O4887" s="12" t="n">
        <v>1</v>
      </c>
      <c r="P4887" s="12" t="n"/>
      <c r="Q4887" s="12" t="n"/>
      <c r="R4887" s="12" t="n"/>
      <c r="S4887" s="12" t="inlineStr">
        <is>
          <t>Tray / conduit</t>
        </is>
      </c>
      <c r="T4887" s="16" t="n">
        <v>57</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I-I-0388</t>
        </is>
      </c>
      <c r="B4888" s="12" t="inlineStr">
        <is>
          <t>I</t>
        </is>
      </c>
      <c r="C4888" s="12" t="inlineStr">
        <is>
          <t>Modular / portable power</t>
        </is>
      </c>
      <c r="D4888" s="12" t="inlineStr">
        <is>
          <t>Home run JB-SC-1 CEMS shelter-AI01 to the control / marshalling room</t>
        </is>
      </c>
      <c r="E4888" s="12" t="inlineStr"/>
      <c r="F4888" s="12" t="inlineStr">
        <is>
          <t>SC-1 PCM + 15 kV GCB</t>
        </is>
      </c>
      <c r="G4888" s="12" t="inlineStr">
        <is>
          <t>JB-SC-1 CEMS shelter-AI01</t>
        </is>
      </c>
      <c r="H4888" s="12" t="inlineStr">
        <is>
          <t>SC-1 CEMS shelter</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229</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I-I-0389</t>
        </is>
      </c>
      <c r="B4889" s="12" t="inlineStr">
        <is>
          <t>I</t>
        </is>
      </c>
      <c r="C4889" s="12" t="inlineStr">
        <is>
          <t>Modular / portable power</t>
        </is>
      </c>
      <c r="D4889" s="12" t="inlineStr">
        <is>
          <t>Discrete device to JB JB-SC-1 CEMS shelter-DI01: 10 x 1 pr (field cables)</t>
        </is>
      </c>
      <c r="E4889" s="12" t="inlineStr"/>
      <c r="F4889" s="12" t="inlineStr">
        <is>
          <t>SC-1 CEMS shelter</t>
        </is>
      </c>
      <c r="G4889" s="12" t="inlineStr">
        <is>
          <t>JB-SC-1 CEMS shelter-DI01</t>
        </is>
      </c>
      <c r="H4889" s="12" t="inlineStr">
        <is>
          <t>SC-1 CEMS shelter</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10</v>
      </c>
      <c r="O4889" s="12" t="n">
        <v>1</v>
      </c>
      <c r="P4889" s="12" t="n"/>
      <c r="Q4889" s="12" t="n"/>
      <c r="R4889" s="12" t="n"/>
      <c r="S4889" s="12" t="inlineStr">
        <is>
          <t>Tray / conduit</t>
        </is>
      </c>
      <c r="T4889" s="16" t="n">
        <v>57</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I-I-0390</t>
        </is>
      </c>
      <c r="B4890" s="12" t="inlineStr">
        <is>
          <t>I</t>
        </is>
      </c>
      <c r="C4890" s="12" t="inlineStr">
        <is>
          <t>Modular / portable power</t>
        </is>
      </c>
      <c r="D4890" s="12" t="inlineStr">
        <is>
          <t>Home run JB-SC-1 CEMS shelter-DI01 to the control / marshalling room</t>
        </is>
      </c>
      <c r="E4890" s="12" t="inlineStr"/>
      <c r="F4890" s="12" t="inlineStr">
        <is>
          <t>SC-1 PCM + 15 kV GCB</t>
        </is>
      </c>
      <c r="G4890" s="12" t="inlineStr">
        <is>
          <t>JB-SC-1 CEMS shelter-DI01</t>
        </is>
      </c>
      <c r="H4890" s="12" t="inlineStr">
        <is>
          <t>SC-1 CEMS shelter</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229</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I-I-0391</t>
        </is>
      </c>
      <c r="B4891" s="12" t="inlineStr">
        <is>
          <t>I</t>
        </is>
      </c>
      <c r="C4891" s="12" t="inlineStr">
        <is>
          <t>Modular / portable power</t>
        </is>
      </c>
      <c r="D4891" s="12" t="inlineStr">
        <is>
          <t>Analog instrument to JB JB-SC-1 SCR / CO cata-AI01: 16 x 1 pr (field cables)</t>
        </is>
      </c>
      <c r="E4891" s="12" t="inlineStr"/>
      <c r="F4891" s="12" t="inlineStr">
        <is>
          <t>SC-1 SCR / CO catalyst</t>
        </is>
      </c>
      <c r="G4891" s="12" t="inlineStr">
        <is>
          <t>JB-SC-1 SCR / CO cata-AI01</t>
        </is>
      </c>
      <c r="H4891" s="12" t="inlineStr">
        <is>
          <t>SC-1 SCR / CO catalyst</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16</v>
      </c>
      <c r="O4891" s="12" t="n">
        <v>1</v>
      </c>
      <c r="P4891" s="12" t="n"/>
      <c r="Q4891" s="12" t="n"/>
      <c r="R4891" s="12" t="n"/>
      <c r="S4891" s="12" t="inlineStr">
        <is>
          <t>Tray / conduit</t>
        </is>
      </c>
      <c r="T4891" s="16" t="n">
        <v>74</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I-I-0392</t>
        </is>
      </c>
      <c r="B4892" s="12" t="inlineStr">
        <is>
          <t>I</t>
        </is>
      </c>
      <c r="C4892" s="12" t="inlineStr">
        <is>
          <t>Modular / portable power</t>
        </is>
      </c>
      <c r="D4892" s="12" t="inlineStr">
        <is>
          <t>Home run JB-SC-1 SCR / CO cata-AI01 to the control / marshalling room</t>
        </is>
      </c>
      <c r="E4892" s="12" t="inlineStr"/>
      <c r="F4892" s="12" t="inlineStr">
        <is>
          <t>SC-1 PCM + 15 kV GCB</t>
        </is>
      </c>
      <c r="G4892" s="12" t="inlineStr">
        <is>
          <t>JB-SC-1 SCR / CO cata-AI01</t>
        </is>
      </c>
      <c r="H4892" s="12" t="inlineStr">
        <is>
          <t>SC-1 SCR / CO catalyst</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Tray</t>
        </is>
      </c>
      <c r="T4892" s="16" t="n">
        <v>0</v>
      </c>
      <c r="U4892" s="16" t="n">
        <v>154</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I-I-0393</t>
        </is>
      </c>
      <c r="B4893" s="12" t="inlineStr">
        <is>
          <t>I</t>
        </is>
      </c>
      <c r="C4893" s="12" t="inlineStr">
        <is>
          <t>Modular / portable power</t>
        </is>
      </c>
      <c r="D4893" s="12" t="inlineStr">
        <is>
          <t>Discrete device to JB JB-SC-1 SCR / CO cata-DI01: 8 x 1 pr (field cables)</t>
        </is>
      </c>
      <c r="E4893" s="12" t="inlineStr"/>
      <c r="F4893" s="12" t="inlineStr">
        <is>
          <t>SC-1 SCR / CO catalyst</t>
        </is>
      </c>
      <c r="G4893" s="12" t="inlineStr">
        <is>
          <t>JB-SC-1 SCR / CO cata-DI01</t>
        </is>
      </c>
      <c r="H4893" s="12" t="inlineStr">
        <is>
          <t>SC-1 SCR / CO catalyst</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8</v>
      </c>
      <c r="O4893" s="12" t="n">
        <v>1</v>
      </c>
      <c r="P4893" s="12" t="n"/>
      <c r="Q4893" s="12" t="n"/>
      <c r="R4893" s="12" t="n"/>
      <c r="S4893" s="12" t="inlineStr">
        <is>
          <t>Tray / conduit</t>
        </is>
      </c>
      <c r="T4893" s="16" t="n">
        <v>74</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I-I-0394</t>
        </is>
      </c>
      <c r="B4894" s="12" t="inlineStr">
        <is>
          <t>I</t>
        </is>
      </c>
      <c r="C4894" s="12" t="inlineStr">
        <is>
          <t>Modular / portable power</t>
        </is>
      </c>
      <c r="D4894" s="12" t="inlineStr">
        <is>
          <t>Home run JB-SC-1 SCR / CO cata-DI01 to the control / marshalling room</t>
        </is>
      </c>
      <c r="E4894" s="12" t="inlineStr"/>
      <c r="F4894" s="12" t="inlineStr">
        <is>
          <t>SC-1 PCM + 15 kV GCB</t>
        </is>
      </c>
      <c r="G4894" s="12" t="inlineStr">
        <is>
          <t>JB-SC-1 SCR / CO cata-DI01</t>
        </is>
      </c>
      <c r="H4894" s="12" t="inlineStr">
        <is>
          <t>SC-1 SCR / CO catalyst</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Tray</t>
        </is>
      </c>
      <c r="T4894" s="16" t="n">
        <v>0</v>
      </c>
      <c r="U4894" s="16" t="n">
        <v>154</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I-I-0395</t>
        </is>
      </c>
      <c r="B4895" s="12" t="inlineStr">
        <is>
          <t>I</t>
        </is>
      </c>
      <c r="C4895" s="12" t="inlineStr">
        <is>
          <t>Modular / portable power</t>
        </is>
      </c>
      <c r="D4895" s="12" t="inlineStr">
        <is>
          <t>Analog instrument to JB JB-SC-1 ammonia flow--AI01: 8 x 1 pr (field cables)</t>
        </is>
      </c>
      <c r="E4895" s="12" t="inlineStr"/>
      <c r="F4895" s="12" t="inlineStr">
        <is>
          <t>SC-1 ammonia flow-control unit</t>
        </is>
      </c>
      <c r="G4895" s="12" t="inlineStr">
        <is>
          <t>JB-SC-1 ammonia flow--AI01</t>
        </is>
      </c>
      <c r="H4895" s="12" t="inlineStr">
        <is>
          <t>SC-1 ammonia flow-control unit</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6" t="n">
        <v>40</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I-I-0396</t>
        </is>
      </c>
      <c r="B4896" s="12" t="inlineStr">
        <is>
          <t>I</t>
        </is>
      </c>
      <c r="C4896" s="12" t="inlineStr">
        <is>
          <t>Modular / portable power</t>
        </is>
      </c>
      <c r="D4896" s="12" t="inlineStr">
        <is>
          <t>Home run JB-SC-1 ammonia flow--AI01 to the control / marshalling room</t>
        </is>
      </c>
      <c r="E4896" s="12" t="inlineStr"/>
      <c r="F4896" s="12" t="inlineStr">
        <is>
          <t>SC-1 PCM + 15 kV GCB</t>
        </is>
      </c>
      <c r="G4896" s="12" t="inlineStr">
        <is>
          <t>JB-SC-1 ammonia flow--AI01</t>
        </is>
      </c>
      <c r="H4896" s="12" t="inlineStr">
        <is>
          <t>SC-1 ammonia flow-control unit</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152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I-I-0397</t>
        </is>
      </c>
      <c r="B4897" s="12" t="inlineStr">
        <is>
          <t>I</t>
        </is>
      </c>
      <c r="C4897" s="12" t="inlineStr">
        <is>
          <t>Modular / portable power</t>
        </is>
      </c>
      <c r="D4897" s="12" t="inlineStr">
        <is>
          <t>Discrete device to JB JB-SC-1 ammonia flow--DI01: 8 x 1 pr (field cables)</t>
        </is>
      </c>
      <c r="E4897" s="12" t="inlineStr"/>
      <c r="F4897" s="12" t="inlineStr">
        <is>
          <t>SC-1 ammonia flow-control unit</t>
        </is>
      </c>
      <c r="G4897" s="12" t="inlineStr">
        <is>
          <t>JB-SC-1 ammonia flow--DI01</t>
        </is>
      </c>
      <c r="H4897" s="12" t="inlineStr">
        <is>
          <t>SC-1 ammonia flow-control unit</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40</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I-I-0398</t>
        </is>
      </c>
      <c r="B4898" s="12" t="inlineStr">
        <is>
          <t>I</t>
        </is>
      </c>
      <c r="C4898" s="12" t="inlineStr">
        <is>
          <t>Modular / portable power</t>
        </is>
      </c>
      <c r="D4898" s="12" t="inlineStr">
        <is>
          <t>Home run JB-SC-1 ammonia flow--DI01 to the control / marshalling room</t>
        </is>
      </c>
      <c r="E4898" s="12" t="inlineStr"/>
      <c r="F4898" s="12" t="inlineStr">
        <is>
          <t>SC-1 PCM + 15 kV GCB</t>
        </is>
      </c>
      <c r="G4898" s="12" t="inlineStr">
        <is>
          <t>JB-SC-1 ammonia flow--DI01</t>
        </is>
      </c>
      <c r="H4898" s="12" t="inlineStr">
        <is>
          <t>SC-1 ammonia flow-control unit</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152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I-I-0399</t>
        </is>
      </c>
      <c r="B4899" s="12" t="inlineStr">
        <is>
          <t>I</t>
        </is>
      </c>
      <c r="C4899" s="12" t="inlineStr">
        <is>
          <t>Modular / portable power</t>
        </is>
      </c>
      <c r="D4899" s="12" t="inlineStr">
        <is>
          <t>Analog instrument to JB JB-SC-1 auxiliary ski-AI01: 14 x 1 pr (field cables)</t>
        </is>
      </c>
      <c r="E4899" s="12" t="inlineStr"/>
      <c r="F4899" s="12" t="inlineStr">
        <is>
          <t>SC-1 auxiliary skids: fuel-gas module, water-wash skid</t>
        </is>
      </c>
      <c r="G4899" s="12" t="inlineStr">
        <is>
          <t>JB-SC-1 auxiliary ski-AI01</t>
        </is>
      </c>
      <c r="H4899" s="12" t="inlineStr">
        <is>
          <t>SC-1 auxiliary skids: fuel-gas module, water-wash skid</t>
        </is>
      </c>
      <c r="I4899" s="12" t="inlineStr">
        <is>
          <t>Instrumentation</t>
        </is>
      </c>
      <c r="J4899" s="12" t="inlineStr">
        <is>
          <t>Instrumentation ITC / PLTC, IS, #18 shielded pairs, blue jacket</t>
        </is>
      </c>
      <c r="K4899" s="12" t="inlineStr">
        <is>
          <t>ITC|1 pr|16</t>
        </is>
      </c>
      <c r="L4899" s="12" t="inlineStr">
        <is>
          <t>1 pr</t>
        </is>
      </c>
      <c r="M4899" s="12" t="inlineStr">
        <is>
          <t>16</t>
        </is>
      </c>
      <c r="N4899" s="12" t="n">
        <v>14</v>
      </c>
      <c r="O4899" s="12" t="n">
        <v>1</v>
      </c>
      <c r="P4899" s="12" t="n"/>
      <c r="Q4899" s="12" t="n"/>
      <c r="R4899" s="12" t="n"/>
      <c r="S4899" s="12" t="inlineStr">
        <is>
          <t>Tray / conduit</t>
        </is>
      </c>
      <c r="T4899" s="16" t="n">
        <v>63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I-I-0400</t>
        </is>
      </c>
      <c r="B4900" s="12" t="inlineStr">
        <is>
          <t>I</t>
        </is>
      </c>
      <c r="C4900" s="12" t="inlineStr">
        <is>
          <t>Modular / portable power</t>
        </is>
      </c>
      <c r="D4900" s="12" t="inlineStr">
        <is>
          <t>Home run JB-SC-1 auxiliary ski-AI01 to the control / marshalling room</t>
        </is>
      </c>
      <c r="E4900" s="12" t="inlineStr"/>
      <c r="F4900" s="12" t="inlineStr">
        <is>
          <t>SC-1 PCM + 15 kV GCB</t>
        </is>
      </c>
      <c r="G4900" s="12" t="inlineStr">
        <is>
          <t>JB-SC-1 auxiliary ski-AI01</t>
        </is>
      </c>
      <c r="H4900" s="12" t="inlineStr">
        <is>
          <t>SC-1 auxiliary skids: fuel-gas module, water-wash skid</t>
        </is>
      </c>
      <c r="I4900" s="12" t="inlineStr">
        <is>
          <t>Instrumentation</t>
        </is>
      </c>
      <c r="J4900" s="12" t="inlineStr">
        <is>
          <t>Instrumentation ITC / PLTC, IS, #18 shielded pairs, blue jacket</t>
        </is>
      </c>
      <c r="K4900" s="12" t="inlineStr">
        <is>
          <t>ITC|24 pr|18</t>
        </is>
      </c>
      <c r="L4900" s="12" t="inlineStr">
        <is>
          <t>24 pr</t>
        </is>
      </c>
      <c r="M4900" s="12" t="inlineStr">
        <is>
          <t>18</t>
        </is>
      </c>
      <c r="N4900" s="12" t="n">
        <v>1</v>
      </c>
      <c r="O4900" s="12" t="n">
        <v>1</v>
      </c>
      <c r="P4900" s="12" t="n"/>
      <c r="Q4900" s="12" t="n"/>
      <c r="R4900" s="12" t="n"/>
      <c r="S4900" s="12" t="inlineStr">
        <is>
          <t>Tray</t>
        </is>
      </c>
      <c r="T4900" s="16" t="n">
        <v>0</v>
      </c>
      <c r="U4900" s="16" t="n">
        <v>77</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I-I-0401</t>
        </is>
      </c>
      <c r="B4901" s="12" t="inlineStr">
        <is>
          <t>I</t>
        </is>
      </c>
      <c r="C4901" s="12" t="inlineStr">
        <is>
          <t>Modular / portable power</t>
        </is>
      </c>
      <c r="D4901" s="12" t="inlineStr">
        <is>
          <t>Discrete device to JB JB-SC-1 auxiliary ski-DI01: 12 x 1 pr (field cables)</t>
        </is>
      </c>
      <c r="E4901" s="12" t="inlineStr"/>
      <c r="F4901" s="12" t="inlineStr">
        <is>
          <t>SC-1 auxiliary skids: fuel-gas module, water-wash skid</t>
        </is>
      </c>
      <c r="G4901" s="12" t="inlineStr">
        <is>
          <t>JB-SC-1 auxiliary ski-DI01</t>
        </is>
      </c>
      <c r="H4901" s="12" t="inlineStr">
        <is>
          <t>SC-1 auxiliary skids: fuel-gas module, water-wash skid</t>
        </is>
      </c>
      <c r="I4901" s="12" t="inlineStr">
        <is>
          <t>Instrumentation</t>
        </is>
      </c>
      <c r="J4901" s="12" t="inlineStr">
        <is>
          <t>Instrumentation ITC / PLTC, IS, #18 shielded pairs, blue jacket</t>
        </is>
      </c>
      <c r="K4901" s="12" t="inlineStr">
        <is>
          <t>ITC|1 pr|16</t>
        </is>
      </c>
      <c r="L4901" s="12" t="inlineStr">
        <is>
          <t>1 pr</t>
        </is>
      </c>
      <c r="M4901" s="12" t="inlineStr">
        <is>
          <t>16</t>
        </is>
      </c>
      <c r="N4901" s="12" t="n">
        <v>12</v>
      </c>
      <c r="O4901" s="12" t="n">
        <v>1</v>
      </c>
      <c r="P4901" s="12" t="n"/>
      <c r="Q4901" s="12" t="n"/>
      <c r="R4901" s="12" t="n"/>
      <c r="S4901" s="12" t="inlineStr">
        <is>
          <t>Tray / conduit</t>
        </is>
      </c>
      <c r="T4901" s="16" t="n">
        <v>63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I-I-0402</t>
        </is>
      </c>
      <c r="B4902" s="12" t="inlineStr">
        <is>
          <t>I</t>
        </is>
      </c>
      <c r="C4902" s="12" t="inlineStr">
        <is>
          <t>Modular / portable power</t>
        </is>
      </c>
      <c r="D4902" s="12" t="inlineStr">
        <is>
          <t>Home run JB-SC-1 auxiliary ski-DI01 to the control / marshalling room</t>
        </is>
      </c>
      <c r="E4902" s="12" t="inlineStr"/>
      <c r="F4902" s="12" t="inlineStr">
        <is>
          <t>SC-1 PCM + 15 kV GCB</t>
        </is>
      </c>
      <c r="G4902" s="12" t="inlineStr">
        <is>
          <t>JB-SC-1 auxiliary ski-DI01</t>
        </is>
      </c>
      <c r="H4902" s="12" t="inlineStr">
        <is>
          <t>SC-1 auxiliary skids: fuel-gas module, water-wash skid</t>
        </is>
      </c>
      <c r="I4902" s="12" t="inlineStr">
        <is>
          <t>Instrumentation</t>
        </is>
      </c>
      <c r="J4902" s="12" t="inlineStr">
        <is>
          <t>Instrumentation ITC / PLTC, IS, #18 shielded pairs, blue jacket</t>
        </is>
      </c>
      <c r="K4902" s="12" t="inlineStr">
        <is>
          <t>ITC|24 pr|18</t>
        </is>
      </c>
      <c r="L4902" s="12" t="inlineStr">
        <is>
          <t>24 pr</t>
        </is>
      </c>
      <c r="M4902" s="12" t="inlineStr">
        <is>
          <t>18</t>
        </is>
      </c>
      <c r="N4902" s="12" t="n">
        <v>1</v>
      </c>
      <c r="O4902" s="12" t="n">
        <v>1</v>
      </c>
      <c r="P4902" s="12" t="n"/>
      <c r="Q4902" s="12" t="n"/>
      <c r="R4902" s="12" t="n"/>
      <c r="S4902" s="12" t="inlineStr">
        <is>
          <t>Tray</t>
        </is>
      </c>
      <c r="T4902" s="16" t="n">
        <v>0</v>
      </c>
      <c r="U4902" s="16" t="n">
        <v>77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I-I-0403</t>
        </is>
      </c>
      <c r="B4903" s="12" t="inlineStr">
        <is>
          <t>I</t>
        </is>
      </c>
      <c r="C4903" s="12" t="inlineStr">
        <is>
          <t>Modular / portable power</t>
        </is>
      </c>
      <c r="D4903" s="12" t="inlineStr">
        <is>
          <t>Analog instrument to JB JB-SC-1 lube-oil fin--AI01: 4 x 1 pr (field cables)</t>
        </is>
      </c>
      <c r="E4903" s="12" t="inlineStr"/>
      <c r="F4903" s="12" t="inlineStr">
        <is>
          <t>SC-1 lube-oil fin-fan cooler</t>
        </is>
      </c>
      <c r="G4903" s="12" t="inlineStr">
        <is>
          <t>JB-SC-1 lube-oil fin--AI01</t>
        </is>
      </c>
      <c r="H4903" s="12" t="inlineStr">
        <is>
          <t>SC-1 lube-oil fin-fan cooler</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4</v>
      </c>
      <c r="O4903" s="12" t="n">
        <v>1</v>
      </c>
      <c r="P4903" s="12" t="n"/>
      <c r="Q4903" s="12" t="n"/>
      <c r="R4903" s="12" t="n"/>
      <c r="S4903" s="12" t="inlineStr">
        <is>
          <t>Tray / conduit</t>
        </is>
      </c>
      <c r="T4903" s="16" t="n">
        <v>46</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I-I-0404</t>
        </is>
      </c>
      <c r="B4904" s="12" t="inlineStr">
        <is>
          <t>I</t>
        </is>
      </c>
      <c r="C4904" s="12" t="inlineStr">
        <is>
          <t>Modular / portable power</t>
        </is>
      </c>
      <c r="D4904" s="12" t="inlineStr">
        <is>
          <t>Home run JB-SC-1 lube-oil fin--AI01 to the control / marshalling room</t>
        </is>
      </c>
      <c r="E4904" s="12" t="inlineStr"/>
      <c r="F4904" s="12" t="inlineStr">
        <is>
          <t>SC-1 PCM + 15 kV GCB</t>
        </is>
      </c>
      <c r="G4904" s="12" t="inlineStr">
        <is>
          <t>JB-SC-1 lube-oil fin--AI01</t>
        </is>
      </c>
      <c r="H4904" s="12" t="inlineStr">
        <is>
          <t>SC-1 lube-oil fin-fan cooler</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82</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I-I-0405</t>
        </is>
      </c>
      <c r="B4905" s="12" t="inlineStr">
        <is>
          <t>I</t>
        </is>
      </c>
      <c r="C4905" s="12" t="inlineStr">
        <is>
          <t>Modular / portable power</t>
        </is>
      </c>
      <c r="D4905" s="12" t="inlineStr">
        <is>
          <t>Discrete device to JB JB-SC-1 lube-oil fin--DI01: 8 x 1 pr (field cables)</t>
        </is>
      </c>
      <c r="E4905" s="12" t="inlineStr"/>
      <c r="F4905" s="12" t="inlineStr">
        <is>
          <t>SC-1 lube-oil fin-fan cooler</t>
        </is>
      </c>
      <c r="G4905" s="12" t="inlineStr">
        <is>
          <t>JB-SC-1 lube-oil fin--DI01</t>
        </is>
      </c>
      <c r="H4905" s="12" t="inlineStr">
        <is>
          <t>SC-1 lube-oil fin-fan cooler</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8</v>
      </c>
      <c r="O4905" s="12" t="n">
        <v>1</v>
      </c>
      <c r="P4905" s="12" t="n"/>
      <c r="Q4905" s="12" t="n"/>
      <c r="R4905" s="12" t="n"/>
      <c r="S4905" s="12" t="inlineStr">
        <is>
          <t>Tray / conduit</t>
        </is>
      </c>
      <c r="T4905" s="16" t="n">
        <v>46</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I-I-0406</t>
        </is>
      </c>
      <c r="B4906" s="12" t="inlineStr">
        <is>
          <t>I</t>
        </is>
      </c>
      <c r="C4906" s="12" t="inlineStr">
        <is>
          <t>Modular / portable power</t>
        </is>
      </c>
      <c r="D4906" s="12" t="inlineStr">
        <is>
          <t>Home run JB-SC-1 lube-oil fin--DI01 to the control / marshalling room</t>
        </is>
      </c>
      <c r="E4906" s="12" t="inlineStr"/>
      <c r="F4906" s="12" t="inlineStr">
        <is>
          <t>SC-1 PCM + 15 kV GCB</t>
        </is>
      </c>
      <c r="G4906" s="12" t="inlineStr">
        <is>
          <t>JB-SC-1 lube-oil fin--DI01</t>
        </is>
      </c>
      <c r="H4906" s="12" t="inlineStr">
        <is>
          <t>SC-1 lube-oil fin-fan cooler</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82</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I-I-0407</t>
        </is>
      </c>
      <c r="B4907" s="12" t="inlineStr">
        <is>
          <t>I</t>
        </is>
      </c>
      <c r="C4907" s="12" t="inlineStr">
        <is>
          <t>Modular / portable power</t>
        </is>
      </c>
      <c r="D4907" s="12" t="inlineStr">
        <is>
          <t>Analog instrument to JB JB-SC-1 tempering-air-AI01: 8 x 1 pr (field cables)</t>
        </is>
      </c>
      <c r="E4907" s="12" t="inlineStr"/>
      <c r="F4907" s="12" t="inlineStr">
        <is>
          <t>SC-1 tempering-air fans (2 x 100 %)</t>
        </is>
      </c>
      <c r="G4907" s="12" t="inlineStr">
        <is>
          <t>JB-SC-1 tempering-air-AI01</t>
        </is>
      </c>
      <c r="H4907" s="12" t="inlineStr">
        <is>
          <t>SC-1 tempering-air fans (2 x 100 %)</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8</v>
      </c>
      <c r="O4907" s="12" t="n">
        <v>1</v>
      </c>
      <c r="P4907" s="12" t="n"/>
      <c r="Q4907" s="12" t="n"/>
      <c r="R4907" s="12" t="n"/>
      <c r="S4907" s="12" t="inlineStr">
        <is>
          <t>Tray / conduit</t>
        </is>
      </c>
      <c r="T4907" s="16" t="n">
        <v>53</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I-I-0408</t>
        </is>
      </c>
      <c r="B4908" s="12" t="inlineStr">
        <is>
          <t>I</t>
        </is>
      </c>
      <c r="C4908" s="12" t="inlineStr">
        <is>
          <t>Modular / portable power</t>
        </is>
      </c>
      <c r="D4908" s="12" t="inlineStr">
        <is>
          <t>Home run JB-SC-1 tempering-air-AI01 to the control / marshalling room</t>
        </is>
      </c>
      <c r="E4908" s="12" t="inlineStr"/>
      <c r="F4908" s="12" t="inlineStr">
        <is>
          <t>SC-1 PCM + 15 kV GCB</t>
        </is>
      </c>
      <c r="G4908" s="12" t="inlineStr">
        <is>
          <t>JB-SC-1 tempering-air-AI01</t>
        </is>
      </c>
      <c r="H4908" s="12" t="inlineStr">
        <is>
          <t>SC-1 tempering-air fans (2 x 100 %)</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156</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I-I-0409</t>
        </is>
      </c>
      <c r="B4909" s="12" t="inlineStr">
        <is>
          <t>I</t>
        </is>
      </c>
      <c r="C4909" s="12" t="inlineStr">
        <is>
          <t>Modular / portable power</t>
        </is>
      </c>
      <c r="D4909" s="12" t="inlineStr">
        <is>
          <t>Discrete device to JB JB-SC-1 tempering-air-DI01: 8 x 1 pr (field cables)</t>
        </is>
      </c>
      <c r="E4909" s="12" t="inlineStr"/>
      <c r="F4909" s="12" t="inlineStr">
        <is>
          <t>SC-1 tempering-air fans (2 x 100 %)</t>
        </is>
      </c>
      <c r="G4909" s="12" t="inlineStr">
        <is>
          <t>JB-SC-1 tempering-air-DI01</t>
        </is>
      </c>
      <c r="H4909" s="12" t="inlineStr">
        <is>
          <t>SC-1 tempering-air fans (2 x 100 %)</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8</v>
      </c>
      <c r="O4909" s="12" t="n">
        <v>1</v>
      </c>
      <c r="P4909" s="12" t="n"/>
      <c r="Q4909" s="12" t="n"/>
      <c r="R4909" s="12" t="n"/>
      <c r="S4909" s="12" t="inlineStr">
        <is>
          <t>Tray / conduit</t>
        </is>
      </c>
      <c r="T4909" s="16" t="n">
        <v>53</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I-I-0410</t>
        </is>
      </c>
      <c r="B4910" s="12" t="inlineStr">
        <is>
          <t>I</t>
        </is>
      </c>
      <c r="C4910" s="12" t="inlineStr">
        <is>
          <t>Modular / portable power</t>
        </is>
      </c>
      <c r="D4910" s="12" t="inlineStr">
        <is>
          <t>Home run JB-SC-1 tempering-air-DI01 to the control / marshalling room</t>
        </is>
      </c>
      <c r="E4910" s="12" t="inlineStr"/>
      <c r="F4910" s="12" t="inlineStr">
        <is>
          <t>SC-1 PCM + 15 kV GCB</t>
        </is>
      </c>
      <c r="G4910" s="12" t="inlineStr">
        <is>
          <t>JB-SC-1 tempering-air-DI01</t>
        </is>
      </c>
      <c r="H4910" s="12" t="inlineStr">
        <is>
          <t>SC-1 tempering-air fans (2 x 100 %)</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156</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I-I-0411</t>
        </is>
      </c>
      <c r="B4911" s="12" t="inlineStr">
        <is>
          <t>I</t>
        </is>
      </c>
      <c r="C4911" s="12" t="inlineStr">
        <is>
          <t>Modular / portable power</t>
        </is>
      </c>
      <c r="D4911" s="12" t="inlineStr">
        <is>
          <t>Analog instrument to JB JB-SC-1-AI01: 20 x 1 pr (field cables)</t>
        </is>
      </c>
      <c r="E4911" s="12" t="inlineStr">
        <is>
          <t>SC-1</t>
        </is>
      </c>
      <c r="F4911" s="12" t="inlineStr">
        <is>
          <t>SC-1: aeroderivative simple-cycle unit (LM6000 class)</t>
        </is>
      </c>
      <c r="G4911" s="12" t="inlineStr">
        <is>
          <t>JB-SC-1-AI01</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I-I-0412</t>
        </is>
      </c>
      <c r="B4912" s="12" t="inlineStr">
        <is>
          <t>I</t>
        </is>
      </c>
      <c r="C4912" s="12" t="inlineStr">
        <is>
          <t>Modular / portable power</t>
        </is>
      </c>
      <c r="D4912" s="12" t="inlineStr">
        <is>
          <t>Home run JB-SC-1-AI01 to the control / marshalling room</t>
        </is>
      </c>
      <c r="E4912" s="12" t="inlineStr"/>
      <c r="F4912" s="12" t="inlineStr">
        <is>
          <t>SC-1 PCM + 15 kV GCB</t>
        </is>
      </c>
      <c r="G4912" s="12" t="inlineStr">
        <is>
          <t>JB-SC-1-AI01</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I-I-0413</t>
        </is>
      </c>
      <c r="B4913" s="12" t="inlineStr">
        <is>
          <t>I</t>
        </is>
      </c>
      <c r="C4913" s="12" t="inlineStr">
        <is>
          <t>Modular / portable power</t>
        </is>
      </c>
      <c r="D4913" s="12" t="inlineStr">
        <is>
          <t>Analog instrument to JB JB-SC-1-AI02: 20 x 1 pr (field cables)</t>
        </is>
      </c>
      <c r="E4913" s="12" t="inlineStr">
        <is>
          <t>SC-1</t>
        </is>
      </c>
      <c r="F4913" s="12" t="inlineStr">
        <is>
          <t>SC-1: aeroderivative simple-cycle unit (LM6000 class)</t>
        </is>
      </c>
      <c r="G4913" s="12" t="inlineStr">
        <is>
          <t>JB-SC-1-AI02</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I-I-0414</t>
        </is>
      </c>
      <c r="B4914" s="12" t="inlineStr">
        <is>
          <t>I</t>
        </is>
      </c>
      <c r="C4914" s="12" t="inlineStr">
        <is>
          <t>Modular / portable power</t>
        </is>
      </c>
      <c r="D4914" s="12" t="inlineStr">
        <is>
          <t>Home run JB-SC-1-AI02 to the control / marshalling room</t>
        </is>
      </c>
      <c r="E4914" s="12" t="inlineStr"/>
      <c r="F4914" s="12" t="inlineStr">
        <is>
          <t>SC-1 PCM + 15 kV GCB</t>
        </is>
      </c>
      <c r="G4914" s="12" t="inlineStr">
        <is>
          <t>JB-SC-1-AI02</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I-I-0415</t>
        </is>
      </c>
      <c r="B4915" s="12" t="inlineStr">
        <is>
          <t>I</t>
        </is>
      </c>
      <c r="C4915" s="12" t="inlineStr">
        <is>
          <t>Modular / portable power</t>
        </is>
      </c>
      <c r="D4915" s="12" t="inlineStr">
        <is>
          <t>Analog instrument to JB JB-SC-1-AI03: 20 x 1 pr (field cables)</t>
        </is>
      </c>
      <c r="E4915" s="12" t="inlineStr">
        <is>
          <t>SC-1</t>
        </is>
      </c>
      <c r="F4915" s="12" t="inlineStr">
        <is>
          <t>SC-1: aeroderivative simple-cycle unit (LM6000 class)</t>
        </is>
      </c>
      <c r="G4915" s="12" t="inlineStr">
        <is>
          <t>JB-SC-1-AI03</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I-I-0416</t>
        </is>
      </c>
      <c r="B4916" s="12" t="inlineStr">
        <is>
          <t>I</t>
        </is>
      </c>
      <c r="C4916" s="12" t="inlineStr">
        <is>
          <t>Modular / portable power</t>
        </is>
      </c>
      <c r="D4916" s="12" t="inlineStr">
        <is>
          <t>Home run JB-SC-1-AI03 to the control / marshalling room</t>
        </is>
      </c>
      <c r="E4916" s="12" t="inlineStr"/>
      <c r="F4916" s="12" t="inlineStr">
        <is>
          <t>SC-1 PCM + 15 kV GCB</t>
        </is>
      </c>
      <c r="G4916" s="12" t="inlineStr">
        <is>
          <t>JB-SC-1-AI03</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I-I-0417</t>
        </is>
      </c>
      <c r="B4917" s="12" t="inlineStr">
        <is>
          <t>I</t>
        </is>
      </c>
      <c r="C4917" s="12" t="inlineStr">
        <is>
          <t>Modular / portable power</t>
        </is>
      </c>
      <c r="D4917" s="12" t="inlineStr">
        <is>
          <t>Analog instrument to JB JB-SC-1-AI04: 20 x 1 pr (field cables)</t>
        </is>
      </c>
      <c r="E4917" s="12" t="inlineStr">
        <is>
          <t>SC-1</t>
        </is>
      </c>
      <c r="F4917" s="12" t="inlineStr">
        <is>
          <t>SC-1: aeroderivative simple-cycle unit (LM6000 class)</t>
        </is>
      </c>
      <c r="G4917" s="12" t="inlineStr">
        <is>
          <t>JB-SC-1-AI04</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I-I-0418</t>
        </is>
      </c>
      <c r="B4918" s="12" t="inlineStr">
        <is>
          <t>I</t>
        </is>
      </c>
      <c r="C4918" s="12" t="inlineStr">
        <is>
          <t>Modular / portable power</t>
        </is>
      </c>
      <c r="D4918" s="12" t="inlineStr">
        <is>
          <t>Home run JB-SC-1-AI04 to the control / marshalling room</t>
        </is>
      </c>
      <c r="E4918" s="12" t="inlineStr"/>
      <c r="F4918" s="12" t="inlineStr">
        <is>
          <t>SC-1 PCM + 15 kV GCB</t>
        </is>
      </c>
      <c r="G4918" s="12" t="inlineStr">
        <is>
          <t>JB-SC-1-AI04</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I-I-0419</t>
        </is>
      </c>
      <c r="B4919" s="12" t="inlineStr">
        <is>
          <t>I</t>
        </is>
      </c>
      <c r="C4919" s="12" t="inlineStr">
        <is>
          <t>Modular / portable power</t>
        </is>
      </c>
      <c r="D4919" s="12" t="inlineStr">
        <is>
          <t>Analog instrument to JB JB-SC-1-AI05: 20 x 1 pr (field cables)</t>
        </is>
      </c>
      <c r="E4919" s="12" t="inlineStr">
        <is>
          <t>SC-1</t>
        </is>
      </c>
      <c r="F4919" s="12" t="inlineStr">
        <is>
          <t>SC-1: aeroderivative simple-cycle unit (LM6000 class)</t>
        </is>
      </c>
      <c r="G4919" s="12" t="inlineStr">
        <is>
          <t>JB-SC-1-AI05</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I-I-0420</t>
        </is>
      </c>
      <c r="B4920" s="12" t="inlineStr">
        <is>
          <t>I</t>
        </is>
      </c>
      <c r="C4920" s="12" t="inlineStr">
        <is>
          <t>Modular / portable power</t>
        </is>
      </c>
      <c r="D4920" s="12" t="inlineStr">
        <is>
          <t>Home run JB-SC-1-AI05 to the control / marshalling room</t>
        </is>
      </c>
      <c r="E4920" s="12" t="inlineStr"/>
      <c r="F4920" s="12" t="inlineStr">
        <is>
          <t>SC-1 PCM + 15 kV GCB</t>
        </is>
      </c>
      <c r="G4920" s="12" t="inlineStr">
        <is>
          <t>JB-SC-1-AI05</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I-I-0421</t>
        </is>
      </c>
      <c r="B4921" s="12" t="inlineStr">
        <is>
          <t>I</t>
        </is>
      </c>
      <c r="C4921" s="12" t="inlineStr">
        <is>
          <t>Modular / portable power</t>
        </is>
      </c>
      <c r="D4921" s="12" t="inlineStr">
        <is>
          <t>Analog instrument to JB JB-SC-1-AI06: 20 x 1 pr (field cables)</t>
        </is>
      </c>
      <c r="E4921" s="12" t="inlineStr">
        <is>
          <t>SC-1</t>
        </is>
      </c>
      <c r="F4921" s="12" t="inlineStr">
        <is>
          <t>SC-1: aeroderivative simple-cycle unit (LM6000 class)</t>
        </is>
      </c>
      <c r="G4921" s="12" t="inlineStr">
        <is>
          <t>JB-SC-1-AI06</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I-I-0422</t>
        </is>
      </c>
      <c r="B4922" s="12" t="inlineStr">
        <is>
          <t>I</t>
        </is>
      </c>
      <c r="C4922" s="12" t="inlineStr">
        <is>
          <t>Modular / portable power</t>
        </is>
      </c>
      <c r="D4922" s="12" t="inlineStr">
        <is>
          <t>Home run JB-SC-1-AI06 to the control / marshalling room</t>
        </is>
      </c>
      <c r="E4922" s="12" t="inlineStr"/>
      <c r="F4922" s="12" t="inlineStr">
        <is>
          <t>SC-1 PCM + 15 kV GCB</t>
        </is>
      </c>
      <c r="G4922" s="12" t="inlineStr">
        <is>
          <t>JB-SC-1-AI06</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I-I-0423</t>
        </is>
      </c>
      <c r="B4923" s="12" t="inlineStr">
        <is>
          <t>I</t>
        </is>
      </c>
      <c r="C4923" s="12" t="inlineStr">
        <is>
          <t>Modular / portable power</t>
        </is>
      </c>
      <c r="D4923" s="12" t="inlineStr">
        <is>
          <t>Analog instrument to JB JB-SC-1-AI07: 20 x 1 pr (field cables)</t>
        </is>
      </c>
      <c r="E4923" s="12" t="inlineStr">
        <is>
          <t>SC-1</t>
        </is>
      </c>
      <c r="F4923" s="12" t="inlineStr">
        <is>
          <t>SC-1: aeroderivative simple-cycle unit (LM6000 class)</t>
        </is>
      </c>
      <c r="G4923" s="12" t="inlineStr">
        <is>
          <t>JB-SC-1-AI07</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I-I-0424</t>
        </is>
      </c>
      <c r="B4924" s="12" t="inlineStr">
        <is>
          <t>I</t>
        </is>
      </c>
      <c r="C4924" s="12" t="inlineStr">
        <is>
          <t>Modular / portable power</t>
        </is>
      </c>
      <c r="D4924" s="12" t="inlineStr">
        <is>
          <t>Home run JB-SC-1-AI07 to the control / marshalling room</t>
        </is>
      </c>
      <c r="E4924" s="12" t="inlineStr"/>
      <c r="F4924" s="12" t="inlineStr">
        <is>
          <t>SC-1 PCM + 15 kV GCB</t>
        </is>
      </c>
      <c r="G4924" s="12" t="inlineStr">
        <is>
          <t>JB-SC-1-AI07</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I-I-0425</t>
        </is>
      </c>
      <c r="B4925" s="12" t="inlineStr">
        <is>
          <t>I</t>
        </is>
      </c>
      <c r="C4925" s="12" t="inlineStr">
        <is>
          <t>Modular / portable power</t>
        </is>
      </c>
      <c r="D4925" s="12" t="inlineStr">
        <is>
          <t>Analog instrument to JB JB-SC-1-AI08: 10 x 1 pr (field cables)</t>
        </is>
      </c>
      <c r="E4925" s="12" t="inlineStr">
        <is>
          <t>SC-1</t>
        </is>
      </c>
      <c r="F4925" s="12" t="inlineStr">
        <is>
          <t>SC-1: aeroderivative simple-cycle unit (LM6000 class)</t>
        </is>
      </c>
      <c r="G4925" s="12" t="inlineStr">
        <is>
          <t>JB-SC-1-AI08</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10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I-I-0426</t>
        </is>
      </c>
      <c r="B4926" s="12" t="inlineStr">
        <is>
          <t>I</t>
        </is>
      </c>
      <c r="C4926" s="12" t="inlineStr">
        <is>
          <t>Modular / portable power</t>
        </is>
      </c>
      <c r="D4926" s="12" t="inlineStr">
        <is>
          <t>Home run JB-SC-1-AI08 to the control / marshalling room</t>
        </is>
      </c>
      <c r="E4926" s="12" t="inlineStr"/>
      <c r="F4926" s="12" t="inlineStr">
        <is>
          <t>SC-1 PCM + 15 kV GCB</t>
        </is>
      </c>
      <c r="G4926" s="12" t="inlineStr">
        <is>
          <t>JB-SC-1-AI08</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I-I-0427</t>
        </is>
      </c>
      <c r="B4927" s="12" t="inlineStr">
        <is>
          <t>I</t>
        </is>
      </c>
      <c r="C4927" s="12" t="inlineStr">
        <is>
          <t>Modular / portable power</t>
        </is>
      </c>
      <c r="D4927" s="12" t="inlineStr">
        <is>
          <t>Discrete device to JB JB-SC-1-DI01: 20 x 1 pr (field cables)</t>
        </is>
      </c>
      <c r="E4927" s="12" t="inlineStr">
        <is>
          <t>SC-1</t>
        </is>
      </c>
      <c r="F4927" s="12" t="inlineStr">
        <is>
          <t>SC-1: aeroderivative simple-cycle unit (LM6000 class)</t>
        </is>
      </c>
      <c r="G4927" s="12" t="inlineStr">
        <is>
          <t>JB-SC-1-DI01</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I-I-0428</t>
        </is>
      </c>
      <c r="B4928" s="12" t="inlineStr">
        <is>
          <t>I</t>
        </is>
      </c>
      <c r="C4928" s="12" t="inlineStr">
        <is>
          <t>Modular / portable power</t>
        </is>
      </c>
      <c r="D4928" s="12" t="inlineStr">
        <is>
          <t>Home run JB-SC-1-DI01 to the control / marshalling room</t>
        </is>
      </c>
      <c r="E4928" s="12" t="inlineStr"/>
      <c r="F4928" s="12" t="inlineStr">
        <is>
          <t>SC-1 PCM + 15 kV GCB</t>
        </is>
      </c>
      <c r="G4928" s="12" t="inlineStr">
        <is>
          <t>JB-SC-1-DI01</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I-I-0429</t>
        </is>
      </c>
      <c r="B4929" s="12" t="inlineStr">
        <is>
          <t>I</t>
        </is>
      </c>
      <c r="C4929" s="12" t="inlineStr">
        <is>
          <t>Modular / portable power</t>
        </is>
      </c>
      <c r="D4929" s="12" t="inlineStr">
        <is>
          <t>Discrete device to JB JB-SC-1-DI02: 20 x 1 pr (field cables)</t>
        </is>
      </c>
      <c r="E4929" s="12" t="inlineStr">
        <is>
          <t>SC-1</t>
        </is>
      </c>
      <c r="F4929" s="12" t="inlineStr">
        <is>
          <t>SC-1: aeroderivative simple-cycle unit (LM6000 class)</t>
        </is>
      </c>
      <c r="G4929" s="12" t="inlineStr">
        <is>
          <t>JB-SC-1-DI02</t>
        </is>
      </c>
      <c r="H4929" s="12" t="inlineStr">
        <is>
          <t>SC-1: aeroderivative simple-cycle unit (LM6000 class)</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I-I-0430</t>
        </is>
      </c>
      <c r="B4930" s="12" t="inlineStr">
        <is>
          <t>I</t>
        </is>
      </c>
      <c r="C4930" s="12" t="inlineStr">
        <is>
          <t>Modular / portable power</t>
        </is>
      </c>
      <c r="D4930" s="12" t="inlineStr">
        <is>
          <t>Home run JB-SC-1-DI02 to the control / marshalling room</t>
        </is>
      </c>
      <c r="E4930" s="12" t="inlineStr"/>
      <c r="F4930" s="12" t="inlineStr">
        <is>
          <t>SC-1 PCM + 15 kV GCB</t>
        </is>
      </c>
      <c r="G4930" s="12" t="inlineStr">
        <is>
          <t>JB-SC-1-DI02</t>
        </is>
      </c>
      <c r="H4930" s="12" t="inlineStr">
        <is>
          <t>SC-1: aeroderivative simple-cycle unit (LM6000 class)</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I-I-0431</t>
        </is>
      </c>
      <c r="B4931" s="12" t="inlineStr">
        <is>
          <t>I</t>
        </is>
      </c>
      <c r="C4931" s="12" t="inlineStr">
        <is>
          <t>Modular / portable power</t>
        </is>
      </c>
      <c r="D4931" s="12" t="inlineStr">
        <is>
          <t>Discrete device to JB JB-SC-1-DI03: 20 x 1 pr (field cables)</t>
        </is>
      </c>
      <c r="E4931" s="12" t="inlineStr">
        <is>
          <t>SC-1</t>
        </is>
      </c>
      <c r="F4931" s="12" t="inlineStr">
        <is>
          <t>SC-1: aeroderivative simple-cycle unit (LM6000 class)</t>
        </is>
      </c>
      <c r="G4931" s="12" t="inlineStr">
        <is>
          <t>JB-SC-1-DI03</t>
        </is>
      </c>
      <c r="H4931" s="12" t="inlineStr">
        <is>
          <t>SC-1: aeroderivative simple-cycle unit (LM6000 class)</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I-I-0432</t>
        </is>
      </c>
      <c r="B4932" s="12" t="inlineStr">
        <is>
          <t>I</t>
        </is>
      </c>
      <c r="C4932" s="12" t="inlineStr">
        <is>
          <t>Modular / portable power</t>
        </is>
      </c>
      <c r="D4932" s="12" t="inlineStr">
        <is>
          <t>Home run JB-SC-1-DI03 to the control / marshalling room</t>
        </is>
      </c>
      <c r="E4932" s="12" t="inlineStr"/>
      <c r="F4932" s="12" t="inlineStr">
        <is>
          <t>SC-1 PCM + 15 kV GCB</t>
        </is>
      </c>
      <c r="G4932" s="12" t="inlineStr">
        <is>
          <t>JB-SC-1-DI03</t>
        </is>
      </c>
      <c r="H4932" s="12" t="inlineStr">
        <is>
          <t>SC-1: aeroderivative simple-cycle unit (LM6000 class)</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I-I-0433</t>
        </is>
      </c>
      <c r="B4933" s="12" t="inlineStr">
        <is>
          <t>I</t>
        </is>
      </c>
      <c r="C4933" s="12" t="inlineStr">
        <is>
          <t>Modular / portable power</t>
        </is>
      </c>
      <c r="D4933" s="12" t="inlineStr">
        <is>
          <t>Discrete device to JB JB-SC-1-DI04: 20 x 1 pr (field cables)</t>
        </is>
      </c>
      <c r="E4933" s="12" t="inlineStr">
        <is>
          <t>SC-1</t>
        </is>
      </c>
      <c r="F4933" s="12" t="inlineStr">
        <is>
          <t>SC-1: aeroderivative simple-cycle unit (LM6000 class)</t>
        </is>
      </c>
      <c r="G4933" s="12" t="inlineStr">
        <is>
          <t>JB-SC-1-DI04</t>
        </is>
      </c>
      <c r="H4933" s="12" t="inlineStr">
        <is>
          <t>SC-1: aeroderivative simple-cycle unit (LM6000 class)</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6" t="n">
        <v>99</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I-I-0434</t>
        </is>
      </c>
      <c r="B4934" s="12" t="inlineStr">
        <is>
          <t>I</t>
        </is>
      </c>
      <c r="C4934" s="12" t="inlineStr">
        <is>
          <t>Modular / portable power</t>
        </is>
      </c>
      <c r="D4934" s="12" t="inlineStr">
        <is>
          <t>Home run JB-SC-1-DI04 to the control / marshalling room</t>
        </is>
      </c>
      <c r="E4934" s="12" t="inlineStr"/>
      <c r="F4934" s="12" t="inlineStr">
        <is>
          <t>SC-1 PCM + 15 kV GCB</t>
        </is>
      </c>
      <c r="G4934" s="12" t="inlineStr">
        <is>
          <t>JB-SC-1-DI04</t>
        </is>
      </c>
      <c r="H4934" s="12" t="inlineStr">
        <is>
          <t>SC-1: aeroderivative simple-cycle unit (LM6000 class)</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Tray</t>
        </is>
      </c>
      <c r="T4934" s="16" t="n">
        <v>0</v>
      </c>
      <c r="U4934" s="16" t="n">
        <v>64</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I-I-0435</t>
        </is>
      </c>
      <c r="B4935" s="12" t="inlineStr">
        <is>
          <t>I</t>
        </is>
      </c>
      <c r="C4935" s="12" t="inlineStr">
        <is>
          <t>Modular / portable power</t>
        </is>
      </c>
      <c r="D4935" s="12" t="inlineStr">
        <is>
          <t>Discrete device to JB JB-SC-1-DI05: 20 x 1 pr (field cables)</t>
        </is>
      </c>
      <c r="E4935" s="12" t="inlineStr">
        <is>
          <t>SC-1</t>
        </is>
      </c>
      <c r="F4935" s="12" t="inlineStr">
        <is>
          <t>SC-1: aeroderivative simple-cycle unit (LM6000 class)</t>
        </is>
      </c>
      <c r="G4935" s="12" t="inlineStr">
        <is>
          <t>JB-SC-1-DI05</t>
        </is>
      </c>
      <c r="H4935" s="12" t="inlineStr">
        <is>
          <t>SC-1: aeroderivative simple-cycle unit (LM6000 class)</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6" t="n">
        <v>99</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I-I-0436</t>
        </is>
      </c>
      <c r="B4936" s="12" t="inlineStr">
        <is>
          <t>I</t>
        </is>
      </c>
      <c r="C4936" s="12" t="inlineStr">
        <is>
          <t>Modular / portable power</t>
        </is>
      </c>
      <c r="D4936" s="12" t="inlineStr">
        <is>
          <t>Home run JB-SC-1-DI05 to the control / marshalling room</t>
        </is>
      </c>
      <c r="E4936" s="12" t="inlineStr"/>
      <c r="F4936" s="12" t="inlineStr">
        <is>
          <t>SC-1 PCM + 15 kV GCB</t>
        </is>
      </c>
      <c r="G4936" s="12" t="inlineStr">
        <is>
          <t>JB-SC-1-DI05</t>
        </is>
      </c>
      <c r="H4936" s="12" t="inlineStr">
        <is>
          <t>SC-1: aeroderivative simple-cycle unit (LM6000 class)</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Tray</t>
        </is>
      </c>
      <c r="T4936" s="16" t="n">
        <v>0</v>
      </c>
      <c r="U4936" s="16" t="n">
        <v>64</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I-I-0437</t>
        </is>
      </c>
      <c r="B4937" s="12" t="inlineStr">
        <is>
          <t>I</t>
        </is>
      </c>
      <c r="C4937" s="12" t="inlineStr">
        <is>
          <t>Modular / portable power</t>
        </is>
      </c>
      <c r="D4937" s="12" t="inlineStr">
        <is>
          <t>Thermocouple to TC JB JB-SC-1-TC01: 20 x 1 pr (field cables)</t>
        </is>
      </c>
      <c r="E4937" s="12" t="inlineStr">
        <is>
          <t>SC-1</t>
        </is>
      </c>
      <c r="F4937" s="12" t="inlineStr">
        <is>
          <t>SC-1: aeroderivative simple-cycle unit (LM6000 class)</t>
        </is>
      </c>
      <c r="G4937" s="12" t="inlineStr">
        <is>
          <t>JB-SC-1-TC01</t>
        </is>
      </c>
      <c r="H4937" s="12" t="inlineStr">
        <is>
          <t>SC-1: aeroderivative simple-cycle unit (LM6000 class)</t>
        </is>
      </c>
      <c r="I4937" s="12" t="inlineStr">
        <is>
          <t>Instrumentation</t>
        </is>
      </c>
      <c r="J4937" s="12" t="inlineStr">
        <is>
          <t>Thermocouple extension KX, #16 shielded pairs, PLTC</t>
        </is>
      </c>
      <c r="K4937" s="12" t="inlineStr">
        <is>
          <t>TCX|1 pr|16</t>
        </is>
      </c>
      <c r="L4937" s="12" t="inlineStr">
        <is>
          <t>1 pr</t>
        </is>
      </c>
      <c r="M4937" s="12" t="inlineStr">
        <is>
          <t>16</t>
        </is>
      </c>
      <c r="N4937" s="12" t="n">
        <v>20</v>
      </c>
      <c r="O4937" s="12" t="n">
        <v>1</v>
      </c>
      <c r="P4937" s="12" t="n"/>
      <c r="Q4937" s="12" t="n"/>
      <c r="R4937" s="12" t="n"/>
      <c r="S4937" s="12" t="inlineStr">
        <is>
          <t>Tray / conduit</t>
        </is>
      </c>
      <c r="T4937" s="16" t="n">
        <v>99</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I-I-0438</t>
        </is>
      </c>
      <c r="B4938" s="12" t="inlineStr">
        <is>
          <t>I</t>
        </is>
      </c>
      <c r="C4938" s="12" t="inlineStr">
        <is>
          <t>Modular / portable power</t>
        </is>
      </c>
      <c r="D4938" s="12" t="inlineStr">
        <is>
          <t>Home run JB-SC-1-TC01 to the control / marshalling room</t>
        </is>
      </c>
      <c r="E4938" s="12" t="inlineStr"/>
      <c r="F4938" s="12" t="inlineStr">
        <is>
          <t>SC-1 PCM + 15 kV GCB</t>
        </is>
      </c>
      <c r="G4938" s="12" t="inlineStr">
        <is>
          <t>JB-SC-1-TC01</t>
        </is>
      </c>
      <c r="H4938" s="12" t="inlineStr">
        <is>
          <t>SC-1: aeroderivative simple-cycle unit (LM6000 class)</t>
        </is>
      </c>
      <c r="I4938" s="12" t="inlineStr">
        <is>
          <t>Instrumentation</t>
        </is>
      </c>
      <c r="J4938" s="12" t="inlineStr">
        <is>
          <t>Thermocouple extension KX, #16 shielded pairs, PLTC</t>
        </is>
      </c>
      <c r="K4938" s="12" t="inlineStr">
        <is>
          <t>TCX|24 pr|16</t>
        </is>
      </c>
      <c r="L4938" s="12" t="inlineStr">
        <is>
          <t>24 pr</t>
        </is>
      </c>
      <c r="M4938" s="12" t="inlineStr">
        <is>
          <t>16</t>
        </is>
      </c>
      <c r="N4938" s="12" t="n">
        <v>1</v>
      </c>
      <c r="O4938" s="12" t="n">
        <v>1</v>
      </c>
      <c r="P4938" s="12" t="n"/>
      <c r="Q4938" s="12" t="n"/>
      <c r="R4938" s="12" t="n"/>
      <c r="S4938" s="12" t="inlineStr">
        <is>
          <t>Tray</t>
        </is>
      </c>
      <c r="T4938" s="16" t="n">
        <v>0</v>
      </c>
      <c r="U4938" s="16" t="n">
        <v>64</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I-I-0439</t>
        </is>
      </c>
      <c r="B4939" s="12" t="inlineStr">
        <is>
          <t>I</t>
        </is>
      </c>
      <c r="C4939" s="12" t="inlineStr">
        <is>
          <t>Modular / portable power</t>
        </is>
      </c>
      <c r="D4939" s="12" t="inlineStr">
        <is>
          <t>Thermocouple to TC JB JB-SC-1-TC02: 20 x 1 pr (field cables)</t>
        </is>
      </c>
      <c r="E4939" s="12" t="inlineStr">
        <is>
          <t>SC-1</t>
        </is>
      </c>
      <c r="F4939" s="12" t="inlineStr">
        <is>
          <t>SC-1: aeroderivative simple-cycle unit (LM6000 class)</t>
        </is>
      </c>
      <c r="G4939" s="12" t="inlineStr">
        <is>
          <t>JB-SC-1-TC02</t>
        </is>
      </c>
      <c r="H4939" s="12" t="inlineStr">
        <is>
          <t>SC-1: aeroderivative simple-cycle unit (LM6000 class)</t>
        </is>
      </c>
      <c r="I4939" s="12" t="inlineStr">
        <is>
          <t>Instrumentation</t>
        </is>
      </c>
      <c r="J4939" s="12" t="inlineStr">
        <is>
          <t>Thermocouple extension KX, #16 shielded pairs, PLTC</t>
        </is>
      </c>
      <c r="K4939" s="12" t="inlineStr">
        <is>
          <t>TCX|1 pr|16</t>
        </is>
      </c>
      <c r="L4939" s="12" t="inlineStr">
        <is>
          <t>1 pr</t>
        </is>
      </c>
      <c r="M4939" s="12" t="inlineStr">
        <is>
          <t>16</t>
        </is>
      </c>
      <c r="N4939" s="12" t="n">
        <v>20</v>
      </c>
      <c r="O4939" s="12" t="n">
        <v>1</v>
      </c>
      <c r="P4939" s="12" t="n"/>
      <c r="Q4939" s="12" t="n"/>
      <c r="R4939" s="12" t="n"/>
      <c r="S4939" s="12" t="inlineStr">
        <is>
          <t>Tray / conduit</t>
        </is>
      </c>
      <c r="T4939" s="16" t="n">
        <v>99</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I-I-0440</t>
        </is>
      </c>
      <c r="B4940" s="12" t="inlineStr">
        <is>
          <t>I</t>
        </is>
      </c>
      <c r="C4940" s="12" t="inlineStr">
        <is>
          <t>Modular / portable power</t>
        </is>
      </c>
      <c r="D4940" s="12" t="inlineStr">
        <is>
          <t>Home run JB-SC-1-TC02 to the control / marshalling room</t>
        </is>
      </c>
      <c r="E4940" s="12" t="inlineStr"/>
      <c r="F4940" s="12" t="inlineStr">
        <is>
          <t>SC-1 PCM + 15 kV GCB</t>
        </is>
      </c>
      <c r="G4940" s="12" t="inlineStr">
        <is>
          <t>JB-SC-1-TC02</t>
        </is>
      </c>
      <c r="H4940" s="12" t="inlineStr">
        <is>
          <t>SC-1: aeroderivative simple-cycle unit (LM6000 class)</t>
        </is>
      </c>
      <c r="I4940" s="12" t="inlineStr">
        <is>
          <t>Instrumentation</t>
        </is>
      </c>
      <c r="J4940" s="12" t="inlineStr">
        <is>
          <t>Thermocouple extension KX, #16 shielded pairs, PLTC</t>
        </is>
      </c>
      <c r="K4940" s="12" t="inlineStr">
        <is>
          <t>TCX|24 pr|16</t>
        </is>
      </c>
      <c r="L4940" s="12" t="inlineStr">
        <is>
          <t>24 pr</t>
        </is>
      </c>
      <c r="M4940" s="12" t="inlineStr">
        <is>
          <t>16</t>
        </is>
      </c>
      <c r="N4940" s="12" t="n">
        <v>1</v>
      </c>
      <c r="O4940" s="12" t="n">
        <v>1</v>
      </c>
      <c r="P4940" s="12" t="n"/>
      <c r="Q4940" s="12" t="n"/>
      <c r="R4940" s="12" t="n"/>
      <c r="S4940" s="12" t="inlineStr">
        <is>
          <t>Tray</t>
        </is>
      </c>
      <c r="T4940" s="16" t="n">
        <v>0</v>
      </c>
      <c r="U4940" s="16" t="n">
        <v>64</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I-I-0441</t>
        </is>
      </c>
      <c r="B4941" s="12" t="inlineStr">
        <is>
          <t>I</t>
        </is>
      </c>
      <c r="C4941" s="12" t="inlineStr">
        <is>
          <t>Modular / portable power</t>
        </is>
      </c>
      <c r="D4941" s="12" t="inlineStr">
        <is>
          <t>Analog instrument to JB JB-SC-2 CEMS shelter-AI01: 12 x 1 pr (field cables)</t>
        </is>
      </c>
      <c r="E4941" s="12" t="inlineStr"/>
      <c r="F4941" s="12" t="inlineStr">
        <is>
          <t>SC-2 CEMS shelter</t>
        </is>
      </c>
      <c r="G4941" s="12" t="inlineStr">
        <is>
          <t>JB-SC-2 CEMS shelter-AI01</t>
        </is>
      </c>
      <c r="H4941" s="12" t="inlineStr">
        <is>
          <t>SC-2 CEMS shelter</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12</v>
      </c>
      <c r="O4941" s="12" t="n">
        <v>1</v>
      </c>
      <c r="P4941" s="12" t="n"/>
      <c r="Q4941" s="12" t="n"/>
      <c r="R4941" s="12" t="n"/>
      <c r="S4941" s="12" t="inlineStr">
        <is>
          <t>Tray / conduit</t>
        </is>
      </c>
      <c r="T4941" s="16" t="n">
        <v>57</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I-I-0442</t>
        </is>
      </c>
      <c r="B4942" s="12" t="inlineStr">
        <is>
          <t>I</t>
        </is>
      </c>
      <c r="C4942" s="12" t="inlineStr">
        <is>
          <t>Modular / portable power</t>
        </is>
      </c>
      <c r="D4942" s="12" t="inlineStr">
        <is>
          <t>Home run JB-SC-2 CEMS shelter-AI01 to the control / marshalling room</t>
        </is>
      </c>
      <c r="E4942" s="12" t="inlineStr"/>
      <c r="F4942" s="12" t="inlineStr">
        <is>
          <t>SC-2 PCM + 15 kV GCB</t>
        </is>
      </c>
      <c r="G4942" s="12" t="inlineStr">
        <is>
          <t>JB-SC-2 CEMS shelter-AI01</t>
        </is>
      </c>
      <c r="H4942" s="12" t="inlineStr">
        <is>
          <t>SC-2 CEMS shelter</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Duct bank</t>
        </is>
      </c>
      <c r="T4942" s="16" t="n">
        <v>25</v>
      </c>
      <c r="U4942" s="16" t="n">
        <v>197</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I-I-0443</t>
        </is>
      </c>
      <c r="B4943" s="12" t="inlineStr">
        <is>
          <t>I</t>
        </is>
      </c>
      <c r="C4943" s="12" t="inlineStr">
        <is>
          <t>Modular / portable power</t>
        </is>
      </c>
      <c r="D4943" s="12" t="inlineStr">
        <is>
          <t>Discrete device to JB JB-SC-2 CEMS shelter-DI01: 10 x 1 pr (field cables)</t>
        </is>
      </c>
      <c r="E4943" s="12" t="inlineStr"/>
      <c r="F4943" s="12" t="inlineStr">
        <is>
          <t>SC-2 CEMS shelter</t>
        </is>
      </c>
      <c r="G4943" s="12" t="inlineStr">
        <is>
          <t>JB-SC-2 CEMS shelter-DI01</t>
        </is>
      </c>
      <c r="H4943" s="12" t="inlineStr">
        <is>
          <t>SC-2 CEMS shelter</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10</v>
      </c>
      <c r="O4943" s="12" t="n">
        <v>1</v>
      </c>
      <c r="P4943" s="12" t="n"/>
      <c r="Q4943" s="12" t="n"/>
      <c r="R4943" s="12" t="n"/>
      <c r="S4943" s="12" t="inlineStr">
        <is>
          <t>Tray / conduit</t>
        </is>
      </c>
      <c r="T4943" s="16" t="n">
        <v>57</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I-I-0444</t>
        </is>
      </c>
      <c r="B4944" s="12" t="inlineStr">
        <is>
          <t>I</t>
        </is>
      </c>
      <c r="C4944" s="12" t="inlineStr">
        <is>
          <t>Modular / portable power</t>
        </is>
      </c>
      <c r="D4944" s="12" t="inlineStr">
        <is>
          <t>Home run JB-SC-2 CEMS shelter-DI01 to the control / marshalling room</t>
        </is>
      </c>
      <c r="E4944" s="12" t="inlineStr"/>
      <c r="F4944" s="12" t="inlineStr">
        <is>
          <t>SC-2 PCM + 15 kV GCB</t>
        </is>
      </c>
      <c r="G4944" s="12" t="inlineStr">
        <is>
          <t>JB-SC-2 CEMS shelter-DI01</t>
        </is>
      </c>
      <c r="H4944" s="12" t="inlineStr">
        <is>
          <t>SC-2 CEMS shelter</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Duct bank</t>
        </is>
      </c>
      <c r="T4944" s="16" t="n">
        <v>25</v>
      </c>
      <c r="U4944" s="16" t="n">
        <v>197</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I-I-0445</t>
        </is>
      </c>
      <c r="B4945" s="12" t="inlineStr">
        <is>
          <t>I</t>
        </is>
      </c>
      <c r="C4945" s="12" t="inlineStr">
        <is>
          <t>Modular / portable power</t>
        </is>
      </c>
      <c r="D4945" s="12" t="inlineStr">
        <is>
          <t>Analog instrument to JB JB-SC-2 SCR / CO cata-AI01: 16 x 1 pr (field cables)</t>
        </is>
      </c>
      <c r="E4945" s="12" t="inlineStr"/>
      <c r="F4945" s="12" t="inlineStr">
        <is>
          <t>SC-2 SCR / CO catalyst</t>
        </is>
      </c>
      <c r="G4945" s="12" t="inlineStr">
        <is>
          <t>JB-SC-2 SCR / CO cata-AI01</t>
        </is>
      </c>
      <c r="H4945" s="12" t="inlineStr">
        <is>
          <t>SC-2 SCR / CO catalyst</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16</v>
      </c>
      <c r="O4945" s="12" t="n">
        <v>1</v>
      </c>
      <c r="P4945" s="12" t="n"/>
      <c r="Q4945" s="12" t="n"/>
      <c r="R4945" s="12" t="n"/>
      <c r="S4945" s="12" t="inlineStr">
        <is>
          <t>Tray / conduit</t>
        </is>
      </c>
      <c r="T4945" s="16" t="n">
        <v>74</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I-I-0446</t>
        </is>
      </c>
      <c r="B4946" s="12" t="inlineStr">
        <is>
          <t>I</t>
        </is>
      </c>
      <c r="C4946" s="12" t="inlineStr">
        <is>
          <t>Modular / portable power</t>
        </is>
      </c>
      <c r="D4946" s="12" t="inlineStr">
        <is>
          <t>Home run JB-SC-2 SCR / CO cata-AI01 to the control / marshalling room</t>
        </is>
      </c>
      <c r="E4946" s="12" t="inlineStr"/>
      <c r="F4946" s="12" t="inlineStr">
        <is>
          <t>SC-2 PCM + 15 kV GCB</t>
        </is>
      </c>
      <c r="G4946" s="12" t="inlineStr">
        <is>
          <t>JB-SC-2 SCR / CO cata-AI01</t>
        </is>
      </c>
      <c r="H4946" s="12" t="inlineStr">
        <is>
          <t>SC-2 SCR / CO catalyst</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Duct bank</t>
        </is>
      </c>
      <c r="T4946" s="16" t="n">
        <v>25</v>
      </c>
      <c r="U4946" s="16" t="n">
        <v>122</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I-I-0447</t>
        </is>
      </c>
      <c r="B4947" s="12" t="inlineStr">
        <is>
          <t>I</t>
        </is>
      </c>
      <c r="C4947" s="12" t="inlineStr">
        <is>
          <t>Modular / portable power</t>
        </is>
      </c>
      <c r="D4947" s="12" t="inlineStr">
        <is>
          <t>Discrete device to JB JB-SC-2 SCR / CO cata-DI01: 8 x 1 pr (field cables)</t>
        </is>
      </c>
      <c r="E4947" s="12" t="inlineStr"/>
      <c r="F4947" s="12" t="inlineStr">
        <is>
          <t>SC-2 SCR / CO catalyst</t>
        </is>
      </c>
      <c r="G4947" s="12" t="inlineStr">
        <is>
          <t>JB-SC-2 SCR / CO cata-DI01</t>
        </is>
      </c>
      <c r="H4947" s="12" t="inlineStr">
        <is>
          <t>SC-2 SCR / CO catalyst</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8</v>
      </c>
      <c r="O4947" s="12" t="n">
        <v>1</v>
      </c>
      <c r="P4947" s="12" t="n"/>
      <c r="Q4947" s="12" t="n"/>
      <c r="R4947" s="12" t="n"/>
      <c r="S4947" s="12" t="inlineStr">
        <is>
          <t>Tray / conduit</t>
        </is>
      </c>
      <c r="T4947" s="16" t="n">
        <v>74</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I-I-0448</t>
        </is>
      </c>
      <c r="B4948" s="12" t="inlineStr">
        <is>
          <t>I</t>
        </is>
      </c>
      <c r="C4948" s="12" t="inlineStr">
        <is>
          <t>Modular / portable power</t>
        </is>
      </c>
      <c r="D4948" s="12" t="inlineStr">
        <is>
          <t>Home run JB-SC-2 SCR / CO cata-DI01 to the control / marshalling room</t>
        </is>
      </c>
      <c r="E4948" s="12" t="inlineStr"/>
      <c r="F4948" s="12" t="inlineStr">
        <is>
          <t>SC-2 PCM + 15 kV GCB</t>
        </is>
      </c>
      <c r="G4948" s="12" t="inlineStr">
        <is>
          <t>JB-SC-2 SCR / CO cata-DI01</t>
        </is>
      </c>
      <c r="H4948" s="12" t="inlineStr">
        <is>
          <t>SC-2 SCR / CO catalyst</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6" t="n">
        <v>25</v>
      </c>
      <c r="U4948" s="16" t="n">
        <v>122</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I-I-0449</t>
        </is>
      </c>
      <c r="B4949" s="12" t="inlineStr">
        <is>
          <t>I</t>
        </is>
      </c>
      <c r="C4949" s="12" t="inlineStr">
        <is>
          <t>Modular / portable power</t>
        </is>
      </c>
      <c r="D4949" s="12" t="inlineStr">
        <is>
          <t>Analog instrument to JB JB-SC-2 ammonia flow--AI01: 8 x 1 pr (field cables)</t>
        </is>
      </c>
      <c r="E4949" s="12" t="inlineStr"/>
      <c r="F4949" s="12" t="inlineStr">
        <is>
          <t>SC-2 ammonia flow-control unit</t>
        </is>
      </c>
      <c r="G4949" s="12" t="inlineStr">
        <is>
          <t>JB-SC-2 ammonia flow--AI01</t>
        </is>
      </c>
      <c r="H4949" s="12" t="inlineStr">
        <is>
          <t>SC-2 ammonia flow-control unit</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8</v>
      </c>
      <c r="O4949" s="12" t="n">
        <v>1</v>
      </c>
      <c r="P4949" s="12" t="n"/>
      <c r="Q4949" s="12" t="n"/>
      <c r="R4949" s="12" t="n"/>
      <c r="S4949" s="12" t="inlineStr">
        <is>
          <t>Tray / conduit</t>
        </is>
      </c>
      <c r="T4949" s="16" t="n">
        <v>40</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I-I-0450</t>
        </is>
      </c>
      <c r="B4950" s="12" t="inlineStr">
        <is>
          <t>I</t>
        </is>
      </c>
      <c r="C4950" s="12" t="inlineStr">
        <is>
          <t>Modular / portable power</t>
        </is>
      </c>
      <c r="D4950" s="12" t="inlineStr">
        <is>
          <t>Home run JB-SC-2 ammonia flow--AI01 to the control / marshalling room</t>
        </is>
      </c>
      <c r="E4950" s="12" t="inlineStr"/>
      <c r="F4950" s="12" t="inlineStr">
        <is>
          <t>SC-2 PCM + 15 kV GCB</t>
        </is>
      </c>
      <c r="G4950" s="12" t="inlineStr">
        <is>
          <t>JB-SC-2 ammonia flow--AI01</t>
        </is>
      </c>
      <c r="H4950" s="12" t="inlineStr">
        <is>
          <t>SC-2 ammonia flow-control unit</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152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I-I-0451</t>
        </is>
      </c>
      <c r="B4951" s="12" t="inlineStr">
        <is>
          <t>I</t>
        </is>
      </c>
      <c r="C4951" s="12" t="inlineStr">
        <is>
          <t>Modular / portable power</t>
        </is>
      </c>
      <c r="D4951" s="12" t="inlineStr">
        <is>
          <t>Discrete device to JB JB-SC-2 ammonia flow--DI01: 8 x 1 pr (field cables)</t>
        </is>
      </c>
      <c r="E4951" s="12" t="inlineStr"/>
      <c r="F4951" s="12" t="inlineStr">
        <is>
          <t>SC-2 ammonia flow-control unit</t>
        </is>
      </c>
      <c r="G4951" s="12" t="inlineStr">
        <is>
          <t>JB-SC-2 ammonia flow--DI01</t>
        </is>
      </c>
      <c r="H4951" s="12" t="inlineStr">
        <is>
          <t>SC-2 ammonia flow-control unit</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40</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I-I-0452</t>
        </is>
      </c>
      <c r="B4952" s="12" t="inlineStr">
        <is>
          <t>I</t>
        </is>
      </c>
      <c r="C4952" s="12" t="inlineStr">
        <is>
          <t>Modular / portable power</t>
        </is>
      </c>
      <c r="D4952" s="12" t="inlineStr">
        <is>
          <t>Home run JB-SC-2 ammonia flow--DI01 to the control / marshalling room</t>
        </is>
      </c>
      <c r="E4952" s="12" t="inlineStr"/>
      <c r="F4952" s="12" t="inlineStr">
        <is>
          <t>SC-2 PCM + 15 kV GCB</t>
        </is>
      </c>
      <c r="G4952" s="12" t="inlineStr">
        <is>
          <t>JB-SC-2 ammonia flow--DI01</t>
        </is>
      </c>
      <c r="H4952" s="12" t="inlineStr">
        <is>
          <t>SC-2 ammonia flow-control unit</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152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I-I-0453</t>
        </is>
      </c>
      <c r="B4953" s="12" t="inlineStr">
        <is>
          <t>I</t>
        </is>
      </c>
      <c r="C4953" s="12" t="inlineStr">
        <is>
          <t>Modular / portable power</t>
        </is>
      </c>
      <c r="D4953" s="12" t="inlineStr">
        <is>
          <t>Analog instrument to JB JB-SC-2 auxiliary ski-AI01: 14 x 1 pr (field cables)</t>
        </is>
      </c>
      <c r="E4953" s="12" t="inlineStr"/>
      <c r="F4953" s="12" t="inlineStr">
        <is>
          <t>SC-2 auxiliary skids: fuel-gas module, water-wash skid</t>
        </is>
      </c>
      <c r="G4953" s="12" t="inlineStr">
        <is>
          <t>JB-SC-2 auxiliary ski-AI01</t>
        </is>
      </c>
      <c r="H4953" s="12" t="inlineStr">
        <is>
          <t>SC-2 auxiliary skids: fuel-gas module, water-wash skid</t>
        </is>
      </c>
      <c r="I4953" s="12" t="inlineStr">
        <is>
          <t>Instrumentation</t>
        </is>
      </c>
      <c r="J4953" s="12" t="inlineStr">
        <is>
          <t>Instrumentation ITC / PLTC, IS, #18 shielded pairs, blue jacket</t>
        </is>
      </c>
      <c r="K4953" s="12" t="inlineStr">
        <is>
          <t>ITC|1 pr|16</t>
        </is>
      </c>
      <c r="L4953" s="12" t="inlineStr">
        <is>
          <t>1 pr</t>
        </is>
      </c>
      <c r="M4953" s="12" t="inlineStr">
        <is>
          <t>16</t>
        </is>
      </c>
      <c r="N4953" s="12" t="n">
        <v>14</v>
      </c>
      <c r="O4953" s="12" t="n">
        <v>1</v>
      </c>
      <c r="P4953" s="12" t="n"/>
      <c r="Q4953" s="12" t="n"/>
      <c r="R4953" s="12" t="n"/>
      <c r="S4953" s="12" t="inlineStr">
        <is>
          <t>Tray / conduit</t>
        </is>
      </c>
      <c r="T4953" s="16" t="n">
        <v>63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I-I-0454</t>
        </is>
      </c>
      <c r="B4954" s="12" t="inlineStr">
        <is>
          <t>I</t>
        </is>
      </c>
      <c r="C4954" s="12" t="inlineStr">
        <is>
          <t>Modular / portable power</t>
        </is>
      </c>
      <c r="D4954" s="12" t="inlineStr">
        <is>
          <t>Home run JB-SC-2 auxiliary ski-AI01 to the control / marshalling room</t>
        </is>
      </c>
      <c r="E4954" s="12" t="inlineStr"/>
      <c r="F4954" s="12" t="inlineStr">
        <is>
          <t>SC-2 PCM + 15 kV GCB</t>
        </is>
      </c>
      <c r="G4954" s="12" t="inlineStr">
        <is>
          <t>JB-SC-2 auxiliary ski-AI01</t>
        </is>
      </c>
      <c r="H4954" s="12" t="inlineStr">
        <is>
          <t>SC-2 auxiliary skids: fuel-gas module, water-wash skid</t>
        </is>
      </c>
      <c r="I4954" s="12" t="inlineStr">
        <is>
          <t>Instrumentation</t>
        </is>
      </c>
      <c r="J4954" s="12" t="inlineStr">
        <is>
          <t>Instrumentation ITC / PLTC, IS, #18 shielded pairs, blue jacket</t>
        </is>
      </c>
      <c r="K4954" s="12" t="inlineStr">
        <is>
          <t>ITC|24 pr|18</t>
        </is>
      </c>
      <c r="L4954" s="12" t="inlineStr">
        <is>
          <t>24 pr</t>
        </is>
      </c>
      <c r="M4954" s="12" t="inlineStr">
        <is>
          <t>18</t>
        </is>
      </c>
      <c r="N4954" s="12" t="n">
        <v>1</v>
      </c>
      <c r="O4954" s="12" t="n">
        <v>1</v>
      </c>
      <c r="P4954" s="12" t="n"/>
      <c r="Q4954" s="12" t="n"/>
      <c r="R4954" s="12" t="n"/>
      <c r="S4954" s="12" t="inlineStr">
        <is>
          <t>Tray</t>
        </is>
      </c>
      <c r="T4954" s="16" t="n">
        <v>0</v>
      </c>
      <c r="U4954" s="16" t="n">
        <v>77</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I-I-0455</t>
        </is>
      </c>
      <c r="B4955" s="12" t="inlineStr">
        <is>
          <t>I</t>
        </is>
      </c>
      <c r="C4955" s="12" t="inlineStr">
        <is>
          <t>Modular / portable power</t>
        </is>
      </c>
      <c r="D4955" s="12" t="inlineStr">
        <is>
          <t>Discrete device to JB JB-SC-2 auxiliary ski-DI01: 12 x 1 pr (field cables)</t>
        </is>
      </c>
      <c r="E4955" s="12" t="inlineStr"/>
      <c r="F4955" s="12" t="inlineStr">
        <is>
          <t>SC-2 auxiliary skids: fuel-gas module, water-wash skid</t>
        </is>
      </c>
      <c r="G4955" s="12" t="inlineStr">
        <is>
          <t>JB-SC-2 auxiliary ski-DI01</t>
        </is>
      </c>
      <c r="H4955" s="12" t="inlineStr">
        <is>
          <t>SC-2 auxiliary skids: fuel-gas module, water-wash skid</t>
        </is>
      </c>
      <c r="I4955" s="12" t="inlineStr">
        <is>
          <t>Instrumentation</t>
        </is>
      </c>
      <c r="J4955" s="12" t="inlineStr">
        <is>
          <t>Instrumentation ITC / PLTC, IS, #18 shielded pairs, blue jacket</t>
        </is>
      </c>
      <c r="K4955" s="12" t="inlineStr">
        <is>
          <t>ITC|1 pr|16</t>
        </is>
      </c>
      <c r="L4955" s="12" t="inlineStr">
        <is>
          <t>1 pr</t>
        </is>
      </c>
      <c r="M4955" s="12" t="inlineStr">
        <is>
          <t>16</t>
        </is>
      </c>
      <c r="N4955" s="12" t="n">
        <v>12</v>
      </c>
      <c r="O4955" s="12" t="n">
        <v>1</v>
      </c>
      <c r="P4955" s="12" t="n"/>
      <c r="Q4955" s="12" t="n"/>
      <c r="R4955" s="12" t="n"/>
      <c r="S4955" s="12" t="inlineStr">
        <is>
          <t>Tray / conduit</t>
        </is>
      </c>
      <c r="T4955" s="16" t="n">
        <v>63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I-I-0456</t>
        </is>
      </c>
      <c r="B4956" s="12" t="inlineStr">
        <is>
          <t>I</t>
        </is>
      </c>
      <c r="C4956" s="12" t="inlineStr">
        <is>
          <t>Modular / portable power</t>
        </is>
      </c>
      <c r="D4956" s="12" t="inlineStr">
        <is>
          <t>Home run JB-SC-2 auxiliary ski-DI01 to the control / marshalling room</t>
        </is>
      </c>
      <c r="E4956" s="12" t="inlineStr"/>
      <c r="F4956" s="12" t="inlineStr">
        <is>
          <t>SC-2 PCM + 15 kV GCB</t>
        </is>
      </c>
      <c r="G4956" s="12" t="inlineStr">
        <is>
          <t>JB-SC-2 auxiliary ski-DI01</t>
        </is>
      </c>
      <c r="H4956" s="12" t="inlineStr">
        <is>
          <t>SC-2 auxiliary skids: fuel-gas module, water-wash skid</t>
        </is>
      </c>
      <c r="I4956" s="12" t="inlineStr">
        <is>
          <t>Instrumentation</t>
        </is>
      </c>
      <c r="J4956" s="12" t="inlineStr">
        <is>
          <t>Instrumentation ITC / PLTC, IS, #18 shielded pairs, blue jacket</t>
        </is>
      </c>
      <c r="K4956" s="12" t="inlineStr">
        <is>
          <t>ITC|24 pr|18</t>
        </is>
      </c>
      <c r="L4956" s="12" t="inlineStr">
        <is>
          <t>24 pr</t>
        </is>
      </c>
      <c r="M4956" s="12" t="inlineStr">
        <is>
          <t>18</t>
        </is>
      </c>
      <c r="N4956" s="12" t="n">
        <v>1</v>
      </c>
      <c r="O4956" s="12" t="n">
        <v>1</v>
      </c>
      <c r="P4956" s="12" t="n"/>
      <c r="Q4956" s="12" t="n"/>
      <c r="R4956" s="12" t="n"/>
      <c r="S4956" s="12" t="inlineStr">
        <is>
          <t>Tray</t>
        </is>
      </c>
      <c r="T4956" s="16" t="n">
        <v>0</v>
      </c>
      <c r="U4956" s="16" t="n">
        <v>77</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I-I-0457</t>
        </is>
      </c>
      <c r="B4957" s="12" t="inlineStr">
        <is>
          <t>I</t>
        </is>
      </c>
      <c r="C4957" s="12" t="inlineStr">
        <is>
          <t>Modular / portable power</t>
        </is>
      </c>
      <c r="D4957" s="12" t="inlineStr">
        <is>
          <t>Analog instrument to JB JB-SC-2 lube-oil fin--AI01: 4 x 1 pr (field cables)</t>
        </is>
      </c>
      <c r="E4957" s="12" t="inlineStr"/>
      <c r="F4957" s="12" t="inlineStr">
        <is>
          <t>SC-2 lube-oil fin-fan cooler</t>
        </is>
      </c>
      <c r="G4957" s="12" t="inlineStr">
        <is>
          <t>JB-SC-2 lube-oil fin--AI01</t>
        </is>
      </c>
      <c r="H4957" s="12" t="inlineStr">
        <is>
          <t>SC-2 lube-oil fin-fan cooler</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4</v>
      </c>
      <c r="O4957" s="12" t="n">
        <v>1</v>
      </c>
      <c r="P4957" s="12" t="n"/>
      <c r="Q4957" s="12" t="n"/>
      <c r="R4957" s="12" t="n"/>
      <c r="S4957" s="12" t="inlineStr">
        <is>
          <t>Tray / conduit</t>
        </is>
      </c>
      <c r="T4957" s="16" t="n">
        <v>46</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I-I-0458</t>
        </is>
      </c>
      <c r="B4958" s="12" t="inlineStr">
        <is>
          <t>I</t>
        </is>
      </c>
      <c r="C4958" s="12" t="inlineStr">
        <is>
          <t>Modular / portable power</t>
        </is>
      </c>
      <c r="D4958" s="12" t="inlineStr">
        <is>
          <t>Home run JB-SC-2 lube-oil fin--AI01 to the control / marshalling room</t>
        </is>
      </c>
      <c r="E4958" s="12" t="inlineStr"/>
      <c r="F4958" s="12" t="inlineStr">
        <is>
          <t>SC-2 PCM + 15 kV GCB</t>
        </is>
      </c>
      <c r="G4958" s="12" t="inlineStr">
        <is>
          <t>JB-SC-2 lube-oil fin--AI01</t>
        </is>
      </c>
      <c r="H4958" s="12" t="inlineStr">
        <is>
          <t>SC-2 lube-oil fin-fan cooler</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Tray</t>
        </is>
      </c>
      <c r="T4958" s="16" t="n">
        <v>0</v>
      </c>
      <c r="U4958" s="16" t="n">
        <v>82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I-I-0459</t>
        </is>
      </c>
      <c r="B4959" s="12" t="inlineStr">
        <is>
          <t>I</t>
        </is>
      </c>
      <c r="C4959" s="12" t="inlineStr">
        <is>
          <t>Modular / portable power</t>
        </is>
      </c>
      <c r="D4959" s="12" t="inlineStr">
        <is>
          <t>Discrete device to JB JB-SC-2 lube-oil fin--DI01: 8 x 1 pr (field cables)</t>
        </is>
      </c>
      <c r="E4959" s="12" t="inlineStr"/>
      <c r="F4959" s="12" t="inlineStr">
        <is>
          <t>SC-2 lube-oil fin-fan cooler</t>
        </is>
      </c>
      <c r="G4959" s="12" t="inlineStr">
        <is>
          <t>JB-SC-2 lube-oil fin--DI01</t>
        </is>
      </c>
      <c r="H4959" s="12" t="inlineStr">
        <is>
          <t>SC-2 lube-oil fin-fan cooler</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8</v>
      </c>
      <c r="O4959" s="12" t="n">
        <v>1</v>
      </c>
      <c r="P4959" s="12" t="n"/>
      <c r="Q4959" s="12" t="n"/>
      <c r="R4959" s="12" t="n"/>
      <c r="S4959" s="12" t="inlineStr">
        <is>
          <t>Tray / conduit</t>
        </is>
      </c>
      <c r="T4959" s="16" t="n">
        <v>46</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I-I-0460</t>
        </is>
      </c>
      <c r="B4960" s="12" t="inlineStr">
        <is>
          <t>I</t>
        </is>
      </c>
      <c r="C4960" s="12" t="inlineStr">
        <is>
          <t>Modular / portable power</t>
        </is>
      </c>
      <c r="D4960" s="12" t="inlineStr">
        <is>
          <t>Home run JB-SC-2 lube-oil fin--DI01 to the control / marshalling room</t>
        </is>
      </c>
      <c r="E4960" s="12" t="inlineStr"/>
      <c r="F4960" s="12" t="inlineStr">
        <is>
          <t>SC-2 PCM + 15 kV GCB</t>
        </is>
      </c>
      <c r="G4960" s="12" t="inlineStr">
        <is>
          <t>JB-SC-2 lube-oil fin--DI01</t>
        </is>
      </c>
      <c r="H4960" s="12" t="inlineStr">
        <is>
          <t>SC-2 lube-oil fin-fan cooler</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Tray</t>
        </is>
      </c>
      <c r="T4960" s="16" t="n">
        <v>0</v>
      </c>
      <c r="U4960" s="16" t="n">
        <v>82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I-I-0461</t>
        </is>
      </c>
      <c r="B4961" s="12" t="inlineStr">
        <is>
          <t>I</t>
        </is>
      </c>
      <c r="C4961" s="12" t="inlineStr">
        <is>
          <t>Modular / portable power</t>
        </is>
      </c>
      <c r="D4961" s="12" t="inlineStr">
        <is>
          <t>Analog instrument to JB JB-SC-2 tempering-air-AI01: 8 x 1 pr (field cables)</t>
        </is>
      </c>
      <c r="E4961" s="12" t="inlineStr"/>
      <c r="F4961" s="12" t="inlineStr">
        <is>
          <t>SC-2 tempering-air fans (2 x 100 %)</t>
        </is>
      </c>
      <c r="G4961" s="12" t="inlineStr">
        <is>
          <t>JB-SC-2 tempering-air-AI01</t>
        </is>
      </c>
      <c r="H4961" s="12" t="inlineStr">
        <is>
          <t>SC-2 tempering-air fans (2 x 100 %)</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8</v>
      </c>
      <c r="O4961" s="12" t="n">
        <v>1</v>
      </c>
      <c r="P4961" s="12" t="n"/>
      <c r="Q4961" s="12" t="n"/>
      <c r="R4961" s="12" t="n"/>
      <c r="S4961" s="12" t="inlineStr">
        <is>
          <t>Tray / conduit</t>
        </is>
      </c>
      <c r="T4961" s="16" t="n">
        <v>53</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I-I-0462</t>
        </is>
      </c>
      <c r="B4962" s="12" t="inlineStr">
        <is>
          <t>I</t>
        </is>
      </c>
      <c r="C4962" s="12" t="inlineStr">
        <is>
          <t>Modular / portable power</t>
        </is>
      </c>
      <c r="D4962" s="12" t="inlineStr">
        <is>
          <t>Home run JB-SC-2 tempering-air-AI01 to the control / marshalling room</t>
        </is>
      </c>
      <c r="E4962" s="12" t="inlineStr"/>
      <c r="F4962" s="12" t="inlineStr">
        <is>
          <t>SC-2 PCM + 15 kV GCB</t>
        </is>
      </c>
      <c r="G4962" s="12" t="inlineStr">
        <is>
          <t>JB-SC-2 tempering-air-AI01</t>
        </is>
      </c>
      <c r="H4962" s="12" t="inlineStr">
        <is>
          <t>SC-2 tempering-air fans (2 x 100 %)</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124</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I-I-0463</t>
        </is>
      </c>
      <c r="B4963" s="12" t="inlineStr">
        <is>
          <t>I</t>
        </is>
      </c>
      <c r="C4963" s="12" t="inlineStr">
        <is>
          <t>Modular / portable power</t>
        </is>
      </c>
      <c r="D4963" s="12" t="inlineStr">
        <is>
          <t>Discrete device to JB JB-SC-2 tempering-air-DI01: 8 x 1 pr (field cables)</t>
        </is>
      </c>
      <c r="E4963" s="12" t="inlineStr"/>
      <c r="F4963" s="12" t="inlineStr">
        <is>
          <t>SC-2 tempering-air fans (2 x 100 %)</t>
        </is>
      </c>
      <c r="G4963" s="12" t="inlineStr">
        <is>
          <t>JB-SC-2 tempering-air-DI01</t>
        </is>
      </c>
      <c r="H4963" s="12" t="inlineStr">
        <is>
          <t>SC-2 tempering-air fans (2 x 100 %)</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8</v>
      </c>
      <c r="O4963" s="12" t="n">
        <v>1</v>
      </c>
      <c r="P4963" s="12" t="n"/>
      <c r="Q4963" s="12" t="n"/>
      <c r="R4963" s="12" t="n"/>
      <c r="S4963" s="12" t="inlineStr">
        <is>
          <t>Tray / conduit</t>
        </is>
      </c>
      <c r="T4963" s="16" t="n">
        <v>53</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I-I-0464</t>
        </is>
      </c>
      <c r="B4964" s="12" t="inlineStr">
        <is>
          <t>I</t>
        </is>
      </c>
      <c r="C4964" s="12" t="inlineStr">
        <is>
          <t>Modular / portable power</t>
        </is>
      </c>
      <c r="D4964" s="12" t="inlineStr">
        <is>
          <t>Home run JB-SC-2 tempering-air-DI01 to the control / marshalling room</t>
        </is>
      </c>
      <c r="E4964" s="12" t="inlineStr"/>
      <c r="F4964" s="12" t="inlineStr">
        <is>
          <t>SC-2 PCM + 15 kV GCB</t>
        </is>
      </c>
      <c r="G4964" s="12" t="inlineStr">
        <is>
          <t>JB-SC-2 tempering-air-DI01</t>
        </is>
      </c>
      <c r="H4964" s="12" t="inlineStr">
        <is>
          <t>SC-2 tempering-air fans (2 x 100 %)</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124</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I-I-0465</t>
        </is>
      </c>
      <c r="B4965" s="12" t="inlineStr">
        <is>
          <t>I</t>
        </is>
      </c>
      <c r="C4965" s="12" t="inlineStr">
        <is>
          <t>Modular / portable power</t>
        </is>
      </c>
      <c r="D4965" s="12" t="inlineStr">
        <is>
          <t>Analog instrument to JB JB-SC-2-AI01: 20 x 1 pr (field cables)</t>
        </is>
      </c>
      <c r="E4965" s="12" t="inlineStr">
        <is>
          <t>SC-2</t>
        </is>
      </c>
      <c r="F4965" s="12" t="inlineStr">
        <is>
          <t>SC-2: aeroderivative simple-cycle unit (LM6000 class)</t>
        </is>
      </c>
      <c r="G4965" s="12" t="inlineStr">
        <is>
          <t>JB-SC-2-AI01</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I-I-0466</t>
        </is>
      </c>
      <c r="B4966" s="12" t="inlineStr">
        <is>
          <t>I</t>
        </is>
      </c>
      <c r="C4966" s="12" t="inlineStr">
        <is>
          <t>Modular / portable power</t>
        </is>
      </c>
      <c r="D4966" s="12" t="inlineStr">
        <is>
          <t>Home run JB-SC-2-AI01 to the control / marshalling room</t>
        </is>
      </c>
      <c r="E4966" s="12" t="inlineStr"/>
      <c r="F4966" s="12" t="inlineStr">
        <is>
          <t>SC-2 PCM + 15 kV GCB</t>
        </is>
      </c>
      <c r="G4966" s="12" t="inlineStr">
        <is>
          <t>JB-SC-2-AI01</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I-I-0467</t>
        </is>
      </c>
      <c r="B4967" s="12" t="inlineStr">
        <is>
          <t>I</t>
        </is>
      </c>
      <c r="C4967" s="12" t="inlineStr">
        <is>
          <t>Modular / portable power</t>
        </is>
      </c>
      <c r="D4967" s="12" t="inlineStr">
        <is>
          <t>Analog instrument to JB JB-SC-2-AI02: 20 x 1 pr (field cables)</t>
        </is>
      </c>
      <c r="E4967" s="12" t="inlineStr">
        <is>
          <t>SC-2</t>
        </is>
      </c>
      <c r="F4967" s="12" t="inlineStr">
        <is>
          <t>SC-2: aeroderivative simple-cycle unit (LM6000 class)</t>
        </is>
      </c>
      <c r="G4967" s="12" t="inlineStr">
        <is>
          <t>JB-SC-2-AI02</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I-I-0468</t>
        </is>
      </c>
      <c r="B4968" s="12" t="inlineStr">
        <is>
          <t>I</t>
        </is>
      </c>
      <c r="C4968" s="12" t="inlineStr">
        <is>
          <t>Modular / portable power</t>
        </is>
      </c>
      <c r="D4968" s="12" t="inlineStr">
        <is>
          <t>Home run JB-SC-2-AI02 to the control / marshalling room</t>
        </is>
      </c>
      <c r="E4968" s="12" t="inlineStr"/>
      <c r="F4968" s="12" t="inlineStr">
        <is>
          <t>SC-2 PCM + 15 kV GCB</t>
        </is>
      </c>
      <c r="G4968" s="12" t="inlineStr">
        <is>
          <t>JB-SC-2-AI02</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I-I-0469</t>
        </is>
      </c>
      <c r="B4969" s="12" t="inlineStr">
        <is>
          <t>I</t>
        </is>
      </c>
      <c r="C4969" s="12" t="inlineStr">
        <is>
          <t>Modular / portable power</t>
        </is>
      </c>
      <c r="D4969" s="12" t="inlineStr">
        <is>
          <t>Analog instrument to JB JB-SC-2-AI03: 20 x 1 pr (field cables)</t>
        </is>
      </c>
      <c r="E4969" s="12" t="inlineStr">
        <is>
          <t>SC-2</t>
        </is>
      </c>
      <c r="F4969" s="12" t="inlineStr">
        <is>
          <t>SC-2: aeroderivative simple-cycle unit (LM6000 class)</t>
        </is>
      </c>
      <c r="G4969" s="12" t="inlineStr">
        <is>
          <t>JB-SC-2-AI03</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I-I-0470</t>
        </is>
      </c>
      <c r="B4970" s="12" t="inlineStr">
        <is>
          <t>I</t>
        </is>
      </c>
      <c r="C4970" s="12" t="inlineStr">
        <is>
          <t>Modular / portable power</t>
        </is>
      </c>
      <c r="D4970" s="12" t="inlineStr">
        <is>
          <t>Home run JB-SC-2-AI03 to the control / marshalling room</t>
        </is>
      </c>
      <c r="E4970" s="12" t="inlineStr"/>
      <c r="F4970" s="12" t="inlineStr">
        <is>
          <t>SC-2 PCM + 15 kV GCB</t>
        </is>
      </c>
      <c r="G4970" s="12" t="inlineStr">
        <is>
          <t>JB-SC-2-AI03</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I-I-0471</t>
        </is>
      </c>
      <c r="B4971" s="12" t="inlineStr">
        <is>
          <t>I</t>
        </is>
      </c>
      <c r="C4971" s="12" t="inlineStr">
        <is>
          <t>Modular / portable power</t>
        </is>
      </c>
      <c r="D4971" s="12" t="inlineStr">
        <is>
          <t>Analog instrument to JB JB-SC-2-AI04: 20 x 1 pr (field cables)</t>
        </is>
      </c>
      <c r="E4971" s="12" t="inlineStr">
        <is>
          <t>SC-2</t>
        </is>
      </c>
      <c r="F4971" s="12" t="inlineStr">
        <is>
          <t>SC-2: aeroderivative simple-cycle unit (LM6000 class)</t>
        </is>
      </c>
      <c r="G4971" s="12" t="inlineStr">
        <is>
          <t>JB-SC-2-AI04</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I-I-0472</t>
        </is>
      </c>
      <c r="B4972" s="12" t="inlineStr">
        <is>
          <t>I</t>
        </is>
      </c>
      <c r="C4972" s="12" t="inlineStr">
        <is>
          <t>Modular / portable power</t>
        </is>
      </c>
      <c r="D4972" s="12" t="inlineStr">
        <is>
          <t>Home run JB-SC-2-AI04 to the control / marshalling room</t>
        </is>
      </c>
      <c r="E4972" s="12" t="inlineStr"/>
      <c r="F4972" s="12" t="inlineStr">
        <is>
          <t>SC-2 PCM + 15 kV GCB</t>
        </is>
      </c>
      <c r="G4972" s="12" t="inlineStr">
        <is>
          <t>JB-SC-2-AI04</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I-I-0473</t>
        </is>
      </c>
      <c r="B4973" s="12" t="inlineStr">
        <is>
          <t>I</t>
        </is>
      </c>
      <c r="C4973" s="12" t="inlineStr">
        <is>
          <t>Modular / portable power</t>
        </is>
      </c>
      <c r="D4973" s="12" t="inlineStr">
        <is>
          <t>Analog instrument to JB JB-SC-2-AI05: 20 x 1 pr (field cables)</t>
        </is>
      </c>
      <c r="E4973" s="12" t="inlineStr">
        <is>
          <t>SC-2</t>
        </is>
      </c>
      <c r="F4973" s="12" t="inlineStr">
        <is>
          <t>SC-2: aeroderivative simple-cycle unit (LM6000 class)</t>
        </is>
      </c>
      <c r="G4973" s="12" t="inlineStr">
        <is>
          <t>JB-SC-2-AI05</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I-I-0474</t>
        </is>
      </c>
      <c r="B4974" s="12" t="inlineStr">
        <is>
          <t>I</t>
        </is>
      </c>
      <c r="C4974" s="12" t="inlineStr">
        <is>
          <t>Modular / portable power</t>
        </is>
      </c>
      <c r="D4974" s="12" t="inlineStr">
        <is>
          <t>Home run JB-SC-2-AI05 to the control / marshalling room</t>
        </is>
      </c>
      <c r="E4974" s="12" t="inlineStr"/>
      <c r="F4974" s="12" t="inlineStr">
        <is>
          <t>SC-2 PCM + 15 kV GCB</t>
        </is>
      </c>
      <c r="G4974" s="12" t="inlineStr">
        <is>
          <t>JB-SC-2-AI05</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I-I-0475</t>
        </is>
      </c>
      <c r="B4975" s="12" t="inlineStr">
        <is>
          <t>I</t>
        </is>
      </c>
      <c r="C4975" s="12" t="inlineStr">
        <is>
          <t>Modular / portable power</t>
        </is>
      </c>
      <c r="D4975" s="12" t="inlineStr">
        <is>
          <t>Analog instrument to JB JB-SC-2-AI06: 20 x 1 pr (field cables)</t>
        </is>
      </c>
      <c r="E4975" s="12" t="inlineStr">
        <is>
          <t>SC-2</t>
        </is>
      </c>
      <c r="F4975" s="12" t="inlineStr">
        <is>
          <t>SC-2: aeroderivative simple-cycle unit (LM6000 class)</t>
        </is>
      </c>
      <c r="G4975" s="12" t="inlineStr">
        <is>
          <t>JB-SC-2-AI06</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I-I-0476</t>
        </is>
      </c>
      <c r="B4976" s="12" t="inlineStr">
        <is>
          <t>I</t>
        </is>
      </c>
      <c r="C4976" s="12" t="inlineStr">
        <is>
          <t>Modular / portable power</t>
        </is>
      </c>
      <c r="D4976" s="12" t="inlineStr">
        <is>
          <t>Home run JB-SC-2-AI06 to the control / marshalling room</t>
        </is>
      </c>
      <c r="E4976" s="12" t="inlineStr"/>
      <c r="F4976" s="12" t="inlineStr">
        <is>
          <t>SC-2 PCM + 15 kV GCB</t>
        </is>
      </c>
      <c r="G4976" s="12" t="inlineStr">
        <is>
          <t>JB-SC-2-AI06</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I-I-0477</t>
        </is>
      </c>
      <c r="B4977" s="12" t="inlineStr">
        <is>
          <t>I</t>
        </is>
      </c>
      <c r="C4977" s="12" t="inlineStr">
        <is>
          <t>Modular / portable power</t>
        </is>
      </c>
      <c r="D4977" s="12" t="inlineStr">
        <is>
          <t>Analog instrument to JB JB-SC-2-AI07: 20 x 1 pr (field cables)</t>
        </is>
      </c>
      <c r="E4977" s="12" t="inlineStr">
        <is>
          <t>SC-2</t>
        </is>
      </c>
      <c r="F4977" s="12" t="inlineStr">
        <is>
          <t>SC-2: aeroderivative simple-cycle unit (LM6000 class)</t>
        </is>
      </c>
      <c r="G4977" s="12" t="inlineStr">
        <is>
          <t>JB-SC-2-AI07</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I-I-0478</t>
        </is>
      </c>
      <c r="B4978" s="12" t="inlineStr">
        <is>
          <t>I</t>
        </is>
      </c>
      <c r="C4978" s="12" t="inlineStr">
        <is>
          <t>Modular / portable power</t>
        </is>
      </c>
      <c r="D4978" s="12" t="inlineStr">
        <is>
          <t>Home run JB-SC-2-AI07 to the control / marshalling room</t>
        </is>
      </c>
      <c r="E4978" s="12" t="inlineStr"/>
      <c r="F4978" s="12" t="inlineStr">
        <is>
          <t>SC-2 PCM + 15 kV GCB</t>
        </is>
      </c>
      <c r="G4978" s="12" t="inlineStr">
        <is>
          <t>JB-SC-2-AI07</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I-I-0479</t>
        </is>
      </c>
      <c r="B4979" s="12" t="inlineStr">
        <is>
          <t>I</t>
        </is>
      </c>
      <c r="C4979" s="12" t="inlineStr">
        <is>
          <t>Modular / portable power</t>
        </is>
      </c>
      <c r="D4979" s="12" t="inlineStr">
        <is>
          <t>Analog instrument to JB JB-SC-2-AI08: 10 x 1 pr (field cables)</t>
        </is>
      </c>
      <c r="E4979" s="12" t="inlineStr">
        <is>
          <t>SC-2</t>
        </is>
      </c>
      <c r="F4979" s="12" t="inlineStr">
        <is>
          <t>SC-2: aeroderivative simple-cycle unit (LM6000 class)</t>
        </is>
      </c>
      <c r="G4979" s="12" t="inlineStr">
        <is>
          <t>JB-SC-2-AI08</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10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I-I-0480</t>
        </is>
      </c>
      <c r="B4980" s="12" t="inlineStr">
        <is>
          <t>I</t>
        </is>
      </c>
      <c r="C4980" s="12" t="inlineStr">
        <is>
          <t>Modular / portable power</t>
        </is>
      </c>
      <c r="D4980" s="12" t="inlineStr">
        <is>
          <t>Home run JB-SC-2-AI08 to the control / marshalling room</t>
        </is>
      </c>
      <c r="E4980" s="12" t="inlineStr"/>
      <c r="F4980" s="12" t="inlineStr">
        <is>
          <t>SC-2 PCM + 15 kV GCB</t>
        </is>
      </c>
      <c r="G4980" s="12" t="inlineStr">
        <is>
          <t>JB-SC-2-AI08</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I-I-0481</t>
        </is>
      </c>
      <c r="B4981" s="12" t="inlineStr">
        <is>
          <t>I</t>
        </is>
      </c>
      <c r="C4981" s="12" t="inlineStr">
        <is>
          <t>Modular / portable power</t>
        </is>
      </c>
      <c r="D4981" s="12" t="inlineStr">
        <is>
          <t>Discrete device to JB JB-SC-2-DI01: 20 x 1 pr (field cables)</t>
        </is>
      </c>
      <c r="E4981" s="12" t="inlineStr">
        <is>
          <t>SC-2</t>
        </is>
      </c>
      <c r="F4981" s="12" t="inlineStr">
        <is>
          <t>SC-2: aeroderivative simple-cycle unit (LM6000 class)</t>
        </is>
      </c>
      <c r="G4981" s="12" t="inlineStr">
        <is>
          <t>JB-SC-2-DI01</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I-I-0482</t>
        </is>
      </c>
      <c r="B4982" s="12" t="inlineStr">
        <is>
          <t>I</t>
        </is>
      </c>
      <c r="C4982" s="12" t="inlineStr">
        <is>
          <t>Modular / portable power</t>
        </is>
      </c>
      <c r="D4982" s="12" t="inlineStr">
        <is>
          <t>Home run JB-SC-2-DI01 to the control / marshalling room</t>
        </is>
      </c>
      <c r="E4982" s="12" t="inlineStr"/>
      <c r="F4982" s="12" t="inlineStr">
        <is>
          <t>SC-2 PCM + 15 kV GCB</t>
        </is>
      </c>
      <c r="G4982" s="12" t="inlineStr">
        <is>
          <t>JB-SC-2-DI01</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I-I-0483</t>
        </is>
      </c>
      <c r="B4983" s="12" t="inlineStr">
        <is>
          <t>I</t>
        </is>
      </c>
      <c r="C4983" s="12" t="inlineStr">
        <is>
          <t>Modular / portable power</t>
        </is>
      </c>
      <c r="D4983" s="12" t="inlineStr">
        <is>
          <t>Discrete device to JB JB-SC-2-DI02: 20 x 1 pr (field cables)</t>
        </is>
      </c>
      <c r="E4983" s="12" t="inlineStr">
        <is>
          <t>SC-2</t>
        </is>
      </c>
      <c r="F4983" s="12" t="inlineStr">
        <is>
          <t>SC-2: aeroderivative simple-cycle unit (LM6000 class)</t>
        </is>
      </c>
      <c r="G4983" s="12" t="inlineStr">
        <is>
          <t>JB-SC-2-DI02</t>
        </is>
      </c>
      <c r="H4983" s="12" t="inlineStr">
        <is>
          <t>SC-2: aeroderivative simple-cycle unit (LM6000 class)</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I-I-0484</t>
        </is>
      </c>
      <c r="B4984" s="12" t="inlineStr">
        <is>
          <t>I</t>
        </is>
      </c>
      <c r="C4984" s="12" t="inlineStr">
        <is>
          <t>Modular / portable power</t>
        </is>
      </c>
      <c r="D4984" s="12" t="inlineStr">
        <is>
          <t>Home run JB-SC-2-DI02 to the control / marshalling room</t>
        </is>
      </c>
      <c r="E4984" s="12" t="inlineStr"/>
      <c r="F4984" s="12" t="inlineStr">
        <is>
          <t>SC-2 PCM + 15 kV GCB</t>
        </is>
      </c>
      <c r="G4984" s="12" t="inlineStr">
        <is>
          <t>JB-SC-2-DI02</t>
        </is>
      </c>
      <c r="H4984" s="12" t="inlineStr">
        <is>
          <t>SC-2: aeroderivative simple-cycle unit (LM6000 class)</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I-I-0485</t>
        </is>
      </c>
      <c r="B4985" s="12" t="inlineStr">
        <is>
          <t>I</t>
        </is>
      </c>
      <c r="C4985" s="12" t="inlineStr">
        <is>
          <t>Modular / portable power</t>
        </is>
      </c>
      <c r="D4985" s="12" t="inlineStr">
        <is>
          <t>Discrete device to JB JB-SC-2-DI03: 20 x 1 pr (field cables)</t>
        </is>
      </c>
      <c r="E4985" s="12" t="inlineStr">
        <is>
          <t>SC-2</t>
        </is>
      </c>
      <c r="F4985" s="12" t="inlineStr">
        <is>
          <t>SC-2: aeroderivative simple-cycle unit (LM6000 class)</t>
        </is>
      </c>
      <c r="G4985" s="12" t="inlineStr">
        <is>
          <t>JB-SC-2-DI03</t>
        </is>
      </c>
      <c r="H4985" s="12" t="inlineStr">
        <is>
          <t>SC-2: aeroderivative simple-cycle unit (LM6000 class)</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I-I-0486</t>
        </is>
      </c>
      <c r="B4986" s="12" t="inlineStr">
        <is>
          <t>I</t>
        </is>
      </c>
      <c r="C4986" s="12" t="inlineStr">
        <is>
          <t>Modular / portable power</t>
        </is>
      </c>
      <c r="D4986" s="12" t="inlineStr">
        <is>
          <t>Home run JB-SC-2-DI03 to the control / marshalling room</t>
        </is>
      </c>
      <c r="E4986" s="12" t="inlineStr"/>
      <c r="F4986" s="12" t="inlineStr">
        <is>
          <t>SC-2 PCM + 15 kV GCB</t>
        </is>
      </c>
      <c r="G4986" s="12" t="inlineStr">
        <is>
          <t>JB-SC-2-DI03</t>
        </is>
      </c>
      <c r="H4986" s="12" t="inlineStr">
        <is>
          <t>SC-2: aeroderivative simple-cycle unit (LM6000 class)</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I-I-0487</t>
        </is>
      </c>
      <c r="B4987" s="12" t="inlineStr">
        <is>
          <t>I</t>
        </is>
      </c>
      <c r="C4987" s="12" t="inlineStr">
        <is>
          <t>Modular / portable power</t>
        </is>
      </c>
      <c r="D4987" s="12" t="inlineStr">
        <is>
          <t>Discrete device to JB JB-SC-2-DI04: 20 x 1 pr (field cables)</t>
        </is>
      </c>
      <c r="E4987" s="12" t="inlineStr">
        <is>
          <t>SC-2</t>
        </is>
      </c>
      <c r="F4987" s="12" t="inlineStr">
        <is>
          <t>SC-2: aeroderivative simple-cycle unit (LM6000 class)</t>
        </is>
      </c>
      <c r="G4987" s="12" t="inlineStr">
        <is>
          <t>JB-SC-2-DI04</t>
        </is>
      </c>
      <c r="H4987" s="12" t="inlineStr">
        <is>
          <t>SC-2: aeroderivative simple-cycle unit (LM6000 class)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6" t="n">
        <v>99</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I-I-0488</t>
        </is>
      </c>
      <c r="B4988" s="12" t="inlineStr">
        <is>
          <t>I</t>
        </is>
      </c>
      <c r="C4988" s="12" t="inlineStr">
        <is>
          <t>Modular / portable power</t>
        </is>
      </c>
      <c r="D4988" s="12" t="inlineStr">
        <is>
          <t>Home run JB-SC-2-DI04 to the control / marshalling room</t>
        </is>
      </c>
      <c r="E4988" s="12" t="inlineStr"/>
      <c r="F4988" s="12" t="inlineStr">
        <is>
          <t>SC-2 PCM + 15 kV GCB</t>
        </is>
      </c>
      <c r="G4988" s="12" t="inlineStr">
        <is>
          <t>JB-SC-2-DI04</t>
        </is>
      </c>
      <c r="H4988" s="12" t="inlineStr">
        <is>
          <t>SC-2: aeroderivative simple-cycle unit (LM6000 class)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6" t="n">
        <v>25</v>
      </c>
      <c r="U4988" s="16" t="n">
        <v>32</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I-I-0489</t>
        </is>
      </c>
      <c r="B4989" s="12" t="inlineStr">
        <is>
          <t>I</t>
        </is>
      </c>
      <c r="C4989" s="12" t="inlineStr">
        <is>
          <t>Modular / portable power</t>
        </is>
      </c>
      <c r="D4989" s="12" t="inlineStr">
        <is>
          <t>Discrete device to JB JB-SC-2-DI05: 20 x 1 pr (field cables)</t>
        </is>
      </c>
      <c r="E4989" s="12" t="inlineStr">
        <is>
          <t>SC-2</t>
        </is>
      </c>
      <c r="F4989" s="12" t="inlineStr">
        <is>
          <t>SC-2: aeroderivative simple-cycle unit (LM6000 class)</t>
        </is>
      </c>
      <c r="G4989" s="12" t="inlineStr">
        <is>
          <t>JB-SC-2-DI05</t>
        </is>
      </c>
      <c r="H4989" s="12" t="inlineStr">
        <is>
          <t>SC-2: aeroderivative simple-cycle unit (LM6000 class)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6" t="n">
        <v>99</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I-I-0490</t>
        </is>
      </c>
      <c r="B4990" s="12" t="inlineStr">
        <is>
          <t>I</t>
        </is>
      </c>
      <c r="C4990" s="12" t="inlineStr">
        <is>
          <t>Modular / portable power</t>
        </is>
      </c>
      <c r="D4990" s="12" t="inlineStr">
        <is>
          <t>Home run JB-SC-2-DI05 to the control / marshalling room</t>
        </is>
      </c>
      <c r="E4990" s="12" t="inlineStr"/>
      <c r="F4990" s="12" t="inlineStr">
        <is>
          <t>SC-2 PCM + 15 kV GCB</t>
        </is>
      </c>
      <c r="G4990" s="12" t="inlineStr">
        <is>
          <t>JB-SC-2-DI05</t>
        </is>
      </c>
      <c r="H4990" s="12" t="inlineStr">
        <is>
          <t>SC-2: aeroderivative simple-cycle unit (LM6000 class)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6" t="n">
        <v>25</v>
      </c>
      <c r="U4990" s="16" t="n">
        <v>32</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I-I-0491</t>
        </is>
      </c>
      <c r="B4991" s="12" t="inlineStr">
        <is>
          <t>I</t>
        </is>
      </c>
      <c r="C4991" s="12" t="inlineStr">
        <is>
          <t>Modular / portable power</t>
        </is>
      </c>
      <c r="D4991" s="12" t="inlineStr">
        <is>
          <t>Thermocouple to TC JB JB-SC-2-TC01: 20 x 1 pr (field cables)</t>
        </is>
      </c>
      <c r="E4991" s="12" t="inlineStr">
        <is>
          <t>SC-2</t>
        </is>
      </c>
      <c r="F4991" s="12" t="inlineStr">
        <is>
          <t>SC-2: aeroderivative simple-cycle unit (LM6000 class)</t>
        </is>
      </c>
      <c r="G4991" s="12" t="inlineStr">
        <is>
          <t>JB-SC-2-TC01</t>
        </is>
      </c>
      <c r="H4991" s="12" t="inlineStr">
        <is>
          <t>SC-2: aeroderivative simple-cycle unit (LM6000 class)</t>
        </is>
      </c>
      <c r="I4991" s="12" t="inlineStr">
        <is>
          <t>Instrumentation</t>
        </is>
      </c>
      <c r="J4991" s="12" t="inlineStr">
        <is>
          <t>Thermocouple extension KX, #16 shielded pairs, PLTC</t>
        </is>
      </c>
      <c r="K4991" s="12" t="inlineStr">
        <is>
          <t>TCX|1 pr|16</t>
        </is>
      </c>
      <c r="L4991" s="12" t="inlineStr">
        <is>
          <t>1 pr</t>
        </is>
      </c>
      <c r="M4991" s="12" t="inlineStr">
        <is>
          <t>16</t>
        </is>
      </c>
      <c r="N4991" s="12" t="n">
        <v>20</v>
      </c>
      <c r="O4991" s="12" t="n">
        <v>1</v>
      </c>
      <c r="P4991" s="12" t="n"/>
      <c r="Q4991" s="12" t="n"/>
      <c r="R4991" s="12" t="n"/>
      <c r="S4991" s="12" t="inlineStr">
        <is>
          <t>Tray / conduit</t>
        </is>
      </c>
      <c r="T4991" s="16" t="n">
        <v>99</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I-I-0492</t>
        </is>
      </c>
      <c r="B4992" s="12" t="inlineStr">
        <is>
          <t>I</t>
        </is>
      </c>
      <c r="C4992" s="12" t="inlineStr">
        <is>
          <t>Modular / portable power</t>
        </is>
      </c>
      <c r="D4992" s="12" t="inlineStr">
        <is>
          <t>Home run JB-SC-2-TC01 to the control / marshalling room</t>
        </is>
      </c>
      <c r="E4992" s="12" t="inlineStr"/>
      <c r="F4992" s="12" t="inlineStr">
        <is>
          <t>SC-2 PCM + 15 kV GCB</t>
        </is>
      </c>
      <c r="G4992" s="12" t="inlineStr">
        <is>
          <t>JB-SC-2-TC01</t>
        </is>
      </c>
      <c r="H4992" s="12" t="inlineStr">
        <is>
          <t>SC-2: aeroderivative simple-cycle unit (LM6000 class)</t>
        </is>
      </c>
      <c r="I4992" s="12" t="inlineStr">
        <is>
          <t>Instrumentation</t>
        </is>
      </c>
      <c r="J4992" s="12" t="inlineStr">
        <is>
          <t>Thermocouple extension KX, #16 shielded pairs, PLTC</t>
        </is>
      </c>
      <c r="K4992" s="12" t="inlineStr">
        <is>
          <t>TCX|24 pr|16</t>
        </is>
      </c>
      <c r="L4992" s="12" t="inlineStr">
        <is>
          <t>24 pr</t>
        </is>
      </c>
      <c r="M4992" s="12" t="inlineStr">
        <is>
          <t>16</t>
        </is>
      </c>
      <c r="N4992" s="12" t="n">
        <v>1</v>
      </c>
      <c r="O4992" s="12" t="n">
        <v>1</v>
      </c>
      <c r="P4992" s="12" t="n"/>
      <c r="Q4992" s="12" t="n"/>
      <c r="R4992" s="12" t="n"/>
      <c r="S4992" s="12" t="inlineStr">
        <is>
          <t>Duct bank</t>
        </is>
      </c>
      <c r="T4992" s="16" t="n">
        <v>25</v>
      </c>
      <c r="U4992" s="16" t="n">
        <v>32</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I-I-0493</t>
        </is>
      </c>
      <c r="B4993" s="12" t="inlineStr">
        <is>
          <t>I</t>
        </is>
      </c>
      <c r="C4993" s="12" t="inlineStr">
        <is>
          <t>Modular / portable power</t>
        </is>
      </c>
      <c r="D4993" s="12" t="inlineStr">
        <is>
          <t>Thermocouple to TC JB JB-SC-2-TC02: 20 x 1 pr (field cables)</t>
        </is>
      </c>
      <c r="E4993" s="12" t="inlineStr">
        <is>
          <t>SC-2</t>
        </is>
      </c>
      <c r="F4993" s="12" t="inlineStr">
        <is>
          <t>SC-2: aeroderivative simple-cycle unit (LM6000 class)</t>
        </is>
      </c>
      <c r="G4993" s="12" t="inlineStr">
        <is>
          <t>JB-SC-2-TC02</t>
        </is>
      </c>
      <c r="H4993" s="12" t="inlineStr">
        <is>
          <t>SC-2: aeroderivative simple-cycle unit (LM6000 class)</t>
        </is>
      </c>
      <c r="I4993" s="12" t="inlineStr">
        <is>
          <t>Instrumentation</t>
        </is>
      </c>
      <c r="J4993" s="12" t="inlineStr">
        <is>
          <t>Thermocouple extension KX, #16 shielded pairs, PLTC</t>
        </is>
      </c>
      <c r="K4993" s="12" t="inlineStr">
        <is>
          <t>TCX|1 pr|16</t>
        </is>
      </c>
      <c r="L4993" s="12" t="inlineStr">
        <is>
          <t>1 pr</t>
        </is>
      </c>
      <c r="M4993" s="12" t="inlineStr">
        <is>
          <t>16</t>
        </is>
      </c>
      <c r="N4993" s="12" t="n">
        <v>20</v>
      </c>
      <c r="O4993" s="12" t="n">
        <v>1</v>
      </c>
      <c r="P4993" s="12" t="n"/>
      <c r="Q4993" s="12" t="n"/>
      <c r="R4993" s="12" t="n"/>
      <c r="S4993" s="12" t="inlineStr">
        <is>
          <t>Tray / conduit</t>
        </is>
      </c>
      <c r="T4993" s="16" t="n">
        <v>99</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I-I-0494</t>
        </is>
      </c>
      <c r="B4994" s="12" t="inlineStr">
        <is>
          <t>I</t>
        </is>
      </c>
      <c r="C4994" s="12" t="inlineStr">
        <is>
          <t>Modular / portable power</t>
        </is>
      </c>
      <c r="D4994" s="12" t="inlineStr">
        <is>
          <t>Home run JB-SC-2-TC02 to the control / marshalling room</t>
        </is>
      </c>
      <c r="E4994" s="12" t="inlineStr"/>
      <c r="F4994" s="12" t="inlineStr">
        <is>
          <t>SC-2 PCM + 15 kV GCB</t>
        </is>
      </c>
      <c r="G4994" s="12" t="inlineStr">
        <is>
          <t>JB-SC-2-TC02</t>
        </is>
      </c>
      <c r="H4994" s="12" t="inlineStr">
        <is>
          <t>SC-2: aeroderivative simple-cycle unit (LM6000 class)</t>
        </is>
      </c>
      <c r="I4994" s="12" t="inlineStr">
        <is>
          <t>Instrumentation</t>
        </is>
      </c>
      <c r="J4994" s="12" t="inlineStr">
        <is>
          <t>Thermocouple extension KX, #16 shielded pairs, PLTC</t>
        </is>
      </c>
      <c r="K4994" s="12" t="inlineStr">
        <is>
          <t>TCX|24 pr|16</t>
        </is>
      </c>
      <c r="L4994" s="12" t="inlineStr">
        <is>
          <t>24 pr</t>
        </is>
      </c>
      <c r="M4994" s="12" t="inlineStr">
        <is>
          <t>16</t>
        </is>
      </c>
      <c r="N4994" s="12" t="n">
        <v>1</v>
      </c>
      <c r="O4994" s="12" t="n">
        <v>1</v>
      </c>
      <c r="P4994" s="12" t="n"/>
      <c r="Q4994" s="12" t="n"/>
      <c r="R4994" s="12" t="n"/>
      <c r="S4994" s="12" t="inlineStr">
        <is>
          <t>Duct bank</t>
        </is>
      </c>
      <c r="T4994" s="16" t="n">
        <v>25</v>
      </c>
      <c r="U4994" s="16" t="n">
        <v>32</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I-I-0495</t>
        </is>
      </c>
      <c r="B4995" s="12" t="inlineStr">
        <is>
          <t>I</t>
        </is>
      </c>
      <c r="C4995" s="12" t="inlineStr">
        <is>
          <t>Modular / portable power</t>
        </is>
      </c>
      <c r="D4995" s="12" t="inlineStr">
        <is>
          <t>Analog instrument to JB JB-T-MOD 230 kV take--AI01: 8 x 1 pr (field cables)</t>
        </is>
      </c>
      <c r="E4995" s="12" t="inlineStr"/>
      <c r="F4995" s="12" t="inlineStr">
        <is>
          <t>T-MOD 230 kV take-off gantry with arresters</t>
        </is>
      </c>
      <c r="G4995" s="12" t="inlineStr">
        <is>
          <t>JB-T-MOD 230 kV take--AI01</t>
        </is>
      </c>
      <c r="H4995" s="12" t="inlineStr">
        <is>
          <t>T-MOD 230 kV take-off gantry with arresters</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88</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I-I-0496</t>
        </is>
      </c>
      <c r="B4996" s="12" t="inlineStr">
        <is>
          <t>I</t>
        </is>
      </c>
      <c r="C4996" s="12" t="inlineStr">
        <is>
          <t>Modular / portable power</t>
        </is>
      </c>
      <c r="D4996" s="12" t="inlineStr">
        <is>
          <t>Home run JB-T-MOD 230 kV take--AI01 to the control / marshalling room</t>
        </is>
      </c>
      <c r="E4996" s="12" t="inlineStr">
        <is>
          <t>PAD-EH</t>
        </is>
      </c>
      <c r="F4996" s="12" t="inlineStr">
        <is>
          <t>PAD-EH 13.8 kV switchgear e-house</t>
        </is>
      </c>
      <c r="G4996" s="12" t="inlineStr">
        <is>
          <t>JB-T-MOD 230 kV take--AI01</t>
        </is>
      </c>
      <c r="H4996" s="12" t="inlineStr">
        <is>
          <t>T-MOD 230 kV take-off gantry with arresters</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HV duct bank</t>
        </is>
      </c>
      <c r="T4996" s="16" t="n">
        <v>2426</v>
      </c>
      <c r="U4996" s="16" t="n">
        <v>141</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I-I-0497</t>
        </is>
      </c>
      <c r="B4997" s="12" t="inlineStr">
        <is>
          <t>I</t>
        </is>
      </c>
      <c r="C4997" s="12" t="inlineStr">
        <is>
          <t>Modular / portable power</t>
        </is>
      </c>
      <c r="D4997" s="12" t="inlineStr">
        <is>
          <t>Discrete device to JB JB-T-MOD 230 kV take--DI01: 16 x 1 pr (field cables)</t>
        </is>
      </c>
      <c r="E4997" s="12" t="inlineStr"/>
      <c r="F4997" s="12" t="inlineStr">
        <is>
          <t>T-MOD 230 kV take-off gantry with arresters</t>
        </is>
      </c>
      <c r="G4997" s="12" t="inlineStr">
        <is>
          <t>JB-T-MOD 230 kV take--DI01</t>
        </is>
      </c>
      <c r="H4997" s="12" t="inlineStr">
        <is>
          <t>T-MOD 230 kV take-off gantry with arresters</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88</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I-I-0498</t>
        </is>
      </c>
      <c r="B4998" s="12" t="inlineStr">
        <is>
          <t>I</t>
        </is>
      </c>
      <c r="C4998" s="12" t="inlineStr">
        <is>
          <t>Modular / portable power</t>
        </is>
      </c>
      <c r="D4998" s="12" t="inlineStr">
        <is>
          <t>Home run JB-T-MOD 230 kV take--DI01 to the control / marshalling room</t>
        </is>
      </c>
      <c r="E4998" s="12" t="inlineStr">
        <is>
          <t>PAD-EH</t>
        </is>
      </c>
      <c r="F4998" s="12" t="inlineStr">
        <is>
          <t>PAD-EH 13.8 kV switchgear e-house</t>
        </is>
      </c>
      <c r="G4998" s="12" t="inlineStr">
        <is>
          <t>JB-T-MOD 230 kV take--DI01</t>
        </is>
      </c>
      <c r="H4998" s="12" t="inlineStr">
        <is>
          <t>T-MOD 230 kV take-off gantry with arresters</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HV duct bank</t>
        </is>
      </c>
      <c r="T4998" s="16" t="n">
        <v>2426</v>
      </c>
      <c r="U4998" s="16" t="n">
        <v>141</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I-I-0499</t>
        </is>
      </c>
      <c r="B4999" s="12" t="inlineStr">
        <is>
          <t>I</t>
        </is>
      </c>
      <c r="C4999" s="12" t="inlineStr">
        <is>
          <t>Modular / portable power</t>
        </is>
      </c>
      <c r="D4999" s="12" t="inlineStr">
        <is>
          <t>Analog instrument to JB JB-T-MOD-1 / T-MOD-2 -AI01: 8 x 1 pr (field cables)</t>
        </is>
      </c>
      <c r="E4999" s="12" t="inlineStr"/>
      <c r="F4999" s="12" t="inlineStr">
        <is>
          <t>T-MOD-1 / T-MOD-2 firewall</t>
        </is>
      </c>
      <c r="G4999" s="12" t="inlineStr">
        <is>
          <t>JB-T-MOD-1 / T-MOD-2 -AI01</t>
        </is>
      </c>
      <c r="H4999" s="12" t="inlineStr">
        <is>
          <t>T-MOD-1 / T-MOD-2 firewall</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64</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I-I-0500</t>
        </is>
      </c>
      <c r="B5000" s="12" t="inlineStr">
        <is>
          <t>I</t>
        </is>
      </c>
      <c r="C5000" s="12" t="inlineStr">
        <is>
          <t>Modular / portable power</t>
        </is>
      </c>
      <c r="D5000" s="12" t="inlineStr">
        <is>
          <t>Home run JB-T-MOD-1 / T-MOD-2 -AI01 to the control / marshalling room</t>
        </is>
      </c>
      <c r="E5000" s="12" t="inlineStr"/>
      <c r="F5000" s="12" t="inlineStr">
        <is>
          <t>PCM: power control module</t>
        </is>
      </c>
      <c r="G5000" s="12" t="inlineStr">
        <is>
          <t>JB-T-MOD-1 / T-MOD-2 -AI01</t>
        </is>
      </c>
      <c r="H5000" s="12" t="inlineStr">
        <is>
          <t>T-MOD-1 / T-MOD-2 firewall</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415</v>
      </c>
      <c r="U5000" s="16" t="n">
        <v>130</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I-I-0501</t>
        </is>
      </c>
      <c r="B5001" s="12" t="inlineStr">
        <is>
          <t>I</t>
        </is>
      </c>
      <c r="C5001" s="12" t="inlineStr">
        <is>
          <t>Modular / portable power</t>
        </is>
      </c>
      <c r="D5001" s="12" t="inlineStr">
        <is>
          <t>Discrete device to JB JB-T-MOD-1 / T-MOD-2 -DI01: 16 x 1 pr (field cables)</t>
        </is>
      </c>
      <c r="E5001" s="12" t="inlineStr"/>
      <c r="F5001" s="12" t="inlineStr">
        <is>
          <t>T-MOD-1 / T-MOD-2 firewall</t>
        </is>
      </c>
      <c r="G5001" s="12" t="inlineStr">
        <is>
          <t>JB-T-MOD-1 / T-MOD-2 -DI01</t>
        </is>
      </c>
      <c r="H5001" s="12" t="inlineStr">
        <is>
          <t>T-MOD-1 / T-MOD-2 firewall</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64</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I-I-0502</t>
        </is>
      </c>
      <c r="B5002" s="12" t="inlineStr">
        <is>
          <t>I</t>
        </is>
      </c>
      <c r="C5002" s="12" t="inlineStr">
        <is>
          <t>Modular / portable power</t>
        </is>
      </c>
      <c r="D5002" s="12" t="inlineStr">
        <is>
          <t>Home run JB-T-MOD-1 / T-MOD-2 -DI01 to the control / marshalling room</t>
        </is>
      </c>
      <c r="E5002" s="12" t="inlineStr"/>
      <c r="F5002" s="12" t="inlineStr">
        <is>
          <t>PCM: power control module</t>
        </is>
      </c>
      <c r="G5002" s="12" t="inlineStr">
        <is>
          <t>JB-T-MOD-1 / T-MOD-2 -DI01</t>
        </is>
      </c>
      <c r="H5002" s="12" t="inlineStr">
        <is>
          <t>T-MOD-1 / T-MOD-2 firewall</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415</v>
      </c>
      <c r="U5002" s="16" t="n">
        <v>130</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I-I-0503</t>
        </is>
      </c>
      <c r="B5003" s="12" t="inlineStr">
        <is>
          <t>I</t>
        </is>
      </c>
      <c r="C5003" s="12" t="inlineStr">
        <is>
          <t>Modular / portable power</t>
        </is>
      </c>
      <c r="D5003" s="12" t="inlineStr">
        <is>
          <t>Analog instrument to JB JB-T-MOD-1-AI01: 8 x 1 pr (field cables)</t>
        </is>
      </c>
      <c r="E5003" s="12" t="inlineStr">
        <is>
          <t>T-MOD-1</t>
        </is>
      </c>
      <c r="F5003" s="12" t="inlineStr">
        <is>
          <t>T-MOD-1: 13.8/230 kV</t>
        </is>
      </c>
      <c r="G5003" s="12" t="inlineStr">
        <is>
          <t>JB-T-MOD-1-AI01</t>
        </is>
      </c>
      <c r="H5003" s="12" t="inlineStr">
        <is>
          <t>T-MOD-1: 13.8/230 kV</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8</v>
      </c>
      <c r="O5003" s="12" t="n">
        <v>1</v>
      </c>
      <c r="P5003" s="12" t="n"/>
      <c r="Q5003" s="12" t="n"/>
      <c r="R5003" s="12" t="n"/>
      <c r="S5003" s="12" t="inlineStr">
        <is>
          <t>Tray / conduit</t>
        </is>
      </c>
      <c r="T5003" s="16" t="n">
        <v>77</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I-I-0504</t>
        </is>
      </c>
      <c r="B5004" s="12" t="inlineStr">
        <is>
          <t>I</t>
        </is>
      </c>
      <c r="C5004" s="12" t="inlineStr">
        <is>
          <t>Modular / portable power</t>
        </is>
      </c>
      <c r="D5004" s="12" t="inlineStr">
        <is>
          <t>Home run JB-T-MOD-1-AI01 to the control / marshalling room</t>
        </is>
      </c>
      <c r="E5004" s="12" t="inlineStr"/>
      <c r="F5004" s="12" t="inlineStr">
        <is>
          <t>PCM: power control module</t>
        </is>
      </c>
      <c r="G5004" s="12" t="inlineStr">
        <is>
          <t>JB-T-MOD-1-AI01</t>
        </is>
      </c>
      <c r="H5004" s="12" t="inlineStr">
        <is>
          <t>T-MOD-1: 13.8/230 kV</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Duct bank</t>
        </is>
      </c>
      <c r="T5004" s="16" t="n">
        <v>415</v>
      </c>
      <c r="U5004" s="16" t="n">
        <v>82</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I-I-0505</t>
        </is>
      </c>
      <c r="B5005" s="12" t="inlineStr">
        <is>
          <t>I</t>
        </is>
      </c>
      <c r="C5005" s="12" t="inlineStr">
        <is>
          <t>Modular / portable power</t>
        </is>
      </c>
      <c r="D5005" s="12" t="inlineStr">
        <is>
          <t>Discrete device to JB JB-T-MOD-1-DI01: 16 x 1 pr (field cables)</t>
        </is>
      </c>
      <c r="E5005" s="12" t="inlineStr">
        <is>
          <t>T-MOD-1</t>
        </is>
      </c>
      <c r="F5005" s="12" t="inlineStr">
        <is>
          <t>T-MOD-1: 13.8/230 kV</t>
        </is>
      </c>
      <c r="G5005" s="12" t="inlineStr">
        <is>
          <t>JB-T-MOD-1-DI01</t>
        </is>
      </c>
      <c r="H5005" s="12" t="inlineStr">
        <is>
          <t>T-MOD-1: 13.8/230 kV</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16</v>
      </c>
      <c r="O5005" s="12" t="n">
        <v>1</v>
      </c>
      <c r="P5005" s="12" t="n"/>
      <c r="Q5005" s="12" t="n"/>
      <c r="R5005" s="12" t="n"/>
      <c r="S5005" s="12" t="inlineStr">
        <is>
          <t>Tray / conduit</t>
        </is>
      </c>
      <c r="T5005" s="16" t="n">
        <v>77</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I-I-0506</t>
        </is>
      </c>
      <c r="B5006" s="12" t="inlineStr">
        <is>
          <t>I</t>
        </is>
      </c>
      <c r="C5006" s="12" t="inlineStr">
        <is>
          <t>Modular / portable power</t>
        </is>
      </c>
      <c r="D5006" s="12" t="inlineStr">
        <is>
          <t>Home run JB-T-MOD-1-DI01 to the control / marshalling room</t>
        </is>
      </c>
      <c r="E5006" s="12" t="inlineStr"/>
      <c r="F5006" s="12" t="inlineStr">
        <is>
          <t>PCM: power control module</t>
        </is>
      </c>
      <c r="G5006" s="12" t="inlineStr">
        <is>
          <t>JB-T-MOD-1-DI01</t>
        </is>
      </c>
      <c r="H5006" s="12" t="inlineStr">
        <is>
          <t>T-MOD-1: 13.8/230 kV</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Duct bank</t>
        </is>
      </c>
      <c r="T5006" s="16" t="n">
        <v>415</v>
      </c>
      <c r="U5006" s="16" t="n">
        <v>82</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I-I-0507</t>
        </is>
      </c>
      <c r="B5007" s="12" t="inlineStr">
        <is>
          <t>I</t>
        </is>
      </c>
      <c r="C5007" s="12" t="inlineStr">
        <is>
          <t>Modular / portable power</t>
        </is>
      </c>
      <c r="D5007" s="12" t="inlineStr">
        <is>
          <t>Analog instrument to JB JB-T-MOD-2-AI01: 8 x 1 pr (field cables)</t>
        </is>
      </c>
      <c r="E5007" s="12" t="inlineStr">
        <is>
          <t>T-MOD-2</t>
        </is>
      </c>
      <c r="F5007" s="12" t="inlineStr">
        <is>
          <t>T-MOD-2: 13.8/230 kV</t>
        </is>
      </c>
      <c r="G5007" s="12" t="inlineStr">
        <is>
          <t>JB-T-MOD-2-AI01</t>
        </is>
      </c>
      <c r="H5007" s="12" t="inlineStr">
        <is>
          <t>T-MOD-2: 13.8/230 kV</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8</v>
      </c>
      <c r="O5007" s="12" t="n">
        <v>1</v>
      </c>
      <c r="P5007" s="12" t="n"/>
      <c r="Q5007" s="12" t="n"/>
      <c r="R5007" s="12" t="n"/>
      <c r="S5007" s="12" t="inlineStr">
        <is>
          <t>Tray / conduit</t>
        </is>
      </c>
      <c r="T5007" s="16" t="n">
        <v>77</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I-I-0508</t>
        </is>
      </c>
      <c r="B5008" s="12" t="inlineStr">
        <is>
          <t>I</t>
        </is>
      </c>
      <c r="C5008" s="12" t="inlineStr">
        <is>
          <t>Modular / portable power</t>
        </is>
      </c>
      <c r="D5008" s="12" t="inlineStr">
        <is>
          <t>Home run JB-T-MOD-2-AI01 to the control / marshalling room</t>
        </is>
      </c>
      <c r="E5008" s="12" t="inlineStr"/>
      <c r="F5008" s="12" t="inlineStr">
        <is>
          <t>PCM: power control module</t>
        </is>
      </c>
      <c r="G5008" s="12" t="inlineStr">
        <is>
          <t>JB-T-MOD-2-AI01</t>
        </is>
      </c>
      <c r="H5008" s="12" t="inlineStr">
        <is>
          <t>T-MOD-2: 13.8/230 kV</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6" t="n">
        <v>3272</v>
      </c>
      <c r="U5008" s="16" t="n">
        <v>165</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I-I-0509</t>
        </is>
      </c>
      <c r="B5009" s="12" t="inlineStr">
        <is>
          <t>I</t>
        </is>
      </c>
      <c r="C5009" s="12" t="inlineStr">
        <is>
          <t>Modular / portable power</t>
        </is>
      </c>
      <c r="D5009" s="12" t="inlineStr">
        <is>
          <t>Discrete device to JB JB-T-MOD-2-DI01: 16 x 1 pr (field cables)</t>
        </is>
      </c>
      <c r="E5009" s="12" t="inlineStr">
        <is>
          <t>T-MOD-2</t>
        </is>
      </c>
      <c r="F5009" s="12" t="inlineStr">
        <is>
          <t>T-MOD-2: 13.8/230 kV</t>
        </is>
      </c>
      <c r="G5009" s="12" t="inlineStr">
        <is>
          <t>JB-T-MOD-2-DI01</t>
        </is>
      </c>
      <c r="H5009" s="12" t="inlineStr">
        <is>
          <t>T-MOD-2: 13.8/230 kV</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16</v>
      </c>
      <c r="O5009" s="12" t="n">
        <v>1</v>
      </c>
      <c r="P5009" s="12" t="n"/>
      <c r="Q5009" s="12" t="n"/>
      <c r="R5009" s="12" t="n"/>
      <c r="S5009" s="12" t="inlineStr">
        <is>
          <t>Tray / conduit</t>
        </is>
      </c>
      <c r="T5009" s="16" t="n">
        <v>77</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I-I-0510</t>
        </is>
      </c>
      <c r="B5010" s="12" t="inlineStr">
        <is>
          <t>I</t>
        </is>
      </c>
      <c r="C5010" s="12" t="inlineStr">
        <is>
          <t>Modular / portable power</t>
        </is>
      </c>
      <c r="D5010" s="12" t="inlineStr">
        <is>
          <t>Home run JB-T-MOD-2-DI01 to the control / marshalling room</t>
        </is>
      </c>
      <c r="E5010" s="12" t="inlineStr"/>
      <c r="F5010" s="12" t="inlineStr">
        <is>
          <t>PCM: power control module</t>
        </is>
      </c>
      <c r="G5010" s="12" t="inlineStr">
        <is>
          <t>JB-T-MOD-2-DI01</t>
        </is>
      </c>
      <c r="H5010" s="12" t="inlineStr">
        <is>
          <t>T-MOD-2: 13.8/230 kV</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6" t="n">
        <v>3272</v>
      </c>
      <c r="U5010" s="16" t="n">
        <v>165</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I-I-0511</t>
        </is>
      </c>
      <c r="B5011" s="12" t="inlineStr">
        <is>
          <t>I</t>
        </is>
      </c>
      <c r="C5011" s="12" t="inlineStr">
        <is>
          <t>Modular / portable power</t>
        </is>
      </c>
      <c r="D5011" s="12" t="inlineStr">
        <is>
          <t>Analog instrument to JB JB-TM-1-AI01: 20 x 1 pr (field cables)</t>
        </is>
      </c>
      <c r="E5011" s="12" t="inlineStr">
        <is>
          <t>TM-1</t>
        </is>
      </c>
      <c r="F5011" s="12" t="inlineStr">
        <is>
          <t>TM-1: trailer-mounted aeroderivative GT (TM2500 class, ~35 MW)</t>
        </is>
      </c>
      <c r="G5011" s="12" t="inlineStr">
        <is>
          <t>JB-TM-1-AI01</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I-I-0512</t>
        </is>
      </c>
      <c r="B5012" s="12" t="inlineStr">
        <is>
          <t>I</t>
        </is>
      </c>
      <c r="C5012" s="12" t="inlineStr">
        <is>
          <t>Modular / portable power</t>
        </is>
      </c>
      <c r="D5012" s="12" t="inlineStr">
        <is>
          <t>Home run JB-TM-1-AI01 to the control / marshalling room</t>
        </is>
      </c>
      <c r="E5012" s="12" t="inlineStr">
        <is>
          <t>PAD-EH</t>
        </is>
      </c>
      <c r="F5012" s="12" t="inlineStr">
        <is>
          <t>PAD-EH 13.8 kV switchgear e-house</t>
        </is>
      </c>
      <c r="G5012" s="12" t="inlineStr">
        <is>
          <t>JB-TM-1-AI01</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I-I-0513</t>
        </is>
      </c>
      <c r="B5013" s="12" t="inlineStr">
        <is>
          <t>I</t>
        </is>
      </c>
      <c r="C5013" s="12" t="inlineStr">
        <is>
          <t>Modular / portable power</t>
        </is>
      </c>
      <c r="D5013" s="12" t="inlineStr">
        <is>
          <t>Analog instrument to JB JB-TM-1-AI02: 20 x 1 pr (field cables)</t>
        </is>
      </c>
      <c r="E5013" s="12" t="inlineStr">
        <is>
          <t>TM-1</t>
        </is>
      </c>
      <c r="F5013" s="12" t="inlineStr">
        <is>
          <t>TM-1: trailer-mounted aeroderivative GT (TM2500 class, ~35 MW)</t>
        </is>
      </c>
      <c r="G5013" s="12" t="inlineStr">
        <is>
          <t>JB-TM-1-AI02</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I-I-0514</t>
        </is>
      </c>
      <c r="B5014" s="12" t="inlineStr">
        <is>
          <t>I</t>
        </is>
      </c>
      <c r="C5014" s="12" t="inlineStr">
        <is>
          <t>Modular / portable power</t>
        </is>
      </c>
      <c r="D5014" s="12" t="inlineStr">
        <is>
          <t>Home run JB-TM-1-AI02 to the control / marshalling room</t>
        </is>
      </c>
      <c r="E5014" s="12" t="inlineStr">
        <is>
          <t>PAD-EH</t>
        </is>
      </c>
      <c r="F5014" s="12" t="inlineStr">
        <is>
          <t>PAD-EH 13.8 kV switchgear e-house</t>
        </is>
      </c>
      <c r="G5014" s="12" t="inlineStr">
        <is>
          <t>JB-TM-1-AI02</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I-I-0515</t>
        </is>
      </c>
      <c r="B5015" s="12" t="inlineStr">
        <is>
          <t>I</t>
        </is>
      </c>
      <c r="C5015" s="12" t="inlineStr">
        <is>
          <t>Modular / portable power</t>
        </is>
      </c>
      <c r="D5015" s="12" t="inlineStr">
        <is>
          <t>Analog instrument to JB JB-TM-1-AI03: 20 x 1 pr (field cables)</t>
        </is>
      </c>
      <c r="E5015" s="12" t="inlineStr">
        <is>
          <t>TM-1</t>
        </is>
      </c>
      <c r="F5015" s="12" t="inlineStr">
        <is>
          <t>TM-1: trailer-mounted aeroderivative GT (TM2500 class, ~35 MW)</t>
        </is>
      </c>
      <c r="G5015" s="12" t="inlineStr">
        <is>
          <t>JB-TM-1-AI03</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I-I-0516</t>
        </is>
      </c>
      <c r="B5016" s="12" t="inlineStr">
        <is>
          <t>I</t>
        </is>
      </c>
      <c r="C5016" s="12" t="inlineStr">
        <is>
          <t>Modular / portable power</t>
        </is>
      </c>
      <c r="D5016" s="12" t="inlineStr">
        <is>
          <t>Home run JB-TM-1-AI03 to the control / marshalling room</t>
        </is>
      </c>
      <c r="E5016" s="12" t="inlineStr">
        <is>
          <t>PAD-EH</t>
        </is>
      </c>
      <c r="F5016" s="12" t="inlineStr">
        <is>
          <t>PAD-EH 13.8 kV switchgear e-house</t>
        </is>
      </c>
      <c r="G5016" s="12" t="inlineStr">
        <is>
          <t>JB-TM-1-AI03</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I-I-0517</t>
        </is>
      </c>
      <c r="B5017" s="12" t="inlineStr">
        <is>
          <t>I</t>
        </is>
      </c>
      <c r="C5017" s="12" t="inlineStr">
        <is>
          <t>Modular / portable power</t>
        </is>
      </c>
      <c r="D5017" s="12" t="inlineStr">
        <is>
          <t>Analog instrument to JB JB-TM-1-AI04: 20 x 1 pr (field cables)</t>
        </is>
      </c>
      <c r="E5017" s="12" t="inlineStr">
        <is>
          <t>TM-1</t>
        </is>
      </c>
      <c r="F5017" s="12" t="inlineStr">
        <is>
          <t>TM-1: trailer-mounted aeroderivative GT (TM2500 class, ~35 MW)</t>
        </is>
      </c>
      <c r="G5017" s="12" t="inlineStr">
        <is>
          <t>JB-TM-1-AI04</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I-I-0518</t>
        </is>
      </c>
      <c r="B5018" s="12" t="inlineStr">
        <is>
          <t>I</t>
        </is>
      </c>
      <c r="C5018" s="12" t="inlineStr">
        <is>
          <t>Modular / portable power</t>
        </is>
      </c>
      <c r="D5018" s="12" t="inlineStr">
        <is>
          <t>Home run JB-TM-1-AI04 to the control / marshalling room</t>
        </is>
      </c>
      <c r="E5018" s="12" t="inlineStr">
        <is>
          <t>PAD-EH</t>
        </is>
      </c>
      <c r="F5018" s="12" t="inlineStr">
        <is>
          <t>PAD-EH 13.8 kV switchgear e-house</t>
        </is>
      </c>
      <c r="G5018" s="12" t="inlineStr">
        <is>
          <t>JB-TM-1-AI04</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I-I-0519</t>
        </is>
      </c>
      <c r="B5019" s="12" t="inlineStr">
        <is>
          <t>I</t>
        </is>
      </c>
      <c r="C5019" s="12" t="inlineStr">
        <is>
          <t>Modular / portable power</t>
        </is>
      </c>
      <c r="D5019" s="12" t="inlineStr">
        <is>
          <t>Analog instrument to JB JB-TM-1-AI05: 20 x 1 pr (field cables)</t>
        </is>
      </c>
      <c r="E5019" s="12" t="inlineStr">
        <is>
          <t>TM-1</t>
        </is>
      </c>
      <c r="F5019" s="12" t="inlineStr">
        <is>
          <t>TM-1: trailer-mounted aeroderivative GT (TM2500 class, ~35 MW)</t>
        </is>
      </c>
      <c r="G5019" s="12" t="inlineStr">
        <is>
          <t>JB-TM-1-AI05</t>
        </is>
      </c>
      <c r="H5019" s="12" t="inlineStr">
        <is>
          <t>TM-1: trailer-mounted aeroderivative GT (TM2500 class, ~35 MW)</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I-I-0520</t>
        </is>
      </c>
      <c r="B5020" s="12" t="inlineStr">
        <is>
          <t>I</t>
        </is>
      </c>
      <c r="C5020" s="12" t="inlineStr">
        <is>
          <t>Modular / portable power</t>
        </is>
      </c>
      <c r="D5020" s="12" t="inlineStr">
        <is>
          <t>Home run JB-TM-1-AI05 to the control / marshalling room</t>
        </is>
      </c>
      <c r="E5020" s="12" t="inlineStr">
        <is>
          <t>PAD-EH</t>
        </is>
      </c>
      <c r="F5020" s="12" t="inlineStr">
        <is>
          <t>PAD-EH 13.8 kV switchgear e-house</t>
        </is>
      </c>
      <c r="G5020" s="12" t="inlineStr">
        <is>
          <t>JB-TM-1-AI05</t>
        </is>
      </c>
      <c r="H5020" s="12" t="inlineStr">
        <is>
          <t>TM-1: trailer-mounted aeroderivative GT (TM2500 class, ~35 MW)</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I-I-0521</t>
        </is>
      </c>
      <c r="B5021" s="12" t="inlineStr">
        <is>
          <t>I</t>
        </is>
      </c>
      <c r="C5021" s="12" t="inlineStr">
        <is>
          <t>Modular / portable power</t>
        </is>
      </c>
      <c r="D5021" s="12" t="inlineStr">
        <is>
          <t>Discrete device to JB JB-TM-1-DI01: 20 x 1 pr (field cables)</t>
        </is>
      </c>
      <c r="E5021" s="12" t="inlineStr">
        <is>
          <t>TM-1</t>
        </is>
      </c>
      <c r="F5021" s="12" t="inlineStr">
        <is>
          <t>TM-1: trailer-mounted aeroderivative GT (TM2500 class, ~35 MW)</t>
        </is>
      </c>
      <c r="G5021" s="12" t="inlineStr">
        <is>
          <t>JB-TM-1-DI01</t>
        </is>
      </c>
      <c r="H5021" s="12" t="inlineStr">
        <is>
          <t>TM-1: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I-I-0522</t>
        </is>
      </c>
      <c r="B5022" s="12" t="inlineStr">
        <is>
          <t>I</t>
        </is>
      </c>
      <c r="C5022" s="12" t="inlineStr">
        <is>
          <t>Modular / portable power</t>
        </is>
      </c>
      <c r="D5022" s="12" t="inlineStr">
        <is>
          <t>Home run JB-TM-1-DI01 to the control / marshalling room</t>
        </is>
      </c>
      <c r="E5022" s="12" t="inlineStr">
        <is>
          <t>PAD-EH</t>
        </is>
      </c>
      <c r="F5022" s="12" t="inlineStr">
        <is>
          <t>PAD-EH 13.8 kV switchgear e-house</t>
        </is>
      </c>
      <c r="G5022" s="12" t="inlineStr">
        <is>
          <t>JB-TM-1-DI01</t>
        </is>
      </c>
      <c r="H5022" s="12" t="inlineStr">
        <is>
          <t>TM-1: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382</v>
      </c>
      <c r="U5022" s="16" t="n">
        <v>50</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I-I-0523</t>
        </is>
      </c>
      <c r="B5023" s="12" t="inlineStr">
        <is>
          <t>I</t>
        </is>
      </c>
      <c r="C5023" s="12" t="inlineStr">
        <is>
          <t>Modular / portable power</t>
        </is>
      </c>
      <c r="D5023" s="12" t="inlineStr">
        <is>
          <t>Discrete device to JB JB-TM-1-DI02: 20 x 1 pr (field cables)</t>
        </is>
      </c>
      <c r="E5023" s="12" t="inlineStr">
        <is>
          <t>TM-1</t>
        </is>
      </c>
      <c r="F5023" s="12" t="inlineStr">
        <is>
          <t>TM-1: trailer-mounted aeroderivative GT (TM2500 class, ~35 MW)</t>
        </is>
      </c>
      <c r="G5023" s="12" t="inlineStr">
        <is>
          <t>JB-TM-1-DI02</t>
        </is>
      </c>
      <c r="H5023" s="12" t="inlineStr">
        <is>
          <t>TM-1: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I-I-0524</t>
        </is>
      </c>
      <c r="B5024" s="12" t="inlineStr">
        <is>
          <t>I</t>
        </is>
      </c>
      <c r="C5024" s="12" t="inlineStr">
        <is>
          <t>Modular / portable power</t>
        </is>
      </c>
      <c r="D5024" s="12" t="inlineStr">
        <is>
          <t>Home run JB-TM-1-DI02 to the control / marshalling room</t>
        </is>
      </c>
      <c r="E5024" s="12" t="inlineStr">
        <is>
          <t>PAD-EH</t>
        </is>
      </c>
      <c r="F5024" s="12" t="inlineStr">
        <is>
          <t>PAD-EH 13.8 kV switchgear e-house</t>
        </is>
      </c>
      <c r="G5024" s="12" t="inlineStr">
        <is>
          <t>JB-TM-1-DI02</t>
        </is>
      </c>
      <c r="H5024" s="12" t="inlineStr">
        <is>
          <t>TM-1: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382</v>
      </c>
      <c r="U5024" s="16" t="n">
        <v>50</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I-I-0525</t>
        </is>
      </c>
      <c r="B5025" s="12" t="inlineStr">
        <is>
          <t>I</t>
        </is>
      </c>
      <c r="C5025" s="12" t="inlineStr">
        <is>
          <t>Modular / portable power</t>
        </is>
      </c>
      <c r="D5025" s="12" t="inlineStr">
        <is>
          <t>Discrete device to JB JB-TM-1-DI03: 20 x 1 pr (field cables)</t>
        </is>
      </c>
      <c r="E5025" s="12" t="inlineStr">
        <is>
          <t>TM-1</t>
        </is>
      </c>
      <c r="F5025" s="12" t="inlineStr">
        <is>
          <t>TM-1: trailer-mounted aeroderivative GT (TM2500 class, ~35 MW)</t>
        </is>
      </c>
      <c r="G5025" s="12" t="inlineStr">
        <is>
          <t>JB-TM-1-DI03</t>
        </is>
      </c>
      <c r="H5025" s="12" t="inlineStr">
        <is>
          <t>TM-1: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I-I-0526</t>
        </is>
      </c>
      <c r="B5026" s="12" t="inlineStr">
        <is>
          <t>I</t>
        </is>
      </c>
      <c r="C5026" s="12" t="inlineStr">
        <is>
          <t>Modular / portable power</t>
        </is>
      </c>
      <c r="D5026" s="12" t="inlineStr">
        <is>
          <t>Home run JB-TM-1-DI03 to the control / marshalling room</t>
        </is>
      </c>
      <c r="E5026" s="12" t="inlineStr">
        <is>
          <t>PAD-EH</t>
        </is>
      </c>
      <c r="F5026" s="12" t="inlineStr">
        <is>
          <t>PAD-EH 13.8 kV switchgear e-house</t>
        </is>
      </c>
      <c r="G5026" s="12" t="inlineStr">
        <is>
          <t>JB-TM-1-DI03</t>
        </is>
      </c>
      <c r="H5026" s="12" t="inlineStr">
        <is>
          <t>TM-1: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382</v>
      </c>
      <c r="U5026" s="16" t="n">
        <v>50</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I-I-0527</t>
        </is>
      </c>
      <c r="B5027" s="12" t="inlineStr">
        <is>
          <t>I</t>
        </is>
      </c>
      <c r="C5027" s="12" t="inlineStr">
        <is>
          <t>Modular / portable power</t>
        </is>
      </c>
      <c r="D5027" s="12" t="inlineStr">
        <is>
          <t>Thermocouple to TC JB JB-TM-1-TC01: 20 x 1 pr (field cables)</t>
        </is>
      </c>
      <c r="E5027" s="12" t="inlineStr">
        <is>
          <t>TM-1</t>
        </is>
      </c>
      <c r="F5027" s="12" t="inlineStr">
        <is>
          <t>TM-1: trailer-mounted aeroderivative GT (TM2500 class, ~35 MW)</t>
        </is>
      </c>
      <c r="G5027" s="12" t="inlineStr">
        <is>
          <t>JB-TM-1-TC01</t>
        </is>
      </c>
      <c r="H5027" s="12" t="inlineStr">
        <is>
          <t>TM-1: trailer-mounted aeroderivative GT (TM2500 class, ~35 MW)</t>
        </is>
      </c>
      <c r="I5027" s="12" t="inlineStr">
        <is>
          <t>Instrumentation</t>
        </is>
      </c>
      <c r="J5027" s="12" t="inlineStr">
        <is>
          <t>Thermocouple extension KX, #16 shielded pairs, PLTC</t>
        </is>
      </c>
      <c r="K5027" s="12" t="inlineStr">
        <is>
          <t>TCX|1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I-I-0528</t>
        </is>
      </c>
      <c r="B5028" s="12" t="inlineStr">
        <is>
          <t>I</t>
        </is>
      </c>
      <c r="C5028" s="12" t="inlineStr">
        <is>
          <t>Modular / portable power</t>
        </is>
      </c>
      <c r="D5028" s="12" t="inlineStr">
        <is>
          <t>Home run JB-TM-1-TC01 to the control / marshalling room</t>
        </is>
      </c>
      <c r="E5028" s="12" t="inlineStr">
        <is>
          <t>PAD-EH</t>
        </is>
      </c>
      <c r="F5028" s="12" t="inlineStr">
        <is>
          <t>PAD-EH 13.8 kV switchgear e-house</t>
        </is>
      </c>
      <c r="G5028" s="12" t="inlineStr">
        <is>
          <t>JB-TM-1-TC01</t>
        </is>
      </c>
      <c r="H5028" s="12" t="inlineStr">
        <is>
          <t>TM-1: trailer-mounted aeroderivative GT (TM2500 class, ~35 MW)</t>
        </is>
      </c>
      <c r="I5028" s="12" t="inlineStr">
        <is>
          <t>Instrumentation</t>
        </is>
      </c>
      <c r="J5028" s="12" t="inlineStr">
        <is>
          <t>Thermocouple extension KX, #16 shielded pairs, PLTC</t>
        </is>
      </c>
      <c r="K5028" s="12" t="inlineStr">
        <is>
          <t>TCX|24 pr|16</t>
        </is>
      </c>
      <c r="L5028" s="12" t="inlineStr">
        <is>
          <t>24 pr</t>
        </is>
      </c>
      <c r="M5028" s="12" t="inlineStr">
        <is>
          <t>16</t>
        </is>
      </c>
      <c r="N5028" s="12" t="n">
        <v>1</v>
      </c>
      <c r="O5028" s="12" t="n">
        <v>1</v>
      </c>
      <c r="P5028" s="12" t="n"/>
      <c r="Q5028" s="12" t="n"/>
      <c r="R5028" s="12" t="n"/>
      <c r="S5028" s="12" t="inlineStr">
        <is>
          <t>Surface</t>
        </is>
      </c>
      <c r="T5028" s="16" t="n">
        <v>382</v>
      </c>
      <c r="U5028" s="16" t="n">
        <v>50</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I-I-0529</t>
        </is>
      </c>
      <c r="B5029" s="12" t="inlineStr">
        <is>
          <t>I</t>
        </is>
      </c>
      <c r="C5029" s="12" t="inlineStr">
        <is>
          <t>Modular / portable power</t>
        </is>
      </c>
      <c r="D5029" s="12" t="inlineStr">
        <is>
          <t>Analog instrument to JB JB-TM-2-AI01: 20 x 1 pr (field cables)</t>
        </is>
      </c>
      <c r="E5029" s="12" t="inlineStr">
        <is>
          <t>TM-2</t>
        </is>
      </c>
      <c r="F5029" s="12" t="inlineStr">
        <is>
          <t>TM-2: trailer-mounted aeroderivative GT (TM2500 class, ~35 MW)</t>
        </is>
      </c>
      <c r="G5029" s="12" t="inlineStr">
        <is>
          <t>JB-TM-2-AI01</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I-I-0530</t>
        </is>
      </c>
      <c r="B5030" s="12" t="inlineStr">
        <is>
          <t>I</t>
        </is>
      </c>
      <c r="C5030" s="12" t="inlineStr">
        <is>
          <t>Modular / portable power</t>
        </is>
      </c>
      <c r="D5030" s="12" t="inlineStr">
        <is>
          <t>Home run JB-TM-2-AI01 to the control / marshalling room</t>
        </is>
      </c>
      <c r="E5030" s="12" t="inlineStr">
        <is>
          <t>PAD-EH</t>
        </is>
      </c>
      <c r="F5030" s="12" t="inlineStr">
        <is>
          <t>PAD-EH 13.8 kV switchgear e-house</t>
        </is>
      </c>
      <c r="G5030" s="12" t="inlineStr">
        <is>
          <t>JB-TM-2-AI01</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I-I-0531</t>
        </is>
      </c>
      <c r="B5031" s="12" t="inlineStr">
        <is>
          <t>I</t>
        </is>
      </c>
      <c r="C5031" s="12" t="inlineStr">
        <is>
          <t>Modular / portable power</t>
        </is>
      </c>
      <c r="D5031" s="12" t="inlineStr">
        <is>
          <t>Analog instrument to JB JB-TM-2-AI02: 20 x 1 pr (field cables)</t>
        </is>
      </c>
      <c r="E5031" s="12" t="inlineStr">
        <is>
          <t>TM-2</t>
        </is>
      </c>
      <c r="F5031" s="12" t="inlineStr">
        <is>
          <t>TM-2: trailer-mounted aeroderivative GT (TM2500 class, ~35 MW)</t>
        </is>
      </c>
      <c r="G5031" s="12" t="inlineStr">
        <is>
          <t>JB-TM-2-AI02</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I-I-0532</t>
        </is>
      </c>
      <c r="B5032" s="12" t="inlineStr">
        <is>
          <t>I</t>
        </is>
      </c>
      <c r="C5032" s="12" t="inlineStr">
        <is>
          <t>Modular / portable power</t>
        </is>
      </c>
      <c r="D5032" s="12" t="inlineStr">
        <is>
          <t>Home run JB-TM-2-AI02 to the control / marshalling room</t>
        </is>
      </c>
      <c r="E5032" s="12" t="inlineStr">
        <is>
          <t>PAD-EH</t>
        </is>
      </c>
      <c r="F5032" s="12" t="inlineStr">
        <is>
          <t>PAD-EH 13.8 kV switchgear e-house</t>
        </is>
      </c>
      <c r="G5032" s="12" t="inlineStr">
        <is>
          <t>JB-TM-2-AI02</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I-I-0533</t>
        </is>
      </c>
      <c r="B5033" s="12" t="inlineStr">
        <is>
          <t>I</t>
        </is>
      </c>
      <c r="C5033" s="12" t="inlineStr">
        <is>
          <t>Modular / portable power</t>
        </is>
      </c>
      <c r="D5033" s="12" t="inlineStr">
        <is>
          <t>Analog instrument to JB JB-TM-2-AI03: 20 x 1 pr (field cables)</t>
        </is>
      </c>
      <c r="E5033" s="12" t="inlineStr">
        <is>
          <t>TM-2</t>
        </is>
      </c>
      <c r="F5033" s="12" t="inlineStr">
        <is>
          <t>TM-2: trailer-mounted aeroderivative GT (TM2500 class, ~35 MW)</t>
        </is>
      </c>
      <c r="G5033" s="12" t="inlineStr">
        <is>
          <t>JB-TM-2-AI03</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I-I-0534</t>
        </is>
      </c>
      <c r="B5034" s="12" t="inlineStr">
        <is>
          <t>I</t>
        </is>
      </c>
      <c r="C5034" s="12" t="inlineStr">
        <is>
          <t>Modular / portable power</t>
        </is>
      </c>
      <c r="D5034" s="12" t="inlineStr">
        <is>
          <t>Home run JB-TM-2-AI03 to the control / marshalling room</t>
        </is>
      </c>
      <c r="E5034" s="12" t="inlineStr">
        <is>
          <t>PAD-EH</t>
        </is>
      </c>
      <c r="F5034" s="12" t="inlineStr">
        <is>
          <t>PAD-EH 13.8 kV switchgear e-house</t>
        </is>
      </c>
      <c r="G5034" s="12" t="inlineStr">
        <is>
          <t>JB-TM-2-AI03</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I-I-0535</t>
        </is>
      </c>
      <c r="B5035" s="12" t="inlineStr">
        <is>
          <t>I</t>
        </is>
      </c>
      <c r="C5035" s="12" t="inlineStr">
        <is>
          <t>Modular / portable power</t>
        </is>
      </c>
      <c r="D5035" s="12" t="inlineStr">
        <is>
          <t>Analog instrument to JB JB-TM-2-AI04: 20 x 1 pr (field cables)</t>
        </is>
      </c>
      <c r="E5035" s="12" t="inlineStr">
        <is>
          <t>TM-2</t>
        </is>
      </c>
      <c r="F5035" s="12" t="inlineStr">
        <is>
          <t>TM-2: trailer-mounted aeroderivative GT (TM2500 class, ~35 MW)</t>
        </is>
      </c>
      <c r="G5035" s="12" t="inlineStr">
        <is>
          <t>JB-TM-2-AI04</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I-I-0536</t>
        </is>
      </c>
      <c r="B5036" s="12" t="inlineStr">
        <is>
          <t>I</t>
        </is>
      </c>
      <c r="C5036" s="12" t="inlineStr">
        <is>
          <t>Modular / portable power</t>
        </is>
      </c>
      <c r="D5036" s="12" t="inlineStr">
        <is>
          <t>Home run JB-TM-2-AI04 to the control / marshalling room</t>
        </is>
      </c>
      <c r="E5036" s="12" t="inlineStr">
        <is>
          <t>PAD-EH</t>
        </is>
      </c>
      <c r="F5036" s="12" t="inlineStr">
        <is>
          <t>PAD-EH 13.8 kV switchgear e-house</t>
        </is>
      </c>
      <c r="G5036" s="12" t="inlineStr">
        <is>
          <t>JB-TM-2-AI04</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I-I-0537</t>
        </is>
      </c>
      <c r="B5037" s="12" t="inlineStr">
        <is>
          <t>I</t>
        </is>
      </c>
      <c r="C5037" s="12" t="inlineStr">
        <is>
          <t>Modular / portable power</t>
        </is>
      </c>
      <c r="D5037" s="12" t="inlineStr">
        <is>
          <t>Analog instrument to JB JB-TM-2-AI05: 20 x 1 pr (field cables)</t>
        </is>
      </c>
      <c r="E5037" s="12" t="inlineStr">
        <is>
          <t>TM-2</t>
        </is>
      </c>
      <c r="F5037" s="12" t="inlineStr">
        <is>
          <t>TM-2: trailer-mounted aeroderivative GT (TM2500 class, ~35 MW)</t>
        </is>
      </c>
      <c r="G5037" s="12" t="inlineStr">
        <is>
          <t>JB-TM-2-AI05</t>
        </is>
      </c>
      <c r="H5037" s="12" t="inlineStr">
        <is>
          <t>TM-2: trailer-mounted aeroderivative GT (TM2500 class, ~35 MW)</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I-I-0538</t>
        </is>
      </c>
      <c r="B5038" s="12" t="inlineStr">
        <is>
          <t>I</t>
        </is>
      </c>
      <c r="C5038" s="12" t="inlineStr">
        <is>
          <t>Modular / portable power</t>
        </is>
      </c>
      <c r="D5038" s="12" t="inlineStr">
        <is>
          <t>Home run JB-TM-2-AI05 to the control / marshalling room</t>
        </is>
      </c>
      <c r="E5038" s="12" t="inlineStr">
        <is>
          <t>PAD-EH</t>
        </is>
      </c>
      <c r="F5038" s="12" t="inlineStr">
        <is>
          <t>PAD-EH 13.8 kV switchgear e-house</t>
        </is>
      </c>
      <c r="G5038" s="12" t="inlineStr">
        <is>
          <t>JB-TM-2-AI05</t>
        </is>
      </c>
      <c r="H5038" s="12" t="inlineStr">
        <is>
          <t>TM-2: trailer-mounted aeroderivative GT (TM2500 class, ~35 MW)</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I-I-0539</t>
        </is>
      </c>
      <c r="B5039" s="12" t="inlineStr">
        <is>
          <t>I</t>
        </is>
      </c>
      <c r="C5039" s="12" t="inlineStr">
        <is>
          <t>Modular / portable power</t>
        </is>
      </c>
      <c r="D5039" s="12" t="inlineStr">
        <is>
          <t>Discrete device to JB JB-TM-2-DI01: 20 x 1 pr (field cables)</t>
        </is>
      </c>
      <c r="E5039" s="12" t="inlineStr">
        <is>
          <t>TM-2</t>
        </is>
      </c>
      <c r="F5039" s="12" t="inlineStr">
        <is>
          <t>TM-2: trailer-mounted aeroderivative GT (TM2500 class, ~35 MW)</t>
        </is>
      </c>
      <c r="G5039" s="12" t="inlineStr">
        <is>
          <t>JB-TM-2-DI01</t>
        </is>
      </c>
      <c r="H5039" s="12" t="inlineStr">
        <is>
          <t>TM-2: trailer-mounted aeroderivative GT (TM2500 class, ~35 MW)</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6" t="n">
        <v>108</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I-I-0540</t>
        </is>
      </c>
      <c r="B5040" s="12" t="inlineStr">
        <is>
          <t>I</t>
        </is>
      </c>
      <c r="C5040" s="12" t="inlineStr">
        <is>
          <t>Modular / portable power</t>
        </is>
      </c>
      <c r="D5040" s="12" t="inlineStr">
        <is>
          <t>Home run JB-TM-2-DI01 to the control / marshalling room</t>
        </is>
      </c>
      <c r="E5040" s="12" t="inlineStr">
        <is>
          <t>PAD-EH</t>
        </is>
      </c>
      <c r="F5040" s="12" t="inlineStr">
        <is>
          <t>PAD-EH 13.8 kV switchgear e-house</t>
        </is>
      </c>
      <c r="G5040" s="12" t="inlineStr">
        <is>
          <t>JB-TM-2-DI01</t>
        </is>
      </c>
      <c r="H5040" s="12" t="inlineStr">
        <is>
          <t>TM-2: trailer-mounted aeroderivative GT (TM2500 class, ~35 MW)</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Surface</t>
        </is>
      </c>
      <c r="T5040" s="16" t="n">
        <v>386</v>
      </c>
      <c r="U5040" s="16" t="n">
        <v>52</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I-I-0541</t>
        </is>
      </c>
      <c r="B5041" s="12" t="inlineStr">
        <is>
          <t>I</t>
        </is>
      </c>
      <c r="C5041" s="12" t="inlineStr">
        <is>
          <t>Modular / portable power</t>
        </is>
      </c>
      <c r="D5041" s="12" t="inlineStr">
        <is>
          <t>Discrete device to JB JB-TM-2-DI02: 20 x 1 pr (field cables)</t>
        </is>
      </c>
      <c r="E5041" s="12" t="inlineStr">
        <is>
          <t>TM-2</t>
        </is>
      </c>
      <c r="F5041" s="12" t="inlineStr">
        <is>
          <t>TM-2: trailer-mounted aeroderivative GT (TM2500 class, ~35 MW)</t>
        </is>
      </c>
      <c r="G5041" s="12" t="inlineStr">
        <is>
          <t>JB-TM-2-DI02</t>
        </is>
      </c>
      <c r="H5041" s="12" t="inlineStr">
        <is>
          <t>TM-2: trailer-mounted aeroderivative GT (TM2500 class, ~35 MW)</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20</v>
      </c>
      <c r="O5041" s="12" t="n">
        <v>1</v>
      </c>
      <c r="P5041" s="12" t="n"/>
      <c r="Q5041" s="12" t="n"/>
      <c r="R5041" s="12" t="n"/>
      <c r="S5041" s="12" t="inlineStr">
        <is>
          <t>Tray / conduit</t>
        </is>
      </c>
      <c r="T5041" s="16" t="n">
        <v>108</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I-I-0542</t>
        </is>
      </c>
      <c r="B5042" s="12" t="inlineStr">
        <is>
          <t>I</t>
        </is>
      </c>
      <c r="C5042" s="12" t="inlineStr">
        <is>
          <t>Modular / portable power</t>
        </is>
      </c>
      <c r="D5042" s="12" t="inlineStr">
        <is>
          <t>Home run JB-TM-2-DI02 to the control / marshalling room</t>
        </is>
      </c>
      <c r="E5042" s="12" t="inlineStr">
        <is>
          <t>PAD-EH</t>
        </is>
      </c>
      <c r="F5042" s="12" t="inlineStr">
        <is>
          <t>PAD-EH 13.8 kV switchgear e-house</t>
        </is>
      </c>
      <c r="G5042" s="12" t="inlineStr">
        <is>
          <t>JB-TM-2-DI02</t>
        </is>
      </c>
      <c r="H5042" s="12" t="inlineStr">
        <is>
          <t>TM-2: trailer-mounted aeroderivative GT (TM2500 class, ~35 MW)</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Surface</t>
        </is>
      </c>
      <c r="T5042" s="16" t="n">
        <v>386</v>
      </c>
      <c r="U5042" s="16" t="n">
        <v>52</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I-I-0543</t>
        </is>
      </c>
      <c r="B5043" s="12" t="inlineStr">
        <is>
          <t>I</t>
        </is>
      </c>
      <c r="C5043" s="12" t="inlineStr">
        <is>
          <t>Modular / portable power</t>
        </is>
      </c>
      <c r="D5043" s="12" t="inlineStr">
        <is>
          <t>Discrete device to JB JB-TM-2-DI03: 20 x 1 pr (field cables)</t>
        </is>
      </c>
      <c r="E5043" s="12" t="inlineStr">
        <is>
          <t>TM-2</t>
        </is>
      </c>
      <c r="F5043" s="12" t="inlineStr">
        <is>
          <t>TM-2: trailer-mounted aeroderivative GT (TM2500 class, ~35 MW)</t>
        </is>
      </c>
      <c r="G5043" s="12" t="inlineStr">
        <is>
          <t>JB-TM-2-DI03</t>
        </is>
      </c>
      <c r="H5043" s="12" t="inlineStr">
        <is>
          <t>TM-2: trailer-mounted aeroderivative GT (TM2500 class, ~35 MW)</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6" t="n">
        <v>108</v>
      </c>
      <c r="U5043" s="16" t="n">
        <v>10</v>
      </c>
      <c r="V5043" s="16">
        <f>ROUNDUP((T5043+U5043+2*'Read Me'!$B$13)*(1+'Read Me'!$B$12),-1)</f>
        <v/>
      </c>
      <c r="W5043" s="16">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I-I-0544</t>
        </is>
      </c>
      <c r="B5044" s="12" t="inlineStr">
        <is>
          <t>I</t>
        </is>
      </c>
      <c r="C5044" s="12" t="inlineStr">
        <is>
          <t>Modular / portable power</t>
        </is>
      </c>
      <c r="D5044" s="12" t="inlineStr">
        <is>
          <t>Home run JB-TM-2-DI03 to the control / marshalling room</t>
        </is>
      </c>
      <c r="E5044" s="12" t="inlineStr">
        <is>
          <t>PAD-EH</t>
        </is>
      </c>
      <c r="F5044" s="12" t="inlineStr">
        <is>
          <t>PAD-EH 13.8 kV switchgear e-house</t>
        </is>
      </c>
      <c r="G5044" s="12" t="inlineStr">
        <is>
          <t>JB-TM-2-DI03</t>
        </is>
      </c>
      <c r="H5044" s="12" t="inlineStr">
        <is>
          <t>TM-2: trailer-mounted aeroderivative GT (TM2500 class, ~35 MW)</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Surface</t>
        </is>
      </c>
      <c r="T5044" s="16" t="n">
        <v>386</v>
      </c>
      <c r="U5044" s="16" t="n">
        <v>52</v>
      </c>
      <c r="V5044" s="16">
        <f>ROUNDUP((T5044+U5044+2*'Read Me'!$B$13)*(1+'Read Me'!$B$12),-1)</f>
        <v/>
      </c>
      <c r="W5044" s="16">
        <f>V5044*N5044*O5044</f>
        <v/>
      </c>
      <c r="X5044" s="12">
        <f>IF(LEFT(I5044,2)="MV",2*N5044*IF(L5044="1/C",O5044,1),0)</f>
        <v/>
      </c>
      <c r="Y5044" s="12">
        <f>IF(OR(LEFT(K5044,4)="LVAX",LEFT(K5044,6)="MV15AX",LEFT(K5044,4)="CTAX",LEFT(K5044,2)="W|"),2*N5044*O5044,0)</f>
        <v/>
      </c>
      <c r="Z5044" s="12" t="inlineStr"/>
      <c r="AA5044" s="12">
        <f>N5044*O5044</f>
        <v/>
      </c>
    </row>
    <row r="5045">
      <c r="A5045" s="12" t="inlineStr">
        <is>
          <t>I-I-0545</t>
        </is>
      </c>
      <c r="B5045" s="12" t="inlineStr">
        <is>
          <t>I</t>
        </is>
      </c>
      <c r="C5045" s="12" t="inlineStr">
        <is>
          <t>Modular / portable power</t>
        </is>
      </c>
      <c r="D5045" s="12" t="inlineStr">
        <is>
          <t>Thermocouple to TC JB JB-TM-2-TC01: 20 x 1 pr (field cables)</t>
        </is>
      </c>
      <c r="E5045" s="12" t="inlineStr">
        <is>
          <t>TM-2</t>
        </is>
      </c>
      <c r="F5045" s="12" t="inlineStr">
        <is>
          <t>TM-2: trailer-mounted aeroderivative GT (TM2500 class, ~35 MW)</t>
        </is>
      </c>
      <c r="G5045" s="12" t="inlineStr">
        <is>
          <t>JB-TM-2-TC01</t>
        </is>
      </c>
      <c r="H5045" s="12" t="inlineStr">
        <is>
          <t>TM-2: trailer-mounted aeroderivative GT (TM2500 class, ~35 MW)</t>
        </is>
      </c>
      <c r="I5045" s="12" t="inlineStr">
        <is>
          <t>Instrumentation</t>
        </is>
      </c>
      <c r="J5045" s="12" t="inlineStr">
        <is>
          <t>Thermocouple extension KX, #16 shielded pairs, PLTC</t>
        </is>
      </c>
      <c r="K5045" s="12" t="inlineStr">
        <is>
          <t>TCX|1 pr|16</t>
        </is>
      </c>
      <c r="L5045" s="12" t="inlineStr">
        <is>
          <t>1 pr</t>
        </is>
      </c>
      <c r="M5045" s="12" t="inlineStr">
        <is>
          <t>16</t>
        </is>
      </c>
      <c r="N5045" s="12" t="n">
        <v>20</v>
      </c>
      <c r="O5045" s="12" t="n">
        <v>1</v>
      </c>
      <c r="P5045" s="12" t="n"/>
      <c r="Q5045" s="12" t="n"/>
      <c r="R5045" s="12" t="n"/>
      <c r="S5045" s="12" t="inlineStr">
        <is>
          <t>Tray / conduit</t>
        </is>
      </c>
      <c r="T5045" s="16" t="n">
        <v>108</v>
      </c>
      <c r="U5045" s="16" t="n">
        <v>10</v>
      </c>
      <c r="V5045" s="16">
        <f>ROUNDUP((T5045+U5045+2*'Read Me'!$B$13)*(1+'Read Me'!$B$12),-1)</f>
        <v/>
      </c>
      <c r="W5045" s="16">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I-I-0546</t>
        </is>
      </c>
      <c r="B5046" s="12" t="inlineStr">
        <is>
          <t>I</t>
        </is>
      </c>
      <c r="C5046" s="12" t="inlineStr">
        <is>
          <t>Modular / portable power</t>
        </is>
      </c>
      <c r="D5046" s="12" t="inlineStr">
        <is>
          <t>Home run JB-TM-2-TC01 to the control / marshalling room</t>
        </is>
      </c>
      <c r="E5046" s="12" t="inlineStr">
        <is>
          <t>PAD-EH</t>
        </is>
      </c>
      <c r="F5046" s="12" t="inlineStr">
        <is>
          <t>PAD-EH 13.8 kV switchgear e-house</t>
        </is>
      </c>
      <c r="G5046" s="12" t="inlineStr">
        <is>
          <t>JB-TM-2-TC01</t>
        </is>
      </c>
      <c r="H5046" s="12" t="inlineStr">
        <is>
          <t>TM-2: trailer-mounted aeroderivative GT (TM2500 class, ~35 MW)</t>
        </is>
      </c>
      <c r="I5046" s="12" t="inlineStr">
        <is>
          <t>Instrumentation</t>
        </is>
      </c>
      <c r="J5046" s="12" t="inlineStr">
        <is>
          <t>Thermocouple extension KX, #16 shielded pairs, PLTC</t>
        </is>
      </c>
      <c r="K5046" s="12" t="inlineStr">
        <is>
          <t>TCX|24 pr|16</t>
        </is>
      </c>
      <c r="L5046" s="12" t="inlineStr">
        <is>
          <t>24 pr</t>
        </is>
      </c>
      <c r="M5046" s="12" t="inlineStr">
        <is>
          <t>16</t>
        </is>
      </c>
      <c r="N5046" s="12" t="n">
        <v>1</v>
      </c>
      <c r="O5046" s="12" t="n">
        <v>1</v>
      </c>
      <c r="P5046" s="12" t="n"/>
      <c r="Q5046" s="12" t="n"/>
      <c r="R5046" s="12" t="n"/>
      <c r="S5046" s="12" t="inlineStr">
        <is>
          <t>Surface</t>
        </is>
      </c>
      <c r="T5046" s="16" t="n">
        <v>386</v>
      </c>
      <c r="U5046" s="16" t="n">
        <v>52</v>
      </c>
      <c r="V5046" s="16">
        <f>ROUNDUP((T5046+U5046+2*'Read Me'!$B$13)*(1+'Read Me'!$B$12),-1)</f>
        <v/>
      </c>
      <c r="W5046" s="16">
        <f>V5046*N5046*O5046</f>
        <v/>
      </c>
      <c r="X5046" s="12">
        <f>IF(LEFT(I5046,2)="MV",2*N5046*IF(L5046="1/C",O5046,1),0)</f>
        <v/>
      </c>
      <c r="Y5046" s="12">
        <f>IF(OR(LEFT(K5046,4)="LVAX",LEFT(K5046,6)="MV15AX",LEFT(K5046,4)="CTAX",LEFT(K5046,2)="W|"),2*N5046*O5046,0)</f>
        <v/>
      </c>
      <c r="Z5046" s="12" t="inlineStr"/>
      <c r="AA5046" s="12">
        <f>N5046*O5046</f>
        <v/>
      </c>
    </row>
    <row r="5047">
      <c r="A5047" s="12" t="inlineStr">
        <is>
          <t>I-I-0547</t>
        </is>
      </c>
      <c r="B5047" s="12" t="inlineStr">
        <is>
          <t>I</t>
        </is>
      </c>
      <c r="C5047" s="12" t="inlineStr">
        <is>
          <t>Modular / portable power</t>
        </is>
      </c>
      <c r="D5047" s="12" t="inlineStr">
        <is>
          <t>Analog instrument to JB JB-Water-injection sk-AI01: 10 x 1 pr (field cables)</t>
        </is>
      </c>
      <c r="E5047" s="12" t="inlineStr"/>
      <c r="F5047" s="12" t="inlineStr">
        <is>
          <t>Water-injection skid</t>
        </is>
      </c>
      <c r="G5047" s="12" t="inlineStr">
        <is>
          <t>JB-Water-injection sk-AI01</t>
        </is>
      </c>
      <c r="H5047" s="12" t="inlineStr">
        <is>
          <t>Water-injection skid</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10</v>
      </c>
      <c r="O5047" s="12" t="n">
        <v>1</v>
      </c>
      <c r="P5047" s="12" t="n"/>
      <c r="Q5047" s="12" t="n"/>
      <c r="R5047" s="12" t="n"/>
      <c r="S5047" s="12" t="inlineStr">
        <is>
          <t>Tray / conduit</t>
        </is>
      </c>
      <c r="T5047" s="16" t="n">
        <v>43</v>
      </c>
      <c r="U5047" s="16" t="n">
        <v>10</v>
      </c>
      <c r="V5047" s="16">
        <f>ROUNDUP((T5047+U5047+2*'Read Me'!$B$13)*(1+'Read Me'!$B$12),-1)</f>
        <v/>
      </c>
      <c r="W5047" s="16">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I-I-0548</t>
        </is>
      </c>
      <c r="B5048" s="12" t="inlineStr">
        <is>
          <t>I</t>
        </is>
      </c>
      <c r="C5048" s="12" t="inlineStr">
        <is>
          <t>Modular / portable power</t>
        </is>
      </c>
      <c r="D5048" s="12" t="inlineStr">
        <is>
          <t>Home run JB-Water-injection sk-AI01 to the control / marshalling room</t>
        </is>
      </c>
      <c r="E5048" s="12" t="inlineStr"/>
      <c r="F5048" s="12" t="inlineStr">
        <is>
          <t>SC-2 PCM + 15 kV GCB</t>
        </is>
      </c>
      <c r="G5048" s="12" t="inlineStr">
        <is>
          <t>JB-Water-injection sk-AI01</t>
        </is>
      </c>
      <c r="H5048" s="12" t="inlineStr">
        <is>
          <t>Water-injection skid</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6" t="n">
        <v>0</v>
      </c>
      <c r="U5048" s="16" t="n">
        <v>60</v>
      </c>
      <c r="V5048" s="16">
        <f>ROUNDUP((T5048+U5048+2*'Read Me'!$B$13)*(1+'Read Me'!$B$12),-1)</f>
        <v/>
      </c>
      <c r="W5048" s="16">
        <f>V5048*N5048*O5048</f>
        <v/>
      </c>
      <c r="X5048" s="12">
        <f>IF(LEFT(I5048,2)="MV",2*N5048*IF(L5048="1/C",O5048,1),0)</f>
        <v/>
      </c>
      <c r="Y5048" s="12">
        <f>IF(OR(LEFT(K5048,4)="LVAX",LEFT(K5048,6)="MV15AX",LEFT(K5048,4)="CTAX",LEFT(K5048,2)="W|"),2*N5048*O5048,0)</f>
        <v/>
      </c>
      <c r="Z5048" s="12" t="inlineStr"/>
      <c r="AA5048" s="12">
        <f>N5048*O5048</f>
        <v/>
      </c>
    </row>
    <row r="5049">
      <c r="A5049" s="12" t="inlineStr">
        <is>
          <t>I-I-0549</t>
        </is>
      </c>
      <c r="B5049" s="12" t="inlineStr">
        <is>
          <t>I</t>
        </is>
      </c>
      <c r="C5049" s="12" t="inlineStr">
        <is>
          <t>Modular / portable power</t>
        </is>
      </c>
      <c r="D5049" s="12" t="inlineStr">
        <is>
          <t>Discrete device to JB JB-Water-injection sk-DI01: 10 x 1 pr (field cables)</t>
        </is>
      </c>
      <c r="E5049" s="12" t="inlineStr"/>
      <c r="F5049" s="12" t="inlineStr">
        <is>
          <t>Water-injection skid</t>
        </is>
      </c>
      <c r="G5049" s="12" t="inlineStr">
        <is>
          <t>JB-Water-injection sk-DI01</t>
        </is>
      </c>
      <c r="H5049" s="12" t="inlineStr">
        <is>
          <t>Water-injection skid</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10</v>
      </c>
      <c r="O5049" s="12" t="n">
        <v>1</v>
      </c>
      <c r="P5049" s="12" t="n"/>
      <c r="Q5049" s="12" t="n"/>
      <c r="R5049" s="12" t="n"/>
      <c r="S5049" s="12" t="inlineStr">
        <is>
          <t>Tray / conduit</t>
        </is>
      </c>
      <c r="T5049" s="16" t="n">
        <v>43</v>
      </c>
      <c r="U5049" s="16" t="n">
        <v>10</v>
      </c>
      <c r="V5049" s="16">
        <f>ROUNDUP((T5049+U5049+2*'Read Me'!$B$13)*(1+'Read Me'!$B$12),-1)</f>
        <v/>
      </c>
      <c r="W5049" s="16">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I-I-0550</t>
        </is>
      </c>
      <c r="B5050" s="12" t="inlineStr">
        <is>
          <t>I</t>
        </is>
      </c>
      <c r="C5050" s="12" t="inlineStr">
        <is>
          <t>Modular / portable power</t>
        </is>
      </c>
      <c r="D5050" s="12" t="inlineStr">
        <is>
          <t>Home run JB-Water-injection sk-DI01 to the control / marshalling room</t>
        </is>
      </c>
      <c r="E5050" s="12" t="inlineStr"/>
      <c r="F5050" s="12" t="inlineStr">
        <is>
          <t>SC-2 PCM + 15 kV GCB</t>
        </is>
      </c>
      <c r="G5050" s="12" t="inlineStr">
        <is>
          <t>JB-Water-injection sk-DI01</t>
        </is>
      </c>
      <c r="H5050" s="12" t="inlineStr">
        <is>
          <t>Water-injection skid</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6" t="n">
        <v>0</v>
      </c>
      <c r="U5050" s="16" t="n">
        <v>60</v>
      </c>
      <c r="V5050" s="16">
        <f>ROUNDUP((T5050+U5050+2*'Read Me'!$B$13)*(1+'Read Me'!$B$12),-1)</f>
        <v/>
      </c>
      <c r="W5050" s="16">
        <f>V5050*N5050*O5050</f>
        <v/>
      </c>
      <c r="X5050" s="12">
        <f>IF(LEFT(I5050,2)="MV",2*N5050*IF(L5050="1/C",O5050,1),0)</f>
        <v/>
      </c>
      <c r="Y5050" s="12">
        <f>IF(OR(LEFT(K5050,4)="LVAX",LEFT(K5050,6)="MV15AX",LEFT(K5050,4)="CTAX",LEFT(K5050,2)="W|"),2*N5050*O5050,0)</f>
        <v/>
      </c>
      <c r="Z5050" s="12" t="inlineStr"/>
      <c r="AA5050" s="12">
        <f>N5050*O5050</f>
        <v/>
      </c>
    </row>
    <row r="5051">
      <c r="A5051" s="12" t="inlineStr">
        <is>
          <t>I-P-0001</t>
        </is>
      </c>
      <c r="B5051" s="12" t="inlineStr">
        <is>
          <t>I</t>
        </is>
      </c>
      <c r="C5051" s="12" t="inlineStr">
        <is>
          <t>Modular / portable power</t>
        </is>
      </c>
      <c r="D5051" s="12" t="inlineStr">
        <is>
          <t>Motor 1 of 2, 3.7 kW</t>
        </is>
      </c>
      <c r="E5051" s="12" t="inlineStr"/>
      <c r="F5051" s="12" t="inlineStr">
        <is>
          <t>SC-2 PCM + 15 kV GCB</t>
        </is>
      </c>
      <c r="G5051" s="12" t="inlineStr"/>
      <c r="H5051" s="12" t="inlineStr">
        <is>
          <t>Aqueous ammonia (SC units)</t>
        </is>
      </c>
      <c r="I5051" s="12" t="inlineStr">
        <is>
          <t>LV 600 V</t>
        </is>
      </c>
      <c r="J5051" s="12" t="inlineStr">
        <is>
          <t>Type TC-ER 600 V 3/C Cu XHHW-2 + ground, PVC jacket</t>
        </is>
      </c>
      <c r="K5051" s="12" t="inlineStr">
        <is>
          <t>LV|3/C+G|10</t>
        </is>
      </c>
      <c r="L5051" s="12" t="inlineStr">
        <is>
          <t>3/C+G</t>
        </is>
      </c>
      <c r="M5051" s="12" t="inlineStr">
        <is>
          <t>10</t>
        </is>
      </c>
      <c r="N5051" s="12" t="n">
        <v>1</v>
      </c>
      <c r="O5051" s="12" t="n">
        <v>1</v>
      </c>
      <c r="P5051" s="12" t="n">
        <v>480</v>
      </c>
      <c r="Q5051" s="12" t="n">
        <v>3.7</v>
      </c>
      <c r="R5051" s="12" t="n">
        <v>5.2</v>
      </c>
      <c r="S5051" s="12" t="inlineStr">
        <is>
          <t>Tray</t>
        </is>
      </c>
      <c r="T5051" s="16" t="n">
        <v>0</v>
      </c>
      <c r="U5051" s="16" t="n">
        <v>98</v>
      </c>
      <c r="V5051" s="16">
        <f>ROUNDUP((T5051+U5051+2*'Read Me'!$B$13)*(1+'Read Me'!$B$12),-1)</f>
        <v/>
      </c>
      <c r="W5051" s="16">
        <f>V5051*N5051*O5051</f>
        <v/>
      </c>
      <c r="X5051" s="12">
        <f>IF(LEFT(I5051,2)="MV",2*N5051*IF(L5051="1/C",O5051,1),0)</f>
        <v/>
      </c>
      <c r="Y5051" s="12">
        <f>IF(OR(LEFT(K5051,4)="LVAX",LEFT(K5051,6)="MV15AX",LEFT(K5051,4)="CTAX",LEFT(K5051,2)="W|"),2*N5051*O5051,0)</f>
        <v/>
      </c>
      <c r="Z5051" s="12" t="inlineStr">
        <is>
          <t>VD 0.2 %</t>
        </is>
      </c>
      <c r="AA5051" s="12">
        <f>N5051*O5051</f>
        <v/>
      </c>
    </row>
    <row r="5052">
      <c r="A5052" s="12" t="inlineStr">
        <is>
          <t>I-P-0002</t>
        </is>
      </c>
      <c r="B5052" s="12" t="inlineStr">
        <is>
          <t>I</t>
        </is>
      </c>
      <c r="C5052" s="12" t="inlineStr">
        <is>
          <t>Modular / portable power</t>
        </is>
      </c>
      <c r="D5052" s="12" t="inlineStr">
        <is>
          <t>Motor 2 of 2, 3.7 kW</t>
        </is>
      </c>
      <c r="E5052" s="12" t="inlineStr"/>
      <c r="F5052" s="12" t="inlineStr">
        <is>
          <t>SC-2 PCM + 15 kV GCB</t>
        </is>
      </c>
      <c r="G5052" s="12" t="inlineStr"/>
      <c r="H5052" s="12" t="inlineStr">
        <is>
          <t>Aqueous ammonia (SC units)</t>
        </is>
      </c>
      <c r="I5052" s="12" t="inlineStr">
        <is>
          <t>LV 600 V</t>
        </is>
      </c>
      <c r="J5052" s="12" t="inlineStr">
        <is>
          <t>Type TC-ER 600 V 3/C Cu XHHW-2 + ground, PVC jacket</t>
        </is>
      </c>
      <c r="K5052" s="12" t="inlineStr">
        <is>
          <t>LV|3/C+G|10</t>
        </is>
      </c>
      <c r="L5052" s="12" t="inlineStr">
        <is>
          <t>3/C+G</t>
        </is>
      </c>
      <c r="M5052" s="12" t="inlineStr">
        <is>
          <t>10</t>
        </is>
      </c>
      <c r="N5052" s="12" t="n">
        <v>1</v>
      </c>
      <c r="O5052" s="12" t="n">
        <v>1</v>
      </c>
      <c r="P5052" s="12" t="n">
        <v>480</v>
      </c>
      <c r="Q5052" s="12" t="n">
        <v>3.7</v>
      </c>
      <c r="R5052" s="12" t="n">
        <v>5.2</v>
      </c>
      <c r="S5052" s="12" t="inlineStr">
        <is>
          <t>Tray</t>
        </is>
      </c>
      <c r="T5052" s="16" t="n">
        <v>0</v>
      </c>
      <c r="U5052" s="16" t="n">
        <v>98</v>
      </c>
      <c r="V5052" s="16">
        <f>ROUNDUP((T5052+U5052+2*'Read Me'!$B$13)*(1+'Read Me'!$B$12),-1)</f>
        <v/>
      </c>
      <c r="W5052" s="16">
        <f>V5052*N5052*O5052</f>
        <v/>
      </c>
      <c r="X5052" s="12">
        <f>IF(LEFT(I5052,2)="MV",2*N5052*IF(L5052="1/C",O5052,1),0)</f>
        <v/>
      </c>
      <c r="Y5052" s="12">
        <f>IF(OR(LEFT(K5052,4)="LVAX",LEFT(K5052,6)="MV15AX",LEFT(K5052,4)="CTAX",LEFT(K5052,2)="W|"),2*N5052*O5052,0)</f>
        <v/>
      </c>
      <c r="Z5052" s="12" t="inlineStr">
        <is>
          <t>VD 0.2 %</t>
        </is>
      </c>
      <c r="AA5052" s="12">
        <f>N5052*O5052</f>
        <v/>
      </c>
    </row>
    <row r="5053">
      <c r="A5053" s="12" t="inlineStr">
        <is>
          <t>I-P-0003</t>
        </is>
      </c>
      <c r="B5053" s="12" t="inlineStr">
        <is>
          <t>I</t>
        </is>
      </c>
      <c r="C5053" s="12" t="inlineStr">
        <is>
          <t>Modular / portable power</t>
        </is>
      </c>
      <c r="D5053" s="12" t="inlineStr">
        <is>
          <t>Black-start genset output</t>
        </is>
      </c>
      <c r="E5053" s="12" t="inlineStr"/>
      <c r="F5053" s="12" t="inlineStr">
        <is>
          <t>Black-start genset (proposed; requires study)</t>
        </is>
      </c>
      <c r="G5053" s="12" t="inlineStr"/>
      <c r="H5053" s="12" t="inlineStr">
        <is>
          <t>BS black-start switchgear</t>
        </is>
      </c>
      <c r="I5053" s="12" t="inlineStr">
        <is>
          <t>LV 600 V</t>
        </is>
      </c>
      <c r="J5053" s="12" t="inlineStr">
        <is>
          <t>Type TC-ER 600 V 3/C Cu XHHW-2 + ground, PVC jacket</t>
        </is>
      </c>
      <c r="K5053" s="12" t="inlineStr">
        <is>
          <t>LV|3/C+G|500</t>
        </is>
      </c>
      <c r="L5053" s="12" t="inlineStr">
        <is>
          <t>3/C+G</t>
        </is>
      </c>
      <c r="M5053" s="12" t="inlineStr">
        <is>
          <t>500 kcmil</t>
        </is>
      </c>
      <c r="N5053" s="12" t="n">
        <v>10</v>
      </c>
      <c r="O5053" s="12" t="n">
        <v>1</v>
      </c>
      <c r="P5053" s="12" t="n">
        <v>480</v>
      </c>
      <c r="Q5053" s="12" t="n">
        <v>2000</v>
      </c>
      <c r="R5053" s="12" t="n">
        <v>2532.3</v>
      </c>
      <c r="S5053" s="12" t="inlineStr">
        <is>
          <t>Tray</t>
        </is>
      </c>
      <c r="T5053" s="16" t="n">
        <v>0</v>
      </c>
      <c r="U5053" s="16" t="n">
        <v>41</v>
      </c>
      <c r="V5053" s="16">
        <f>ROUNDUP((T5053+U5053+2*'Read Me'!$B$13)*(1+'Read Me'!$B$12),-1)</f>
        <v/>
      </c>
      <c r="W5053" s="16">
        <f>V5053*N5053*O5053</f>
        <v/>
      </c>
      <c r="X5053" s="12">
        <f>IF(LEFT(I5053,2)="MV",2*N5053*IF(L5053="1/C",O5053,1),0)</f>
        <v/>
      </c>
      <c r="Y5053" s="12">
        <f>IF(OR(LEFT(K5053,4)="LVAX",LEFT(K5053,6)="MV15AX",LEFT(K5053,4)="CTAX",LEFT(K5053,2)="W|"),2*N5053*O5053,0)</f>
        <v/>
      </c>
      <c r="Z5053" s="12" t="inlineStr">
        <is>
          <t>VD 0.1 %</t>
        </is>
      </c>
      <c r="AA5053" s="12">
        <f>N5053*O5053</f>
        <v/>
      </c>
    </row>
    <row r="5054">
      <c r="A5054" s="12" t="inlineStr">
        <is>
          <t>I-P-0004</t>
        </is>
      </c>
      <c r="B5054" s="12" t="inlineStr">
        <is>
          <t>I</t>
        </is>
      </c>
      <c r="C5054" s="12" t="inlineStr">
        <is>
          <t>Modular / portable power</t>
        </is>
      </c>
      <c r="D5054" s="12" t="inlineStr">
        <is>
          <t>Black-start genset output</t>
        </is>
      </c>
      <c r="E5054" s="12" t="inlineStr"/>
      <c r="F5054" s="12" t="inlineStr">
        <is>
          <t>Black-start genset (proposed; requires study)</t>
        </is>
      </c>
      <c r="G5054" s="12" t="inlineStr"/>
      <c r="H5054" s="12" t="inlineStr">
        <is>
          <t>BS black-start switchgear</t>
        </is>
      </c>
      <c r="I5054" s="12" t="inlineStr">
        <is>
          <t>LV 600 V</t>
        </is>
      </c>
      <c r="J5054" s="12" t="inlineStr">
        <is>
          <t>Type TC-ER 600 V 3/C Cu XHHW-2 + ground, PVC jacket</t>
        </is>
      </c>
      <c r="K5054" s="12" t="inlineStr">
        <is>
          <t>LV|3/C+G|500</t>
        </is>
      </c>
      <c r="L5054" s="12" t="inlineStr">
        <is>
          <t>3/C+G</t>
        </is>
      </c>
      <c r="M5054" s="12" t="inlineStr">
        <is>
          <t>500 kcmil</t>
        </is>
      </c>
      <c r="N5054" s="12" t="n">
        <v>10</v>
      </c>
      <c r="O5054" s="12" t="n">
        <v>1</v>
      </c>
      <c r="P5054" s="12" t="n">
        <v>480</v>
      </c>
      <c r="Q5054" s="12" t="n">
        <v>2000</v>
      </c>
      <c r="R5054" s="12" t="n">
        <v>2532.3</v>
      </c>
      <c r="S5054" s="12" t="inlineStr">
        <is>
          <t>Tray</t>
        </is>
      </c>
      <c r="T5054" s="16" t="n">
        <v>0</v>
      </c>
      <c r="U5054" s="16" t="n">
        <v>49</v>
      </c>
      <c r="V5054" s="16">
        <f>ROUNDUP((T5054+U5054+2*'Read Me'!$B$13)*(1+'Read Me'!$B$12),-1)</f>
        <v/>
      </c>
      <c r="W5054" s="16">
        <f>V5054*N5054*O5054</f>
        <v/>
      </c>
      <c r="X5054" s="12">
        <f>IF(LEFT(I5054,2)="MV",2*N5054*IF(L5054="1/C",O5054,1),0)</f>
        <v/>
      </c>
      <c r="Y5054" s="12">
        <f>IF(OR(LEFT(K5054,4)="LVAX",LEFT(K5054,6)="MV15AX",LEFT(K5054,4)="CTAX",LEFT(K5054,2)="W|"),2*N5054*O5054,0)</f>
        <v/>
      </c>
      <c r="Z5054" s="12" t="inlineStr">
        <is>
          <t>VD 0.1 %</t>
        </is>
      </c>
      <c r="AA5054" s="12">
        <f>N5054*O5054</f>
        <v/>
      </c>
    </row>
    <row r="5055">
      <c r="A5055" s="12" t="inlineStr">
        <is>
          <t>I-P-0005</t>
        </is>
      </c>
      <c r="B5055" s="12" t="inlineStr">
        <is>
          <t>I</t>
        </is>
      </c>
      <c r="C5055" s="12" t="inlineStr">
        <is>
          <t>Modular / portable power</t>
        </is>
      </c>
      <c r="D5055" s="12" t="inlineStr">
        <is>
          <t>LV power feeder</t>
        </is>
      </c>
      <c r="E5055" s="12" t="inlineStr"/>
      <c r="F5055" s="12" t="inlineStr">
        <is>
          <t>PCM: power control module</t>
        </is>
      </c>
      <c r="G5055" s="12" t="inlineStr"/>
      <c r="H5055" s="12" t="inlineStr">
        <is>
          <t>BS black-start switchgear</t>
        </is>
      </c>
      <c r="I5055" s="12" t="inlineStr">
        <is>
          <t>LV 600 V</t>
        </is>
      </c>
      <c r="J5055" s="12" t="inlineStr">
        <is>
          <t>Type TC-ER 600 V 3/C Cu XHHW-2 + ground, PVC jacket</t>
        </is>
      </c>
      <c r="K5055" s="12" t="inlineStr">
        <is>
          <t>LV|3/C+G|6</t>
        </is>
      </c>
      <c r="L5055" s="12" t="inlineStr">
        <is>
          <t>3/C+G</t>
        </is>
      </c>
      <c r="M5055" s="12" t="inlineStr">
        <is>
          <t>6</t>
        </is>
      </c>
      <c r="N5055" s="12" t="n">
        <v>1</v>
      </c>
      <c r="O5055" s="12" t="n">
        <v>1</v>
      </c>
      <c r="P5055" s="12" t="n">
        <v>480</v>
      </c>
      <c r="Q5055" s="12" t="n">
        <v>15</v>
      </c>
      <c r="R5055" s="12" t="n">
        <v>21.2</v>
      </c>
      <c r="S5055" s="12" t="inlineStr">
        <is>
          <t>Duct bank</t>
        </is>
      </c>
      <c r="T5055" s="16" t="n">
        <v>562</v>
      </c>
      <c r="U5055" s="16" t="n">
        <v>64</v>
      </c>
      <c r="V5055" s="16">
        <f>ROUNDUP((T5055+U5055+2*'Read Me'!$B$13)*(1+'Read Me'!$B$12),-1)</f>
        <v/>
      </c>
      <c r="W5055" s="16">
        <f>V5055*N5055*O5055</f>
        <v/>
      </c>
      <c r="X5055" s="12">
        <f>IF(LEFT(I5055,2)="MV",2*N5055*IF(L5055="1/C",O5055,1),0)</f>
        <v/>
      </c>
      <c r="Y5055" s="12">
        <f>IF(OR(LEFT(K5055,4)="LVAX",LEFT(K5055,6)="MV15AX",LEFT(K5055,4)="CTAX",LEFT(K5055,2)="W|"),2*N5055*O5055,0)</f>
        <v/>
      </c>
      <c r="Z5055" s="12" t="inlineStr">
        <is>
          <t>VD 2.6 %</t>
        </is>
      </c>
      <c r="AA5055" s="12">
        <f>N5055*O5055</f>
        <v/>
      </c>
    </row>
    <row r="5056">
      <c r="A5056" s="12" t="inlineStr">
        <is>
          <t>I-P-0006</t>
        </is>
      </c>
      <c r="B5056" s="12" t="inlineStr">
        <is>
          <t>I</t>
        </is>
      </c>
      <c r="C5056" s="12" t="inlineStr">
        <is>
          <t>Modular / portable power</t>
        </is>
      </c>
      <c r="D5056" s="12" t="inlineStr">
        <is>
          <t>LV power feeder</t>
        </is>
      </c>
      <c r="E5056" s="12" t="inlineStr"/>
      <c r="F5056" s="12" t="inlineStr">
        <is>
          <t>PCM: power control module</t>
        </is>
      </c>
      <c r="G5056" s="12" t="inlineStr"/>
      <c r="H5056" s="12" t="inlineStr">
        <is>
          <t>CONDITIONAL: BESS black-start alternative</t>
        </is>
      </c>
      <c r="I5056" s="12" t="inlineStr">
        <is>
          <t>LV 600 V</t>
        </is>
      </c>
      <c r="J5056" s="12" t="inlineStr">
        <is>
          <t>Type TC-ER 600 V 3/C Cu XHHW-2 + ground, PVC jacket</t>
        </is>
      </c>
      <c r="K5056" s="12" t="inlineStr">
        <is>
          <t>LV|3/C+G|6</t>
        </is>
      </c>
      <c r="L5056" s="12" t="inlineStr">
        <is>
          <t>3/C+G</t>
        </is>
      </c>
      <c r="M5056" s="12" t="inlineStr">
        <is>
          <t>6</t>
        </is>
      </c>
      <c r="N5056" s="12" t="n">
        <v>1</v>
      </c>
      <c r="O5056" s="12" t="n">
        <v>1</v>
      </c>
      <c r="P5056" s="12" t="n">
        <v>480</v>
      </c>
      <c r="Q5056" s="12" t="n">
        <v>15</v>
      </c>
      <c r="R5056" s="12" t="n">
        <v>21.2</v>
      </c>
      <c r="S5056" s="12" t="inlineStr">
        <is>
          <t>Duct bank</t>
        </is>
      </c>
      <c r="T5056" s="16" t="n">
        <v>550</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I-P-0007</t>
        </is>
      </c>
      <c r="B5057" s="12" t="inlineStr">
        <is>
          <t>I</t>
        </is>
      </c>
      <c r="C5057" s="12" t="inlineStr">
        <is>
          <t>Modular / portable power</t>
        </is>
      </c>
      <c r="D5057" s="12" t="inlineStr">
        <is>
          <t>LV power feeder</t>
        </is>
      </c>
      <c r="E5057" s="12" t="inlineStr"/>
      <c r="F5057" s="12" t="inlineStr">
        <is>
          <t>SC-1 PCM + 15 kV GCB</t>
        </is>
      </c>
      <c r="G5057" s="12" t="inlineStr"/>
      <c r="H5057" s="12" t="inlineStr">
        <is>
          <t>CONDITIONAL: SC-1 inlet chiller / evaporative cooler</t>
        </is>
      </c>
      <c r="I5057" s="12" t="inlineStr">
        <is>
          <t>LV 600 V</t>
        </is>
      </c>
      <c r="J5057" s="12" t="inlineStr">
        <is>
          <t>Type TC-ER 600 V 3/C Cu XHHW-2 + ground, PVC jacket</t>
        </is>
      </c>
      <c r="K5057" s="12" t="inlineStr">
        <is>
          <t>LV|3/C+G|350</t>
        </is>
      </c>
      <c r="L5057" s="12" t="inlineStr">
        <is>
          <t>3/C+G</t>
        </is>
      </c>
      <c r="M5057" s="12" t="inlineStr">
        <is>
          <t>350 kcmil</t>
        </is>
      </c>
      <c r="N5057" s="12" t="n">
        <v>3</v>
      </c>
      <c r="O5057" s="12" t="n">
        <v>1</v>
      </c>
      <c r="P5057" s="12" t="n">
        <v>480</v>
      </c>
      <c r="Q5057" s="12" t="n">
        <v>500</v>
      </c>
      <c r="R5057" s="12" t="n">
        <v>707.6</v>
      </c>
      <c r="S5057" s="12" t="inlineStr">
        <is>
          <t>Tray</t>
        </is>
      </c>
      <c r="T5057" s="16" t="n">
        <v>0</v>
      </c>
      <c r="U5057" s="16" t="n">
        <v>114</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I-P-0008</t>
        </is>
      </c>
      <c r="B5058" s="12" t="inlineStr">
        <is>
          <t>I</t>
        </is>
      </c>
      <c r="C5058" s="12" t="inlineStr">
        <is>
          <t>Modular / portable power</t>
        </is>
      </c>
      <c r="D5058" s="12" t="inlineStr">
        <is>
          <t>LV power feeder</t>
        </is>
      </c>
      <c r="E5058" s="12" t="inlineStr"/>
      <c r="F5058" s="12" t="inlineStr">
        <is>
          <t>SC-2 PCM + 15 kV GCB</t>
        </is>
      </c>
      <c r="G5058" s="12" t="inlineStr"/>
      <c r="H5058" s="12" t="inlineStr">
        <is>
          <t>CONDITIONAL: SC-2 inlet chiller / evaporative cooler</t>
        </is>
      </c>
      <c r="I5058" s="12" t="inlineStr">
        <is>
          <t>LV 600 V</t>
        </is>
      </c>
      <c r="J5058" s="12" t="inlineStr">
        <is>
          <t>Type TC-ER 600 V 3/C Cu XHHW-2 + ground, PVC jacket</t>
        </is>
      </c>
      <c r="K5058" s="12" t="inlineStr">
        <is>
          <t>LV|3/C+G|350</t>
        </is>
      </c>
      <c r="L5058" s="12" t="inlineStr">
        <is>
          <t>3/C+G</t>
        </is>
      </c>
      <c r="M5058" s="12" t="inlineStr">
        <is>
          <t>350 kcmil</t>
        </is>
      </c>
      <c r="N5058" s="12" t="n">
        <v>3</v>
      </c>
      <c r="O5058" s="12" t="n">
        <v>1</v>
      </c>
      <c r="P5058" s="12" t="n">
        <v>480</v>
      </c>
      <c r="Q5058" s="12" t="n">
        <v>500</v>
      </c>
      <c r="R5058" s="12" t="n">
        <v>707.6</v>
      </c>
      <c r="S5058" s="12" t="inlineStr">
        <is>
          <t>Duct bank</t>
        </is>
      </c>
      <c r="T5058" s="16" t="n">
        <v>75</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I-P-0009</t>
        </is>
      </c>
      <c r="B5059" s="12" t="inlineStr">
        <is>
          <t>I</t>
        </is>
      </c>
      <c r="C5059" s="12" t="inlineStr">
        <is>
          <t>Modular / portable power</t>
        </is>
      </c>
      <c r="D5059" s="12" t="inlineStr">
        <is>
          <t>FC-5 SOFC output to inverter / AC cabinet</t>
        </is>
      </c>
      <c r="E5059" s="12" t="inlineStr">
        <is>
          <t>FC-5</t>
        </is>
      </c>
      <c r="F5059" s="12" t="inlineStr">
        <is>
          <t>FC-5: SOFC module (Bloom ES5 class, 200-300 kW)</t>
        </is>
      </c>
      <c r="G5059" s="12" t="inlineStr"/>
      <c r="H5059" s="12" t="inlineStr">
        <is>
          <t>FC-5..12 inverter / AC cabinet / desulfurizer</t>
        </is>
      </c>
      <c r="I5059" s="12" t="inlineStr">
        <is>
          <t>LV 600 V</t>
        </is>
      </c>
      <c r="J5059" s="12" t="inlineStr">
        <is>
          <t>Type TC-ER 600 V 3/C Cu XHHW-2 + ground, PVC jacket</t>
        </is>
      </c>
      <c r="K5059" s="12" t="inlineStr">
        <is>
          <t>LV|3/C+G|3/0</t>
        </is>
      </c>
      <c r="L5059" s="12" t="inlineStr">
        <is>
          <t>3/C+G</t>
        </is>
      </c>
      <c r="M5059" s="12" t="inlineStr">
        <is>
          <t>3/0</t>
        </is>
      </c>
      <c r="N5059" s="12" t="n">
        <v>2</v>
      </c>
      <c r="O5059" s="12" t="n">
        <v>1</v>
      </c>
      <c r="P5059" s="12" t="n">
        <v>480</v>
      </c>
      <c r="Q5059" s="12" t="n">
        <v>250</v>
      </c>
      <c r="R5059" s="12" t="n">
        <v>316.5</v>
      </c>
      <c r="S5059" s="12" t="inlineStr">
        <is>
          <t>Duct bank</t>
        </is>
      </c>
      <c r="T5059" s="16" t="n">
        <v>139</v>
      </c>
      <c r="U5059" s="16" t="n">
        <v>32</v>
      </c>
      <c r="V5059" s="16">
        <f>ROUNDUP((T5059+U5059+2*'Read Me'!$B$13)*(1+'Read Me'!$B$12),-1)</f>
        <v/>
      </c>
      <c r="W5059" s="16">
        <f>V5059*N5059*O5059</f>
        <v/>
      </c>
      <c r="X5059" s="12">
        <f>IF(LEFT(I5059,2)="MV",2*N5059*IF(L5059="1/C",O5059,1),0)</f>
        <v/>
      </c>
      <c r="Y5059" s="12">
        <f>IF(OR(LEFT(K5059,4)="LVAX",LEFT(K5059,6)="MV15AX",LEFT(K5059,4)="CTAX",LEFT(K5059,2)="W|"),2*N5059*O5059,0)</f>
        <v/>
      </c>
      <c r="Z5059" s="12" t="inlineStr">
        <is>
          <t>VD 0.8 %</t>
        </is>
      </c>
      <c r="AA5059" s="12">
        <f>N5059*O5059</f>
        <v/>
      </c>
    </row>
    <row r="5060">
      <c r="A5060" s="12" t="inlineStr">
        <is>
          <t>I-P-0010</t>
        </is>
      </c>
      <c r="B5060" s="12" t="inlineStr">
        <is>
          <t>I</t>
        </is>
      </c>
      <c r="C5060" s="12" t="inlineStr">
        <is>
          <t>Modular / portable power</t>
        </is>
      </c>
      <c r="D5060" s="12" t="inlineStr">
        <is>
          <t>FC-6 SOFC output to inverter / AC cabinet</t>
        </is>
      </c>
      <c r="E5060" s="12" t="inlineStr">
        <is>
          <t>FC-6</t>
        </is>
      </c>
      <c r="F5060" s="12" t="inlineStr">
        <is>
          <t>FC-6: SOFC module (Bloom ES5 class, 200-300 kW)</t>
        </is>
      </c>
      <c r="G5060" s="12" t="inlineStr"/>
      <c r="H5060" s="12" t="inlineStr">
        <is>
          <t>FC-5..12 inverter / AC cabinet / desulfurizer</t>
        </is>
      </c>
      <c r="I5060" s="12" t="inlineStr">
        <is>
          <t>LV 600 V</t>
        </is>
      </c>
      <c r="J5060" s="12" t="inlineStr">
        <is>
          <t>Type TC-ER 600 V 3/C Cu XHHW-2 + ground, PVC jacket</t>
        </is>
      </c>
      <c r="K5060" s="12" t="inlineStr">
        <is>
          <t>LV|3/C+G|3/0</t>
        </is>
      </c>
      <c r="L5060" s="12" t="inlineStr">
        <is>
          <t>3/C+G</t>
        </is>
      </c>
      <c r="M5060" s="12" t="inlineStr">
        <is>
          <t>3/0</t>
        </is>
      </c>
      <c r="N5060" s="12" t="n">
        <v>2</v>
      </c>
      <c r="O5060" s="12" t="n">
        <v>1</v>
      </c>
      <c r="P5060" s="12" t="n">
        <v>480</v>
      </c>
      <c r="Q5060" s="12" t="n">
        <v>250</v>
      </c>
      <c r="R5060" s="12" t="n">
        <v>316.5</v>
      </c>
      <c r="S5060" s="12" t="inlineStr">
        <is>
          <t>Duct bank</t>
        </is>
      </c>
      <c r="T5060" s="16" t="n">
        <v>125</v>
      </c>
      <c r="U5060" s="16" t="n">
        <v>32</v>
      </c>
      <c r="V5060" s="16">
        <f>ROUNDUP((T5060+U5060+2*'Read Me'!$B$13)*(1+'Read Me'!$B$12),-1)</f>
        <v/>
      </c>
      <c r="W5060" s="16">
        <f>V5060*N5060*O5060</f>
        <v/>
      </c>
      <c r="X5060" s="12">
        <f>IF(LEFT(I5060,2)="MV",2*N5060*IF(L5060="1/C",O5060,1),0)</f>
        <v/>
      </c>
      <c r="Y5060" s="12">
        <f>IF(OR(LEFT(K5060,4)="LVAX",LEFT(K5060,6)="MV15AX",LEFT(K5060,4)="CTAX",LEFT(K5060,2)="W|"),2*N5060*O5060,0)</f>
        <v/>
      </c>
      <c r="Z5060" s="12" t="inlineStr">
        <is>
          <t>VD 0.8 %</t>
        </is>
      </c>
      <c r="AA5060" s="12">
        <f>N5060*O5060</f>
        <v/>
      </c>
    </row>
    <row r="5061">
      <c r="A5061" s="12" t="inlineStr">
        <is>
          <t>I-P-0011</t>
        </is>
      </c>
      <c r="B5061" s="12" t="inlineStr">
        <is>
          <t>I</t>
        </is>
      </c>
      <c r="C5061" s="12" t="inlineStr">
        <is>
          <t>Modular / portable power</t>
        </is>
      </c>
      <c r="D5061" s="12" t="inlineStr">
        <is>
          <t>FC-7 SOFC output to inverter / AC cabinet</t>
        </is>
      </c>
      <c r="E5061" s="12" t="inlineStr">
        <is>
          <t>FC-7</t>
        </is>
      </c>
      <c r="F5061" s="12" t="inlineStr">
        <is>
          <t>FC-7: SOFC module (Bloom ES5 class, 200-300 kW)</t>
        </is>
      </c>
      <c r="G5061" s="12" t="inlineStr"/>
      <c r="H5061" s="12" t="inlineStr">
        <is>
          <t>FC-5..12 inverter / AC cabinet / desulfurizer</t>
        </is>
      </c>
      <c r="I5061" s="12" t="inlineStr">
        <is>
          <t>LV 600 V</t>
        </is>
      </c>
      <c r="J5061" s="12" t="inlineStr">
        <is>
          <t>Type TC-ER 600 V 3/C Cu XHHW-2 + ground, PVC jacket</t>
        </is>
      </c>
      <c r="K5061" s="12" t="inlineStr">
        <is>
          <t>LV|3/C+G|3/0</t>
        </is>
      </c>
      <c r="L5061" s="12" t="inlineStr">
        <is>
          <t>3/C+G</t>
        </is>
      </c>
      <c r="M5061" s="12" t="inlineStr">
        <is>
          <t>3/0</t>
        </is>
      </c>
      <c r="N5061" s="12" t="n">
        <v>2</v>
      </c>
      <c r="O5061" s="12" t="n">
        <v>1</v>
      </c>
      <c r="P5061" s="12" t="n">
        <v>480</v>
      </c>
      <c r="Q5061" s="12" t="n">
        <v>250</v>
      </c>
      <c r="R5061" s="12" t="n">
        <v>316.5</v>
      </c>
      <c r="S5061" s="12" t="inlineStr">
        <is>
          <t>Duct bank</t>
        </is>
      </c>
      <c r="T5061" s="16" t="n">
        <v>111</v>
      </c>
      <c r="U5061" s="16" t="n">
        <v>32</v>
      </c>
      <c r="V5061" s="16">
        <f>ROUNDUP((T5061+U5061+2*'Read Me'!$B$13)*(1+'Read Me'!$B$12),-1)</f>
        <v/>
      </c>
      <c r="W5061" s="16">
        <f>V5061*N5061*O5061</f>
        <v/>
      </c>
      <c r="X5061" s="12">
        <f>IF(LEFT(I5061,2)="MV",2*N5061*IF(L5061="1/C",O5061,1),0)</f>
        <v/>
      </c>
      <c r="Y5061" s="12">
        <f>IF(OR(LEFT(K5061,4)="LVAX",LEFT(K5061,6)="MV15AX",LEFT(K5061,4)="CTAX",LEFT(K5061,2)="W|"),2*N5061*O5061,0)</f>
        <v/>
      </c>
      <c r="Z5061" s="12" t="inlineStr">
        <is>
          <t>VD 0.7 %</t>
        </is>
      </c>
      <c r="AA5061" s="12">
        <f>N5061*O5061</f>
        <v/>
      </c>
    </row>
    <row r="5062">
      <c r="A5062" s="12" t="inlineStr">
        <is>
          <t>I-P-0012</t>
        </is>
      </c>
      <c r="B5062" s="12" t="inlineStr">
        <is>
          <t>I</t>
        </is>
      </c>
      <c r="C5062" s="12" t="inlineStr">
        <is>
          <t>Modular / portable power</t>
        </is>
      </c>
      <c r="D5062" s="12" t="inlineStr">
        <is>
          <t>FC-8 SOFC output to inverter / AC cabinet</t>
        </is>
      </c>
      <c r="E5062" s="12" t="inlineStr">
        <is>
          <t>FC-8</t>
        </is>
      </c>
      <c r="F5062" s="12" t="inlineStr">
        <is>
          <t>FC-8: SOFC module (Bloom ES5 class, 200-300 kW)</t>
        </is>
      </c>
      <c r="G5062" s="12" t="inlineStr"/>
      <c r="H5062" s="12" t="inlineStr">
        <is>
          <t>FC-5..12 inverter / AC cabinet / desulfurizer</t>
        </is>
      </c>
      <c r="I5062" s="12" t="inlineStr">
        <is>
          <t>LV 600 V</t>
        </is>
      </c>
      <c r="J5062" s="12" t="inlineStr">
        <is>
          <t>Type TC-ER 600 V 3/C Cu XHHW-2 + ground, PVC jacket</t>
        </is>
      </c>
      <c r="K5062" s="12" t="inlineStr">
        <is>
          <t>LV|3/C+G|3/0</t>
        </is>
      </c>
      <c r="L5062" s="12" t="inlineStr">
        <is>
          <t>3/C+G</t>
        </is>
      </c>
      <c r="M5062" s="12" t="inlineStr">
        <is>
          <t>3/0</t>
        </is>
      </c>
      <c r="N5062" s="12" t="n">
        <v>2</v>
      </c>
      <c r="O5062" s="12" t="n">
        <v>1</v>
      </c>
      <c r="P5062" s="12" t="n">
        <v>480</v>
      </c>
      <c r="Q5062" s="12" t="n">
        <v>250</v>
      </c>
      <c r="R5062" s="12" t="n">
        <v>316.5</v>
      </c>
      <c r="S5062" s="12" t="inlineStr">
        <is>
          <t>Duct bank</t>
        </is>
      </c>
      <c r="T5062" s="16" t="n">
        <v>97</v>
      </c>
      <c r="U5062" s="16" t="n">
        <v>32</v>
      </c>
      <c r="V5062" s="16">
        <f>ROUNDUP((T5062+U5062+2*'Read Me'!$B$13)*(1+'Read Me'!$B$12),-1)</f>
        <v/>
      </c>
      <c r="W5062" s="16">
        <f>V5062*N5062*O5062</f>
        <v/>
      </c>
      <c r="X5062" s="12">
        <f>IF(LEFT(I5062,2)="MV",2*N5062*IF(L5062="1/C",O5062,1),0)</f>
        <v/>
      </c>
      <c r="Y5062" s="12">
        <f>IF(OR(LEFT(K5062,4)="LVAX",LEFT(K5062,6)="MV15AX",LEFT(K5062,4)="CTAX",LEFT(K5062,2)="W|"),2*N5062*O5062,0)</f>
        <v/>
      </c>
      <c r="Z5062" s="12" t="inlineStr">
        <is>
          <t>VD 0.6 %</t>
        </is>
      </c>
      <c r="AA5062" s="12">
        <f>N5062*O5062</f>
        <v/>
      </c>
    </row>
    <row r="5063">
      <c r="A5063" s="12" t="inlineStr">
        <is>
          <t>I-P-0013</t>
        </is>
      </c>
      <c r="B5063" s="12" t="inlineStr">
        <is>
          <t>I</t>
        </is>
      </c>
      <c r="C5063" s="12" t="inlineStr">
        <is>
          <t>Modular / portable power</t>
        </is>
      </c>
      <c r="D5063" s="12" t="inlineStr">
        <is>
          <t>FC-9 SOFC output to inverter / AC cabinet</t>
        </is>
      </c>
      <c r="E5063" s="12" t="inlineStr">
        <is>
          <t>FC-9</t>
        </is>
      </c>
      <c r="F5063" s="12" t="inlineStr">
        <is>
          <t>FC-9: SOFC module (Bloom ES5 class, 200-300 kW)</t>
        </is>
      </c>
      <c r="G5063" s="12" t="inlineStr"/>
      <c r="H5063" s="12" t="inlineStr">
        <is>
          <t>FC-5..12 inverter / AC cabinet / desulfurizer</t>
        </is>
      </c>
      <c r="I5063" s="12" t="inlineStr">
        <is>
          <t>LV 600 V</t>
        </is>
      </c>
      <c r="J5063" s="12" t="inlineStr">
        <is>
          <t>Type TC-ER 600 V 3/C Cu XHHW-2 + ground, PVC jacket</t>
        </is>
      </c>
      <c r="K5063" s="12" t="inlineStr">
        <is>
          <t>LV|3/C+G|3/0</t>
        </is>
      </c>
      <c r="L5063" s="12" t="inlineStr">
        <is>
          <t>3/C+G</t>
        </is>
      </c>
      <c r="M5063" s="12" t="inlineStr">
        <is>
          <t>3/0</t>
        </is>
      </c>
      <c r="N5063" s="12" t="n">
        <v>2</v>
      </c>
      <c r="O5063" s="12" t="n">
        <v>1</v>
      </c>
      <c r="P5063" s="12" t="n">
        <v>480</v>
      </c>
      <c r="Q5063" s="12" t="n">
        <v>250</v>
      </c>
      <c r="R5063" s="12" t="n">
        <v>316.5</v>
      </c>
      <c r="S5063" s="12" t="inlineStr">
        <is>
          <t>Duct bank</t>
        </is>
      </c>
      <c r="T5063" s="16" t="n">
        <v>83</v>
      </c>
      <c r="U5063" s="16" t="n">
        <v>32</v>
      </c>
      <c r="V5063" s="16">
        <f>ROUNDUP((T5063+U5063+2*'Read Me'!$B$13)*(1+'Read Me'!$B$12),-1)</f>
        <v/>
      </c>
      <c r="W5063" s="16">
        <f>V5063*N5063*O5063</f>
        <v/>
      </c>
      <c r="X5063" s="12">
        <f>IF(LEFT(I5063,2)="MV",2*N5063*IF(L5063="1/C",O5063,1),0)</f>
        <v/>
      </c>
      <c r="Y5063" s="12">
        <f>IF(OR(LEFT(K5063,4)="LVAX",LEFT(K5063,6)="MV15AX",LEFT(K5063,4)="CTAX",LEFT(K5063,2)="W|"),2*N5063*O5063,0)</f>
        <v/>
      </c>
      <c r="Z5063" s="12" t="inlineStr">
        <is>
          <t>VD 0.6 %</t>
        </is>
      </c>
      <c r="AA5063" s="12">
        <f>N5063*O5063</f>
        <v/>
      </c>
    </row>
    <row r="5064">
      <c r="A5064" s="12" t="inlineStr">
        <is>
          <t>I-P-0014</t>
        </is>
      </c>
      <c r="B5064" s="12" t="inlineStr">
        <is>
          <t>I</t>
        </is>
      </c>
      <c r="C5064" s="12" t="inlineStr">
        <is>
          <t>Modular / portable power</t>
        </is>
      </c>
      <c r="D5064" s="12" t="inlineStr">
        <is>
          <t>FC-10 SOFC output to inverter / AC cabinet</t>
        </is>
      </c>
      <c r="E5064" s="12" t="inlineStr">
        <is>
          <t>FC-10</t>
        </is>
      </c>
      <c r="F5064" s="12" t="inlineStr">
        <is>
          <t>FC-10: SOFC module (Bloom ES5 class, 200-300 kW)</t>
        </is>
      </c>
      <c r="G5064" s="12" t="inlineStr"/>
      <c r="H5064" s="12" t="inlineStr">
        <is>
          <t>FC-5..12 inverter / AC cabinet / desulfurizer</t>
        </is>
      </c>
      <c r="I5064" s="12" t="inlineStr">
        <is>
          <t>LV 600 V</t>
        </is>
      </c>
      <c r="J5064" s="12" t="inlineStr">
        <is>
          <t>Type TC-ER 600 V 3/C Cu XHHW-2 + ground, PVC jacket</t>
        </is>
      </c>
      <c r="K5064" s="12" t="inlineStr">
        <is>
          <t>LV|3/C+G|3/0</t>
        </is>
      </c>
      <c r="L5064" s="12" t="inlineStr">
        <is>
          <t>3/C+G</t>
        </is>
      </c>
      <c r="M5064" s="12" t="inlineStr">
        <is>
          <t>3/0</t>
        </is>
      </c>
      <c r="N5064" s="12" t="n">
        <v>2</v>
      </c>
      <c r="O5064" s="12" t="n">
        <v>1</v>
      </c>
      <c r="P5064" s="12" t="n">
        <v>480</v>
      </c>
      <c r="Q5064" s="12" t="n">
        <v>250</v>
      </c>
      <c r="R5064" s="12" t="n">
        <v>316.5</v>
      </c>
      <c r="S5064" s="12" t="inlineStr">
        <is>
          <t>Duct bank</t>
        </is>
      </c>
      <c r="T5064" s="16" t="n">
        <v>69</v>
      </c>
      <c r="U5064" s="16" t="n">
        <v>32</v>
      </c>
      <c r="V5064" s="16">
        <f>ROUNDUP((T5064+U5064+2*'Read Me'!$B$13)*(1+'Read Me'!$B$12),-1)</f>
        <v/>
      </c>
      <c r="W5064" s="16">
        <f>V5064*N5064*O5064</f>
        <v/>
      </c>
      <c r="X5064" s="12">
        <f>IF(LEFT(I5064,2)="MV",2*N5064*IF(L5064="1/C",O5064,1),0)</f>
        <v/>
      </c>
      <c r="Y5064" s="12">
        <f>IF(OR(LEFT(K5064,4)="LVAX",LEFT(K5064,6)="MV15AX",LEFT(K5064,4)="CTAX",LEFT(K5064,2)="W|"),2*N5064*O5064,0)</f>
        <v/>
      </c>
      <c r="Z5064" s="12" t="inlineStr">
        <is>
          <t>VD 0.5 %</t>
        </is>
      </c>
      <c r="AA5064" s="12">
        <f>N5064*O5064</f>
        <v/>
      </c>
    </row>
    <row r="5065">
      <c r="A5065" s="12" t="inlineStr">
        <is>
          <t>I-P-0015</t>
        </is>
      </c>
      <c r="B5065" s="12" t="inlineStr">
        <is>
          <t>I</t>
        </is>
      </c>
      <c r="C5065" s="12" t="inlineStr">
        <is>
          <t>Modular / portable power</t>
        </is>
      </c>
      <c r="D5065" s="12" t="inlineStr">
        <is>
          <t>FC-11 SOFC output to inverter / AC cabinet</t>
        </is>
      </c>
      <c r="E5065" s="12" t="inlineStr">
        <is>
          <t>FC-11</t>
        </is>
      </c>
      <c r="F5065" s="12" t="inlineStr">
        <is>
          <t>FC-11: SOFC module (Bloom ES5 class, 200-300 kW)</t>
        </is>
      </c>
      <c r="G5065" s="12" t="inlineStr"/>
      <c r="H5065" s="12" t="inlineStr">
        <is>
          <t>FC-5..12 inverter / AC cabinet / desulfurizer</t>
        </is>
      </c>
      <c r="I5065" s="12" t="inlineStr">
        <is>
          <t>LV 600 V</t>
        </is>
      </c>
      <c r="J5065" s="12" t="inlineStr">
        <is>
          <t>Type TC-ER 600 V 3/C Cu XHHW-2 + ground, PVC jacket</t>
        </is>
      </c>
      <c r="K5065" s="12" t="inlineStr">
        <is>
          <t>LV|3/C+G|3/0</t>
        </is>
      </c>
      <c r="L5065" s="12" t="inlineStr">
        <is>
          <t>3/C+G</t>
        </is>
      </c>
      <c r="M5065" s="12" t="inlineStr">
        <is>
          <t>3/0</t>
        </is>
      </c>
      <c r="N5065" s="12" t="n">
        <v>2</v>
      </c>
      <c r="O5065" s="12" t="n">
        <v>1</v>
      </c>
      <c r="P5065" s="12" t="n">
        <v>480</v>
      </c>
      <c r="Q5065" s="12" t="n">
        <v>250</v>
      </c>
      <c r="R5065" s="12" t="n">
        <v>316.5</v>
      </c>
      <c r="S5065" s="12" t="inlineStr">
        <is>
          <t>Duct bank</t>
        </is>
      </c>
      <c r="T5065" s="16" t="n">
        <v>55</v>
      </c>
      <c r="U5065" s="16" t="n">
        <v>32</v>
      </c>
      <c r="V5065" s="16">
        <f>ROUNDUP((T5065+U5065+2*'Read Me'!$B$13)*(1+'Read Me'!$B$12),-1)</f>
        <v/>
      </c>
      <c r="W5065" s="16">
        <f>V5065*N5065*O5065</f>
        <v/>
      </c>
      <c r="X5065" s="12">
        <f>IF(LEFT(I5065,2)="MV",2*N5065*IF(L5065="1/C",O5065,1),0)</f>
        <v/>
      </c>
      <c r="Y5065" s="12">
        <f>IF(OR(LEFT(K5065,4)="LVAX",LEFT(K5065,6)="MV15AX",LEFT(K5065,4)="CTAX",LEFT(K5065,2)="W|"),2*N5065*O5065,0)</f>
        <v/>
      </c>
      <c r="Z5065" s="12" t="inlineStr">
        <is>
          <t>VD 0.4 %</t>
        </is>
      </c>
      <c r="AA5065" s="12">
        <f>N5065*O5065</f>
        <v/>
      </c>
    </row>
    <row r="5066">
      <c r="A5066" s="12" t="inlineStr">
        <is>
          <t>I-P-0016</t>
        </is>
      </c>
      <c r="B5066" s="12" t="inlineStr">
        <is>
          <t>I</t>
        </is>
      </c>
      <c r="C5066" s="12" t="inlineStr">
        <is>
          <t>Modular / portable power</t>
        </is>
      </c>
      <c r="D5066" s="12" t="inlineStr">
        <is>
          <t>FC-12 SOFC output to inverter / AC cabinet</t>
        </is>
      </c>
      <c r="E5066" s="12" t="inlineStr">
        <is>
          <t>FC-12</t>
        </is>
      </c>
      <c r="F5066" s="12" t="inlineStr">
        <is>
          <t>FC-12: SOFC module (Bloom ES5 class, 200-300 kW)</t>
        </is>
      </c>
      <c r="G5066" s="12" t="inlineStr"/>
      <c r="H5066" s="12" t="inlineStr">
        <is>
          <t>FC-5..12 inverter / AC cabinet / desulfurizer</t>
        </is>
      </c>
      <c r="I5066" s="12" t="inlineStr">
        <is>
          <t>LV 600 V</t>
        </is>
      </c>
      <c r="J5066" s="12" t="inlineStr">
        <is>
          <t>Type TC-ER 600 V 3/C Cu XHHW-2 + ground, PVC jacket</t>
        </is>
      </c>
      <c r="K5066" s="12" t="inlineStr">
        <is>
          <t>LV|3/C+G|3/0</t>
        </is>
      </c>
      <c r="L5066" s="12" t="inlineStr">
        <is>
          <t>3/C+G</t>
        </is>
      </c>
      <c r="M5066" s="12" t="inlineStr">
        <is>
          <t>3/0</t>
        </is>
      </c>
      <c r="N5066" s="12" t="n">
        <v>2</v>
      </c>
      <c r="O5066" s="12" t="n">
        <v>1</v>
      </c>
      <c r="P5066" s="12" t="n">
        <v>480</v>
      </c>
      <c r="Q5066" s="12" t="n">
        <v>250</v>
      </c>
      <c r="R5066" s="12" t="n">
        <v>316.5</v>
      </c>
      <c r="S5066" s="12" t="inlineStr">
        <is>
          <t>Duct bank</t>
        </is>
      </c>
      <c r="T5066" s="16" t="n">
        <v>46</v>
      </c>
      <c r="U5066" s="16" t="n">
        <v>32</v>
      </c>
      <c r="V5066" s="16">
        <f>ROUNDUP((T5066+U5066+2*'Read Me'!$B$13)*(1+'Read Me'!$B$12),-1)</f>
        <v/>
      </c>
      <c r="W5066" s="16">
        <f>V5066*N5066*O5066</f>
        <v/>
      </c>
      <c r="X5066" s="12">
        <f>IF(LEFT(I5066,2)="MV",2*N5066*IF(L5066="1/C",O5066,1),0)</f>
        <v/>
      </c>
      <c r="Y5066" s="12">
        <f>IF(OR(LEFT(K5066,4)="LVAX",LEFT(K5066,6)="MV15AX",LEFT(K5066,4)="CTAX",LEFT(K5066,2)="W|"),2*N5066*O5066,0)</f>
        <v/>
      </c>
      <c r="Z5066" s="12" t="inlineStr">
        <is>
          <t>VD 0.4 %</t>
        </is>
      </c>
      <c r="AA5066" s="12">
        <f>N5066*O5066</f>
        <v/>
      </c>
    </row>
    <row r="5067">
      <c r="A5067" s="12" t="inlineStr">
        <is>
          <t>I-P-0017</t>
        </is>
      </c>
      <c r="B5067" s="12" t="inlineStr">
        <is>
          <t>I</t>
        </is>
      </c>
      <c r="C5067" s="12" t="inlineStr">
        <is>
          <t>Modular / portable power</t>
        </is>
      </c>
      <c r="D5067" s="12" t="inlineStr">
        <is>
          <t>Motor 1 of 6, 15 kW</t>
        </is>
      </c>
      <c r="E5067" s="12" t="inlineStr"/>
      <c r="F5067" s="12" t="inlineStr">
        <is>
          <t>SC-2 PCM + 15 kV GCB</t>
        </is>
      </c>
      <c r="G5067" s="12" t="inlineStr"/>
      <c r="H5067" s="12" t="inlineStr">
        <is>
          <t>Fuel-gas compressors 3 x 100% electric</t>
        </is>
      </c>
      <c r="I5067" s="12" t="inlineStr">
        <is>
          <t>LV 600 V</t>
        </is>
      </c>
      <c r="J5067" s="12" t="inlineStr">
        <is>
          <t>ARMOR-X MC-HL 600 V 3/C Cu XHHW-2 + ground, CWA, black PVC (Class I Div 2)</t>
        </is>
      </c>
      <c r="K5067" s="12" t="inlineStr">
        <is>
          <t>LVAX|3/C+G|10</t>
        </is>
      </c>
      <c r="L5067" s="12" t="inlineStr">
        <is>
          <t>3/C+G</t>
        </is>
      </c>
      <c r="M5067" s="12" t="inlineStr">
        <is>
          <t>10</t>
        </is>
      </c>
      <c r="N5067" s="12" t="n">
        <v>1</v>
      </c>
      <c r="O5067" s="12" t="n">
        <v>1</v>
      </c>
      <c r="P5067" s="12" t="n">
        <v>480</v>
      </c>
      <c r="Q5067" s="12" t="n">
        <v>15</v>
      </c>
      <c r="R5067" s="12" t="n">
        <v>21.2</v>
      </c>
      <c r="S5067" s="12" t="inlineStr">
        <is>
          <t>Duct bank</t>
        </is>
      </c>
      <c r="T5067" s="16" t="n">
        <v>8</v>
      </c>
      <c r="U5067" s="16" t="n">
        <v>108</v>
      </c>
      <c r="V5067" s="16">
        <f>ROUNDUP((T5067+U5067+2*'Read Me'!$B$13)*(1+'Read Me'!$B$12),-1)</f>
        <v/>
      </c>
      <c r="W5067" s="16">
        <f>V5067*N5067*O5067</f>
        <v/>
      </c>
      <c r="X5067" s="12">
        <f>IF(LEFT(I5067,2)="MV",2*N5067*IF(L5067="1/C",O5067,1),0)</f>
        <v/>
      </c>
      <c r="Y5067" s="12">
        <f>IF(OR(LEFT(K5067,4)="LVAX",LEFT(K5067,6)="MV15AX",LEFT(K5067,4)="CTAX",LEFT(K5067,2)="W|"),2*N5067*O5067,0)</f>
        <v/>
      </c>
      <c r="Z5067" s="12" t="inlineStr">
        <is>
          <t>VD 1.2 %</t>
        </is>
      </c>
      <c r="AA5067" s="12">
        <f>N5067*O5067</f>
        <v/>
      </c>
    </row>
    <row r="5068">
      <c r="A5068" s="12" t="inlineStr">
        <is>
          <t>I-P-0018</t>
        </is>
      </c>
      <c r="B5068" s="12" t="inlineStr">
        <is>
          <t>I</t>
        </is>
      </c>
      <c r="C5068" s="12" t="inlineStr">
        <is>
          <t>Modular / portable power</t>
        </is>
      </c>
      <c r="D5068" s="12" t="inlineStr">
        <is>
          <t>Motor 2 of 6, 15 kW</t>
        </is>
      </c>
      <c r="E5068" s="12" t="inlineStr"/>
      <c r="F5068" s="12" t="inlineStr">
        <is>
          <t>SC-2 PCM + 15 kV GCB</t>
        </is>
      </c>
      <c r="G5068" s="12" t="inlineStr"/>
      <c r="H5068" s="12" t="inlineStr">
        <is>
          <t>Fuel-gas compressors 3 x 100% electric</t>
        </is>
      </c>
      <c r="I5068" s="12" t="inlineStr">
        <is>
          <t>LV 600 V</t>
        </is>
      </c>
      <c r="J5068" s="12" t="inlineStr">
        <is>
          <t>ARMOR-X MC-HL 600 V 3/C Cu XHHW-2 + ground, CWA, black PVC (Class I Div 2)</t>
        </is>
      </c>
      <c r="K5068" s="12" t="inlineStr">
        <is>
          <t>LVAX|3/C+G|10</t>
        </is>
      </c>
      <c r="L5068" s="12" t="inlineStr">
        <is>
          <t>3/C+G</t>
        </is>
      </c>
      <c r="M5068" s="12" t="inlineStr">
        <is>
          <t>10</t>
        </is>
      </c>
      <c r="N5068" s="12" t="n">
        <v>1</v>
      </c>
      <c r="O5068" s="12" t="n">
        <v>1</v>
      </c>
      <c r="P5068" s="12" t="n">
        <v>480</v>
      </c>
      <c r="Q5068" s="12" t="n">
        <v>15</v>
      </c>
      <c r="R5068" s="12" t="n">
        <v>21.2</v>
      </c>
      <c r="S5068" s="12" t="inlineStr">
        <is>
          <t>Duct bank</t>
        </is>
      </c>
      <c r="T5068" s="16" t="n">
        <v>8</v>
      </c>
      <c r="U5068" s="16" t="n">
        <v>108</v>
      </c>
      <c r="V5068" s="16">
        <f>ROUNDUP((T5068+U5068+2*'Read Me'!$B$13)*(1+'Read Me'!$B$12),-1)</f>
        <v/>
      </c>
      <c r="W5068" s="16">
        <f>V5068*N5068*O5068</f>
        <v/>
      </c>
      <c r="X5068" s="12">
        <f>IF(LEFT(I5068,2)="MV",2*N5068*IF(L5068="1/C",O5068,1),0)</f>
        <v/>
      </c>
      <c r="Y5068" s="12">
        <f>IF(OR(LEFT(K5068,4)="LVAX",LEFT(K5068,6)="MV15AX",LEFT(K5068,4)="CTAX",LEFT(K5068,2)="W|"),2*N5068*O5068,0)</f>
        <v/>
      </c>
      <c r="Z5068" s="12" t="inlineStr">
        <is>
          <t>VD 1.2 %</t>
        </is>
      </c>
      <c r="AA5068" s="12">
        <f>N5068*O5068</f>
        <v/>
      </c>
    </row>
    <row r="5069">
      <c r="A5069" s="12" t="inlineStr">
        <is>
          <t>I-P-0019</t>
        </is>
      </c>
      <c r="B5069" s="12" t="inlineStr">
        <is>
          <t>I</t>
        </is>
      </c>
      <c r="C5069" s="12" t="inlineStr">
        <is>
          <t>Modular / portable power</t>
        </is>
      </c>
      <c r="D5069" s="12" t="inlineStr">
        <is>
          <t>Motor 3 of 6, 15 kW</t>
        </is>
      </c>
      <c r="E5069" s="12" t="inlineStr"/>
      <c r="F5069" s="12" t="inlineStr">
        <is>
          <t>SC-2 PCM + 15 kV GCB</t>
        </is>
      </c>
      <c r="G5069" s="12" t="inlineStr"/>
      <c r="H5069" s="12" t="inlineStr">
        <is>
          <t>Fuel-gas compressors 3 x 100% electric</t>
        </is>
      </c>
      <c r="I5069" s="12" t="inlineStr">
        <is>
          <t>LV 600 V</t>
        </is>
      </c>
      <c r="J5069" s="12" t="inlineStr">
        <is>
          <t>ARMOR-X MC-HL 600 V 3/C Cu XHHW-2 + ground, CWA, black PVC (Class I Div 2)</t>
        </is>
      </c>
      <c r="K5069" s="12" t="inlineStr">
        <is>
          <t>LVAX|3/C+G|10</t>
        </is>
      </c>
      <c r="L5069" s="12" t="inlineStr">
        <is>
          <t>3/C+G</t>
        </is>
      </c>
      <c r="M5069" s="12" t="inlineStr">
        <is>
          <t>10</t>
        </is>
      </c>
      <c r="N5069" s="12" t="n">
        <v>1</v>
      </c>
      <c r="O5069" s="12" t="n">
        <v>1</v>
      </c>
      <c r="P5069" s="12" t="n">
        <v>480</v>
      </c>
      <c r="Q5069" s="12" t="n">
        <v>15</v>
      </c>
      <c r="R5069" s="12" t="n">
        <v>21.2</v>
      </c>
      <c r="S5069" s="12" t="inlineStr">
        <is>
          <t>Duct bank</t>
        </is>
      </c>
      <c r="T5069" s="16" t="n">
        <v>8</v>
      </c>
      <c r="U5069" s="16" t="n">
        <v>108</v>
      </c>
      <c r="V5069" s="16">
        <f>ROUNDUP((T5069+U5069+2*'Read Me'!$B$13)*(1+'Read Me'!$B$12),-1)</f>
        <v/>
      </c>
      <c r="W5069" s="16">
        <f>V5069*N5069*O5069</f>
        <v/>
      </c>
      <c r="X5069" s="12">
        <f>IF(LEFT(I5069,2)="MV",2*N5069*IF(L5069="1/C",O5069,1),0)</f>
        <v/>
      </c>
      <c r="Y5069" s="12">
        <f>IF(OR(LEFT(K5069,4)="LVAX",LEFT(K5069,6)="MV15AX",LEFT(K5069,4)="CTAX",LEFT(K5069,2)="W|"),2*N5069*O5069,0)</f>
        <v/>
      </c>
      <c r="Z5069" s="12" t="inlineStr">
        <is>
          <t>VD 1.2 %</t>
        </is>
      </c>
      <c r="AA5069" s="12">
        <f>N5069*O5069</f>
        <v/>
      </c>
    </row>
    <row r="5070">
      <c r="A5070" s="12" t="inlineStr">
        <is>
          <t>I-P-0020</t>
        </is>
      </c>
      <c r="B5070" s="12" t="inlineStr">
        <is>
          <t>I</t>
        </is>
      </c>
      <c r="C5070" s="12" t="inlineStr">
        <is>
          <t>Modular / portable power</t>
        </is>
      </c>
      <c r="D5070" s="12" t="inlineStr">
        <is>
          <t>Motor 4 of 6, 15 kW</t>
        </is>
      </c>
      <c r="E5070" s="12" t="inlineStr"/>
      <c r="F5070" s="12" t="inlineStr">
        <is>
          <t>SC-2 PCM + 15 kV GCB</t>
        </is>
      </c>
      <c r="G5070" s="12" t="inlineStr"/>
      <c r="H5070" s="12" t="inlineStr">
        <is>
          <t>Fuel-gas compressors 3 x 100% electric</t>
        </is>
      </c>
      <c r="I5070" s="12" t="inlineStr">
        <is>
          <t>LV 600 V</t>
        </is>
      </c>
      <c r="J5070" s="12" t="inlineStr">
        <is>
          <t>ARMOR-X MC-HL 600 V 3/C Cu XHHW-2 + ground, CWA, black PVC (Class I Div 2)</t>
        </is>
      </c>
      <c r="K5070" s="12" t="inlineStr">
        <is>
          <t>LVAX|3/C+G|10</t>
        </is>
      </c>
      <c r="L5070" s="12" t="inlineStr">
        <is>
          <t>3/C+G</t>
        </is>
      </c>
      <c r="M5070" s="12" t="inlineStr">
        <is>
          <t>10</t>
        </is>
      </c>
      <c r="N5070" s="12" t="n">
        <v>1</v>
      </c>
      <c r="O5070" s="12" t="n">
        <v>1</v>
      </c>
      <c r="P5070" s="12" t="n">
        <v>480</v>
      </c>
      <c r="Q5070" s="12" t="n">
        <v>15</v>
      </c>
      <c r="R5070" s="12" t="n">
        <v>21.2</v>
      </c>
      <c r="S5070" s="12" t="inlineStr">
        <is>
          <t>Duct bank</t>
        </is>
      </c>
      <c r="T5070" s="16" t="n">
        <v>8</v>
      </c>
      <c r="U5070" s="16" t="n">
        <v>108</v>
      </c>
      <c r="V5070" s="16">
        <f>ROUNDUP((T5070+U5070+2*'Read Me'!$B$13)*(1+'Read Me'!$B$12),-1)</f>
        <v/>
      </c>
      <c r="W5070" s="16">
        <f>V5070*N5070*O5070</f>
        <v/>
      </c>
      <c r="X5070" s="12">
        <f>IF(LEFT(I5070,2)="MV",2*N5070*IF(L5070="1/C",O5070,1),0)</f>
        <v/>
      </c>
      <c r="Y5070" s="12">
        <f>IF(OR(LEFT(K5070,4)="LVAX",LEFT(K5070,6)="MV15AX",LEFT(K5070,4)="CTAX",LEFT(K5070,2)="W|"),2*N5070*O5070,0)</f>
        <v/>
      </c>
      <c r="Z5070" s="12" t="inlineStr">
        <is>
          <t>VD 1.2 %</t>
        </is>
      </c>
      <c r="AA5070" s="12">
        <f>N5070*O5070</f>
        <v/>
      </c>
    </row>
    <row r="5071">
      <c r="A5071" s="12" t="inlineStr">
        <is>
          <t>I-P-0021</t>
        </is>
      </c>
      <c r="B5071" s="12" t="inlineStr">
        <is>
          <t>I</t>
        </is>
      </c>
      <c r="C5071" s="12" t="inlineStr">
        <is>
          <t>Modular / portable power</t>
        </is>
      </c>
      <c r="D5071" s="12" t="inlineStr">
        <is>
          <t>Motor 5 of 6, 15 kW</t>
        </is>
      </c>
      <c r="E5071" s="12" t="inlineStr"/>
      <c r="F5071" s="12" t="inlineStr">
        <is>
          <t>SC-2 PCM + 15 kV GCB</t>
        </is>
      </c>
      <c r="G5071" s="12" t="inlineStr"/>
      <c r="H5071" s="12" t="inlineStr">
        <is>
          <t>Fuel-gas compressors 3 x 100% electric</t>
        </is>
      </c>
      <c r="I5071" s="12" t="inlineStr">
        <is>
          <t>LV 600 V</t>
        </is>
      </c>
      <c r="J5071" s="12" t="inlineStr">
        <is>
          <t>ARMOR-X MC-HL 600 V 3/C Cu XHHW-2 + ground, CWA, black PVC (Class I Div 2)</t>
        </is>
      </c>
      <c r="K5071" s="12" t="inlineStr">
        <is>
          <t>LVAX|3/C+G|10</t>
        </is>
      </c>
      <c r="L5071" s="12" t="inlineStr">
        <is>
          <t>3/C+G</t>
        </is>
      </c>
      <c r="M5071" s="12" t="inlineStr">
        <is>
          <t>10</t>
        </is>
      </c>
      <c r="N5071" s="12" t="n">
        <v>1</v>
      </c>
      <c r="O5071" s="12" t="n">
        <v>1</v>
      </c>
      <c r="P5071" s="12" t="n">
        <v>480</v>
      </c>
      <c r="Q5071" s="12" t="n">
        <v>15</v>
      </c>
      <c r="R5071" s="12" t="n">
        <v>21.2</v>
      </c>
      <c r="S5071" s="12" t="inlineStr">
        <is>
          <t>Duct bank</t>
        </is>
      </c>
      <c r="T5071" s="16" t="n">
        <v>8</v>
      </c>
      <c r="U5071" s="16" t="n">
        <v>108</v>
      </c>
      <c r="V5071" s="16">
        <f>ROUNDUP((T5071+U5071+2*'Read Me'!$B$13)*(1+'Read Me'!$B$12),-1)</f>
        <v/>
      </c>
      <c r="W5071" s="16">
        <f>V5071*N5071*O5071</f>
        <v/>
      </c>
      <c r="X5071" s="12">
        <f>IF(LEFT(I5071,2)="MV",2*N5071*IF(L5071="1/C",O5071,1),0)</f>
        <v/>
      </c>
      <c r="Y5071" s="12">
        <f>IF(OR(LEFT(K5071,4)="LVAX",LEFT(K5071,6)="MV15AX",LEFT(K5071,4)="CTAX",LEFT(K5071,2)="W|"),2*N5071*O5071,0)</f>
        <v/>
      </c>
      <c r="Z5071" s="12" t="inlineStr">
        <is>
          <t>VD 1.2 %</t>
        </is>
      </c>
      <c r="AA5071" s="12">
        <f>N5071*O5071</f>
        <v/>
      </c>
    </row>
    <row r="5072">
      <c r="A5072" s="12" t="inlineStr">
        <is>
          <t>I-P-0022</t>
        </is>
      </c>
      <c r="B5072" s="12" t="inlineStr">
        <is>
          <t>I</t>
        </is>
      </c>
      <c r="C5072" s="12" t="inlineStr">
        <is>
          <t>Modular / portable power</t>
        </is>
      </c>
      <c r="D5072" s="12" t="inlineStr">
        <is>
          <t>Motor 6 of 6, 15 kW</t>
        </is>
      </c>
      <c r="E5072" s="12" t="inlineStr"/>
      <c r="F5072" s="12" t="inlineStr">
        <is>
          <t>SC-2 PCM + 15 kV GCB</t>
        </is>
      </c>
      <c r="G5072" s="12" t="inlineStr"/>
      <c r="H5072" s="12" t="inlineStr">
        <is>
          <t>Fuel-gas compressors 3 x 100% electric</t>
        </is>
      </c>
      <c r="I5072" s="12" t="inlineStr">
        <is>
          <t>LV 600 V</t>
        </is>
      </c>
      <c r="J5072" s="12" t="inlineStr">
        <is>
          <t>ARMOR-X MC-HL 600 V 3/C Cu XHHW-2 + ground, CWA, black PVC (Class I Div 2)</t>
        </is>
      </c>
      <c r="K5072" s="12" t="inlineStr">
        <is>
          <t>LVAX|3/C+G|10</t>
        </is>
      </c>
      <c r="L5072" s="12" t="inlineStr">
        <is>
          <t>3/C+G</t>
        </is>
      </c>
      <c r="M5072" s="12" t="inlineStr">
        <is>
          <t>10</t>
        </is>
      </c>
      <c r="N5072" s="12" t="n">
        <v>1</v>
      </c>
      <c r="O5072" s="12" t="n">
        <v>1</v>
      </c>
      <c r="P5072" s="12" t="n">
        <v>480</v>
      </c>
      <c r="Q5072" s="12" t="n">
        <v>15</v>
      </c>
      <c r="R5072" s="12" t="n">
        <v>21.2</v>
      </c>
      <c r="S5072" s="12" t="inlineStr">
        <is>
          <t>Duct bank</t>
        </is>
      </c>
      <c r="T5072" s="16" t="n">
        <v>8</v>
      </c>
      <c r="U5072" s="16" t="n">
        <v>108</v>
      </c>
      <c r="V5072" s="16">
        <f>ROUNDUP((T5072+U5072+2*'Read Me'!$B$13)*(1+'Read Me'!$B$12),-1)</f>
        <v/>
      </c>
      <c r="W5072" s="16">
        <f>V5072*N5072*O5072</f>
        <v/>
      </c>
      <c r="X5072" s="12">
        <f>IF(LEFT(I5072,2)="MV",2*N5072*IF(L5072="1/C",O5072,1),0)</f>
        <v/>
      </c>
      <c r="Y5072" s="12">
        <f>IF(OR(LEFT(K5072,4)="LVAX",LEFT(K5072,6)="MV15AX",LEFT(K5072,4)="CTAX",LEFT(K5072,2)="W|"),2*N5072*O5072,0)</f>
        <v/>
      </c>
      <c r="Z5072" s="12" t="inlineStr">
        <is>
          <t>VD 1.2 %</t>
        </is>
      </c>
      <c r="AA5072" s="12">
        <f>N5072*O5072</f>
        <v/>
      </c>
    </row>
    <row r="5073">
      <c r="A5073" s="12" t="inlineStr">
        <is>
          <t>I-P-0023</t>
        </is>
      </c>
      <c r="B5073" s="12" t="inlineStr">
        <is>
          <t>I</t>
        </is>
      </c>
      <c r="C5073" s="12" t="inlineStr">
        <is>
          <t>Modular / portable power</t>
        </is>
      </c>
      <c r="D5073" s="12" t="inlineStr">
        <is>
          <t>LV power feeder</t>
        </is>
      </c>
      <c r="E5073" s="12" t="inlineStr"/>
      <c r="F5073" s="12" t="inlineStr">
        <is>
          <t>PCM: power control module</t>
        </is>
      </c>
      <c r="G5073" s="12" t="inlineStr"/>
      <c r="H5073" s="12" t="inlineStr">
        <is>
          <t>Gas conditioning skid</t>
        </is>
      </c>
      <c r="I5073" s="12" t="inlineStr">
        <is>
          <t>LV 600 V</t>
        </is>
      </c>
      <c r="J5073" s="12" t="inlineStr">
        <is>
          <t>ARMOR-X MC-HL 600 V 3/C Cu XHHW-2 + ground, CWA, black PVC (Class I Div 2)</t>
        </is>
      </c>
      <c r="K5073" s="12" t="inlineStr">
        <is>
          <t>LVAX|3/C+G|6</t>
        </is>
      </c>
      <c r="L5073" s="12" t="inlineStr">
        <is>
          <t>3/C+G</t>
        </is>
      </c>
      <c r="M5073" s="12" t="inlineStr">
        <is>
          <t>6</t>
        </is>
      </c>
      <c r="N5073" s="12" t="n">
        <v>1</v>
      </c>
      <c r="O5073" s="12" t="n">
        <v>1</v>
      </c>
      <c r="P5073" s="12" t="n">
        <v>480</v>
      </c>
      <c r="Q5073" s="12" t="n">
        <v>30</v>
      </c>
      <c r="R5073" s="12" t="n">
        <v>42.5</v>
      </c>
      <c r="S5073" s="12" t="inlineStr">
        <is>
          <t>Tray</t>
        </is>
      </c>
      <c r="T5073" s="16" t="n">
        <v>40</v>
      </c>
      <c r="U5073" s="16" t="n">
        <v>94</v>
      </c>
      <c r="V5073" s="16">
        <f>ROUNDUP((T5073+U5073+2*'Read Me'!$B$13)*(1+'Read Me'!$B$12),-1)</f>
        <v/>
      </c>
      <c r="W5073" s="16">
        <f>V5073*N5073*O5073</f>
        <v/>
      </c>
      <c r="X5073" s="12">
        <f>IF(LEFT(I5073,2)="MV",2*N5073*IF(L5073="1/C",O5073,1),0)</f>
        <v/>
      </c>
      <c r="Y5073" s="12">
        <f>IF(OR(LEFT(K5073,4)="LVAX",LEFT(K5073,6)="MV15AX",LEFT(K5073,4)="CTAX",LEFT(K5073,2)="W|"),2*N5073*O5073,0)</f>
        <v/>
      </c>
      <c r="Z5073" s="12" t="inlineStr">
        <is>
          <t>VD 1.1 %</t>
        </is>
      </c>
      <c r="AA5073" s="12">
        <f>N5073*O5073</f>
        <v/>
      </c>
    </row>
    <row r="5074">
      <c r="A5074" s="12" t="inlineStr">
        <is>
          <t>I-P-0024</t>
        </is>
      </c>
      <c r="B5074" s="12" t="inlineStr">
        <is>
          <t>I</t>
        </is>
      </c>
      <c r="C5074" s="12" t="inlineStr">
        <is>
          <t>Modular / portable power</t>
        </is>
      </c>
      <c r="D5074" s="12" t="inlineStr">
        <is>
          <t>LV panel / distribution feeder</t>
        </is>
      </c>
      <c r="E5074" s="12" t="inlineStr"/>
      <c r="F5074" s="12" t="inlineStr">
        <is>
          <t>PCM: power control module</t>
        </is>
      </c>
      <c r="G5074" s="12" t="inlineStr"/>
      <c r="H5074" s="12" t="inlineStr">
        <is>
          <t>Lube oil / starting air / oily water building</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79</v>
      </c>
      <c r="R5074" s="12" t="n">
        <v>111.8</v>
      </c>
      <c r="S5074" s="12" t="inlineStr">
        <is>
          <t>Tray</t>
        </is>
      </c>
      <c r="T5074" s="16" t="n">
        <v>40</v>
      </c>
      <c r="U5074" s="16" t="n">
        <v>164</v>
      </c>
      <c r="V5074" s="16">
        <f>ROUNDUP((T5074+U5074+2*'Read Me'!$B$13)*(1+'Read Me'!$B$12),-1)</f>
        <v/>
      </c>
      <c r="W5074" s="16">
        <f>V5074*N5074*O5074</f>
        <v/>
      </c>
      <c r="X5074" s="12">
        <f>IF(LEFT(I5074,2)="MV",2*N5074*IF(L5074="1/C",O5074,1),0)</f>
        <v/>
      </c>
      <c r="Y5074" s="12">
        <f>IF(OR(LEFT(K5074,4)="LVAX",LEFT(K5074,6)="MV15AX",LEFT(K5074,4)="CTAX",LEFT(K5074,2)="W|"),2*N5074*O5074,0)</f>
        <v/>
      </c>
      <c r="Z5074" s="12" t="inlineStr">
        <is>
          <t>VD 1.1 %</t>
        </is>
      </c>
      <c r="AA5074" s="12">
        <f>N5074*O5074</f>
        <v/>
      </c>
    </row>
    <row r="5075">
      <c r="A5075" s="12" t="inlineStr">
        <is>
          <t>I-P-0025</t>
        </is>
      </c>
      <c r="B5075" s="12" t="inlineStr">
        <is>
          <t>I</t>
        </is>
      </c>
      <c r="C5075" s="12" t="inlineStr">
        <is>
          <t>Modular / portable power</t>
        </is>
      </c>
      <c r="D5075" s="12" t="inlineStr">
        <is>
          <t>LV panel / distribution feeder</t>
        </is>
      </c>
      <c r="E5075" s="12" t="inlineStr"/>
      <c r="F5075" s="12" t="inlineStr">
        <is>
          <t>MOD-LV 480 V board + 480 V : 13.8 kV step-up</t>
        </is>
      </c>
      <c r="G5075" s="12" t="inlineStr">
        <is>
          <t>MOD-EH</t>
        </is>
      </c>
      <c r="H5075" s="12" t="inlineStr">
        <is>
          <t>MOD-EH: 13.8 kV modular collector e-house</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30</v>
      </c>
      <c r="R5075" s="12" t="n">
        <v>42.5</v>
      </c>
      <c r="S5075" s="12" t="inlineStr">
        <is>
          <t>Duct bank</t>
        </is>
      </c>
      <c r="T5075" s="16" t="n">
        <v>352</v>
      </c>
      <c r="U5075" s="16" t="n">
        <v>32</v>
      </c>
      <c r="V5075" s="16">
        <f>ROUNDUP((T5075+U5075+2*'Read Me'!$B$13)*(1+'Read Me'!$B$12),-1)</f>
        <v/>
      </c>
      <c r="W5075" s="16">
        <f>V5075*N5075*O5075</f>
        <v/>
      </c>
      <c r="X5075" s="12">
        <f>IF(LEFT(I5075,2)="MV",2*N5075*IF(L5075="1/C",O5075,1),0)</f>
        <v/>
      </c>
      <c r="Y5075" s="12">
        <f>IF(OR(LEFT(K5075,4)="LVAX",LEFT(K5075,6)="MV15AX",LEFT(K5075,4)="CTAX",LEFT(K5075,2)="W|"),2*N5075*O5075,0)</f>
        <v/>
      </c>
      <c r="Z5075" s="12" t="inlineStr">
        <is>
          <t>VD 2.0 %</t>
        </is>
      </c>
      <c r="AA5075" s="12">
        <f>N5075*O5075</f>
        <v/>
      </c>
    </row>
    <row r="5076">
      <c r="A5076" s="12" t="inlineStr">
        <is>
          <t>I-P-0026</t>
        </is>
      </c>
      <c r="B5076" s="12" t="inlineStr">
        <is>
          <t>I</t>
        </is>
      </c>
      <c r="C5076" s="12" t="inlineStr">
        <is>
          <t>Modular / portable power</t>
        </is>
      </c>
      <c r="D5076" s="12" t="inlineStr">
        <is>
          <t>Fuel-cell AC cabinet to MOD-LV</t>
        </is>
      </c>
      <c r="E5076" s="12" t="inlineStr"/>
      <c r="F5076" s="12" t="inlineStr">
        <is>
          <t>FC-5..12 inverter / AC cabinet / desulfurizer</t>
        </is>
      </c>
      <c r="G5076" s="12" t="inlineStr"/>
      <c r="H5076" s="12" t="inlineStr">
        <is>
          <t>MOD-LV 480 V board + 480 V : 13.8 kV step-up</t>
        </is>
      </c>
      <c r="I5076" s="12" t="inlineStr">
        <is>
          <t>LV 600 V</t>
        </is>
      </c>
      <c r="J5076" s="12" t="inlineStr">
        <is>
          <t>Type TC-ER 600 V 3/C Cu XHHW-2 + ground, PVC jacket</t>
        </is>
      </c>
      <c r="K5076" s="12" t="inlineStr">
        <is>
          <t>LV|3/C+G|500</t>
        </is>
      </c>
      <c r="L5076" s="12" t="inlineStr">
        <is>
          <t>3/C+G</t>
        </is>
      </c>
      <c r="M5076" s="12" t="inlineStr">
        <is>
          <t>500 kcmil</t>
        </is>
      </c>
      <c r="N5076" s="12" t="n">
        <v>12</v>
      </c>
      <c r="O5076" s="12" t="n">
        <v>1</v>
      </c>
      <c r="P5076" s="12" t="n">
        <v>480</v>
      </c>
      <c r="Q5076" s="12" t="n">
        <v>2000</v>
      </c>
      <c r="R5076" s="12" t="n">
        <v>2532.3</v>
      </c>
      <c r="S5076" s="12" t="inlineStr">
        <is>
          <t>Duct bank</t>
        </is>
      </c>
      <c r="T5076" s="16" t="n">
        <v>2572</v>
      </c>
      <c r="U5076" s="16" t="n">
        <v>34</v>
      </c>
      <c r="V5076" s="16">
        <f>ROUNDUP((T5076+U5076+2*'Read Me'!$B$13)*(1+'Read Me'!$B$12),-1)</f>
        <v/>
      </c>
      <c r="W5076" s="16">
        <f>V5076*N5076*O5076</f>
        <v/>
      </c>
      <c r="X5076" s="12">
        <f>IF(LEFT(I5076,2)="MV",2*N5076*IF(L5076="1/C",O5076,1),0)</f>
        <v/>
      </c>
      <c r="Y5076" s="12">
        <f>IF(OR(LEFT(K5076,4)="LVAX",LEFT(K5076,6)="MV15AX",LEFT(K5076,4)="CTAX",LEFT(K5076,2)="W|"),2*N5076*O5076,0)</f>
        <v/>
      </c>
      <c r="Z5076" s="12" t="inlineStr"/>
      <c r="AA5076" s="12">
        <f>N5076*O5076</f>
        <v/>
      </c>
    </row>
    <row r="5077">
      <c r="A5077" s="12" t="inlineStr">
        <is>
          <t>I-P-0027</t>
        </is>
      </c>
      <c r="B5077" s="12" t="inlineStr">
        <is>
          <t>I</t>
        </is>
      </c>
      <c r="C5077" s="12" t="inlineStr">
        <is>
          <t>Modular / portable power</t>
        </is>
      </c>
      <c r="D5077" s="12" t="inlineStr">
        <is>
          <t>MT-4 microturbine output</t>
        </is>
      </c>
      <c r="E5077" s="12" t="inlineStr">
        <is>
          <t>MT-4</t>
        </is>
      </c>
      <c r="F5077" s="12" t="inlineStr">
        <is>
          <t>MT-4: microturbine 1 MW (Capstone C1000 class)</t>
        </is>
      </c>
      <c r="G5077" s="12" t="inlineStr"/>
      <c r="H5077" s="12" t="inlineStr">
        <is>
          <t>MOD-LV 480 V board + 480 V : 13.8 kV step-up</t>
        </is>
      </c>
      <c r="I5077" s="12" t="inlineStr">
        <is>
          <t>LV 600 V</t>
        </is>
      </c>
      <c r="J5077" s="12" t="inlineStr">
        <is>
          <t>Type TC-ER 600 V 3/C Cu XHHW-2 + ground, PVC jacket</t>
        </is>
      </c>
      <c r="K5077" s="12" t="inlineStr">
        <is>
          <t>LV|3/C+G|500</t>
        </is>
      </c>
      <c r="L5077" s="12" t="inlineStr">
        <is>
          <t>3/C+G</t>
        </is>
      </c>
      <c r="M5077" s="12" t="inlineStr">
        <is>
          <t>500 kcmil</t>
        </is>
      </c>
      <c r="N5077" s="12" t="n">
        <v>12</v>
      </c>
      <c r="O5077" s="12" t="n">
        <v>1</v>
      </c>
      <c r="P5077" s="12" t="n">
        <v>480</v>
      </c>
      <c r="Q5077" s="12" t="n">
        <v>1000</v>
      </c>
      <c r="R5077" s="12" t="n">
        <v>1266.2</v>
      </c>
      <c r="S5077" s="12" t="inlineStr">
        <is>
          <t>Duct bank</t>
        </is>
      </c>
      <c r="T5077" s="16" t="n">
        <v>2596</v>
      </c>
      <c r="U5077" s="16" t="n">
        <v>44</v>
      </c>
      <c r="V5077" s="16">
        <f>ROUNDUP((T5077+U5077+2*'Read Me'!$B$13)*(1+'Read Me'!$B$12),-1)</f>
        <v/>
      </c>
      <c r="W5077" s="16">
        <f>V5077*N5077*O5077</f>
        <v/>
      </c>
      <c r="X5077" s="12">
        <f>IF(LEFT(I5077,2)="MV",2*N5077*IF(L5077="1/C",O5077,1),0)</f>
        <v/>
      </c>
      <c r="Y5077" s="12">
        <f>IF(OR(LEFT(K5077,4)="LVAX",LEFT(K5077,6)="MV15AX",LEFT(K5077,4)="CTAX",LEFT(K5077,2)="W|"),2*N5077*O5077,0)</f>
        <v/>
      </c>
      <c r="Z5077" s="12" t="inlineStr">
        <is>
          <t>VD 2.9 %</t>
        </is>
      </c>
      <c r="AA5077" s="12">
        <f>N5077*O5077</f>
        <v/>
      </c>
    </row>
    <row r="5078">
      <c r="A5078" s="12" t="inlineStr">
        <is>
          <t>I-P-0028</t>
        </is>
      </c>
      <c r="B5078" s="12" t="inlineStr">
        <is>
          <t>I</t>
        </is>
      </c>
      <c r="C5078" s="12" t="inlineStr">
        <is>
          <t>Modular / portable power</t>
        </is>
      </c>
      <c r="D5078" s="12" t="inlineStr">
        <is>
          <t>MT-5 microturbine output</t>
        </is>
      </c>
      <c r="E5078" s="12" t="inlineStr">
        <is>
          <t>MT-5</t>
        </is>
      </c>
      <c r="F5078" s="12" t="inlineStr">
        <is>
          <t>MT-5: microturbine 1 MW (Capstone C1000 class)</t>
        </is>
      </c>
      <c r="G5078" s="12" t="inlineStr"/>
      <c r="H5078" s="12" t="inlineStr">
        <is>
          <t>MOD-LV 480 V board + 480 V : 13.8 kV step-up</t>
        </is>
      </c>
      <c r="I5078" s="12" t="inlineStr">
        <is>
          <t>LV 600 V</t>
        </is>
      </c>
      <c r="J5078" s="12" t="inlineStr">
        <is>
          <t>Type TC-ER 600 V 3/C Cu XHHW-2 + ground, PVC jacket</t>
        </is>
      </c>
      <c r="K5078" s="12" t="inlineStr">
        <is>
          <t>LV|3/C+G|500</t>
        </is>
      </c>
      <c r="L5078" s="12" t="inlineStr">
        <is>
          <t>3/C+G</t>
        </is>
      </c>
      <c r="M5078" s="12" t="inlineStr">
        <is>
          <t>500 kcmil</t>
        </is>
      </c>
      <c r="N5078" s="12" t="n">
        <v>12</v>
      </c>
      <c r="O5078" s="12" t="n">
        <v>1</v>
      </c>
      <c r="P5078" s="12" t="n">
        <v>480</v>
      </c>
      <c r="Q5078" s="12" t="n">
        <v>1000</v>
      </c>
      <c r="R5078" s="12" t="n">
        <v>1266.2</v>
      </c>
      <c r="S5078" s="12" t="inlineStr">
        <is>
          <t>Duct bank</t>
        </is>
      </c>
      <c r="T5078" s="16" t="n">
        <v>2620</v>
      </c>
      <c r="U5078" s="16" t="n">
        <v>34</v>
      </c>
      <c r="V5078" s="16">
        <f>ROUNDUP((T5078+U5078+2*'Read Me'!$B$13)*(1+'Read Me'!$B$12),-1)</f>
        <v/>
      </c>
      <c r="W5078" s="16">
        <f>V5078*N5078*O5078</f>
        <v/>
      </c>
      <c r="X5078" s="12">
        <f>IF(LEFT(I5078,2)="MV",2*N5078*IF(L5078="1/C",O5078,1),0)</f>
        <v/>
      </c>
      <c r="Y5078" s="12">
        <f>IF(OR(LEFT(K5078,4)="LVAX",LEFT(K5078,6)="MV15AX",LEFT(K5078,4)="CTAX",LEFT(K5078,2)="W|"),2*N5078*O5078,0)</f>
        <v/>
      </c>
      <c r="Z5078" s="12" t="inlineStr">
        <is>
          <t>VD 2.9 %</t>
        </is>
      </c>
      <c r="AA5078" s="12">
        <f>N5078*O5078</f>
        <v/>
      </c>
    </row>
    <row r="5079">
      <c r="A5079" s="12" t="inlineStr">
        <is>
          <t>I-P-0029</t>
        </is>
      </c>
      <c r="B5079" s="12" t="inlineStr">
        <is>
          <t>I</t>
        </is>
      </c>
      <c r="C5079" s="12" t="inlineStr">
        <is>
          <t>Modular / portable power</t>
        </is>
      </c>
      <c r="D5079" s="12" t="inlineStr">
        <is>
          <t>MT-6 microturbine output</t>
        </is>
      </c>
      <c r="E5079" s="12" t="inlineStr">
        <is>
          <t>MT-6</t>
        </is>
      </c>
      <c r="F5079" s="12" t="inlineStr">
        <is>
          <t>MT-6: microturbine 1 MW (Capstone C1000 class)</t>
        </is>
      </c>
      <c r="G5079" s="12" t="inlineStr"/>
      <c r="H5079" s="12" t="inlineStr">
        <is>
          <t>MOD-LV 480 V board + 480 V : 13.8 kV step-up</t>
        </is>
      </c>
      <c r="I5079" s="12" t="inlineStr">
        <is>
          <t>LV 600 V</t>
        </is>
      </c>
      <c r="J5079" s="12" t="inlineStr">
        <is>
          <t>Type TC-ER 600 V 3/C Cu XHHW-2 + ground, PVC jacket</t>
        </is>
      </c>
      <c r="K5079" s="12" t="inlineStr">
        <is>
          <t>LV|3/C+G|500</t>
        </is>
      </c>
      <c r="L5079" s="12" t="inlineStr">
        <is>
          <t>3/C+G</t>
        </is>
      </c>
      <c r="M5079" s="12" t="inlineStr">
        <is>
          <t>500 kcmil</t>
        </is>
      </c>
      <c r="N5079" s="12" t="n">
        <v>12</v>
      </c>
      <c r="O5079" s="12" t="n">
        <v>1</v>
      </c>
      <c r="P5079" s="12" t="n">
        <v>480</v>
      </c>
      <c r="Q5079" s="12" t="n">
        <v>1000</v>
      </c>
      <c r="R5079" s="12" t="n">
        <v>1266.2</v>
      </c>
      <c r="S5079" s="12" t="inlineStr">
        <is>
          <t>Duct bank</t>
        </is>
      </c>
      <c r="T5079" s="16" t="n">
        <v>2753</v>
      </c>
      <c r="U5079" s="16" t="n">
        <v>51</v>
      </c>
      <c r="V5079" s="16">
        <f>ROUNDUP((T5079+U5079+2*'Read Me'!$B$13)*(1+'Read Me'!$B$12),-1)</f>
        <v/>
      </c>
      <c r="W5079" s="16">
        <f>V5079*N5079*O5079</f>
        <v/>
      </c>
      <c r="X5079" s="12">
        <f>IF(LEFT(I5079,2)="MV",2*N5079*IF(L5079="1/C",O5079,1),0)</f>
        <v/>
      </c>
      <c r="Y5079" s="12">
        <f>IF(OR(LEFT(K5079,4)="LVAX",LEFT(K5079,6)="MV15AX",LEFT(K5079,4)="CTAX",LEFT(K5079,2)="W|"),2*N5079*O5079,0)</f>
        <v/>
      </c>
      <c r="Z5079" s="12" t="inlineStr"/>
      <c r="AA5079" s="12">
        <f>N5079*O5079</f>
        <v/>
      </c>
    </row>
    <row r="5080">
      <c r="A5080" s="12" t="inlineStr">
        <is>
          <t>I-P-0030</t>
        </is>
      </c>
      <c r="B5080" s="12" t="inlineStr">
        <is>
          <t>I</t>
        </is>
      </c>
      <c r="C5080" s="12" t="inlineStr">
        <is>
          <t>Modular / portable power</t>
        </is>
      </c>
      <c r="D5080" s="12" t="inlineStr">
        <is>
          <t>PAD-LV to PAD-TX</t>
        </is>
      </c>
      <c r="E5080" s="12" t="inlineStr">
        <is>
          <t>PAD-LV</t>
        </is>
      </c>
      <c r="F5080" s="12" t="inlineStr">
        <is>
          <t>PAD-LV 480 V paralleling switchboard</t>
        </is>
      </c>
      <c r="G5080" s="12" t="inlineStr">
        <is>
          <t>PAD-TX</t>
        </is>
      </c>
      <c r="H5080" s="12" t="inlineStr">
        <is>
          <t>PAD-TX 480 V : 13.8 kV</t>
        </is>
      </c>
      <c r="I5080" s="12" t="inlineStr">
        <is>
          <t>LV 600 V</t>
        </is>
      </c>
      <c r="J5080" s="12" t="inlineStr">
        <is>
          <t>XHHW-2 600 V 1/C Cu (feeder sets in tray / duct)</t>
        </is>
      </c>
      <c r="K5080" s="12" t="inlineStr">
        <is>
          <t>LV1C|1/C|500</t>
        </is>
      </c>
      <c r="L5080" s="12" t="inlineStr">
        <is>
          <t>1/C</t>
        </is>
      </c>
      <c r="M5080" s="12" t="inlineStr">
        <is>
          <t>500 kcmil</t>
        </is>
      </c>
      <c r="N5080" s="12" t="n">
        <v>12</v>
      </c>
      <c r="O5080" s="12" t="n">
        <v>4</v>
      </c>
      <c r="P5080" s="12" t="n">
        <v>480</v>
      </c>
      <c r="Q5080" s="12" t="n">
        <v>3000</v>
      </c>
      <c r="R5080" s="12" t="n">
        <v>3600</v>
      </c>
      <c r="S5080" s="12" t="inlineStr">
        <is>
          <t>Duct bank</t>
        </is>
      </c>
      <c r="T5080" s="16" t="n">
        <v>55</v>
      </c>
      <c r="U5080" s="16" t="n">
        <v>32</v>
      </c>
      <c r="V5080" s="16">
        <f>ROUNDUP((T5080+U5080+2*'Read Me'!$B$13)*(1+'Read Me'!$B$12),-1)</f>
        <v/>
      </c>
      <c r="W5080" s="16">
        <f>V5080*N5080*O5080</f>
        <v/>
      </c>
      <c r="X5080" s="12">
        <f>IF(LEFT(I5080,2)="MV",2*N5080*IF(L5080="1/C",O5080,1),0)</f>
        <v/>
      </c>
      <c r="Y5080" s="12">
        <f>IF(OR(LEFT(K5080,4)="LVAX",LEFT(K5080,6)="MV15AX",LEFT(K5080,4)="CTAX",LEFT(K5080,2)="W|"),2*N5080*O5080,0)</f>
        <v/>
      </c>
      <c r="Z5080" s="12" t="inlineStr">
        <is>
          <t>12 sets of 4 x 1/C (or bus duct)</t>
        </is>
      </c>
      <c r="AA5080" s="12">
        <f>N5080*O5080</f>
        <v/>
      </c>
    </row>
    <row r="5081">
      <c r="A5081" s="12" t="inlineStr">
        <is>
          <t>I-P-0031</t>
        </is>
      </c>
      <c r="B5081" s="12" t="inlineStr">
        <is>
          <t>I</t>
        </is>
      </c>
      <c r="C5081" s="12" t="inlineStr">
        <is>
          <t>Modular / portable power</t>
        </is>
      </c>
      <c r="D5081" s="12" t="inlineStr">
        <is>
          <t>LV panel / distribution feeder</t>
        </is>
      </c>
      <c r="E5081" s="12" t="inlineStr"/>
      <c r="F5081" s="12" t="inlineStr">
        <is>
          <t>PCM: power control module</t>
        </is>
      </c>
      <c r="G5081" s="12" t="inlineStr"/>
      <c r="H5081" s="12" t="inlineStr">
        <is>
          <t>PCM: power control module</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38</v>
      </c>
      <c r="R5081" s="12" t="n">
        <v>53.8</v>
      </c>
      <c r="S5081" s="12" t="inlineStr">
        <is>
          <t>Tray</t>
        </is>
      </c>
      <c r="T5081" s="16" t="n">
        <v>0</v>
      </c>
      <c r="U5081" s="16" t="n">
        <v>32</v>
      </c>
      <c r="V5081" s="16">
        <f>ROUNDUP((T5081+U5081+2*'Read Me'!$B$13)*(1+'Read Me'!$B$12),-1)</f>
        <v/>
      </c>
      <c r="W5081" s="16">
        <f>V5081*N5081*O5081</f>
        <v/>
      </c>
      <c r="X5081" s="12">
        <f>IF(LEFT(I5081,2)="MV",2*N5081*IF(L5081="1/C",O5081,1),0)</f>
        <v/>
      </c>
      <c r="Y5081" s="12">
        <f>IF(OR(LEFT(K5081,4)="LVAX",LEFT(K5081,6)="MV15AX",LEFT(K5081,4)="CTAX",LEFT(K5081,2)="W|"),2*N5081*O5081,0)</f>
        <v/>
      </c>
      <c r="Z5081" s="12" t="inlineStr">
        <is>
          <t>VD 0.2 %</t>
        </is>
      </c>
      <c r="AA5081" s="12">
        <f>N5081*O5081</f>
        <v/>
      </c>
    </row>
    <row r="5082">
      <c r="A5082" s="12" t="inlineStr">
        <is>
          <t>I-P-0032</t>
        </is>
      </c>
      <c r="B5082" s="12" t="inlineStr">
        <is>
          <t>I</t>
        </is>
      </c>
      <c r="C5082" s="12" t="inlineStr">
        <is>
          <t>Modular / portable power</t>
        </is>
      </c>
      <c r="D5082" s="12" t="inlineStr">
        <is>
          <t>Motor 1 of 1, 15 kW</t>
        </is>
      </c>
      <c r="E5082" s="12" t="inlineStr"/>
      <c r="F5082" s="12" t="inlineStr">
        <is>
          <t>PCM: power control module</t>
        </is>
      </c>
      <c r="G5082" s="12" t="inlineStr"/>
      <c r="H5082" s="12" t="inlineStr">
        <is>
          <t>RICE 1 SCR + oxidation catalyst and stack</t>
        </is>
      </c>
      <c r="I5082" s="12" t="inlineStr">
        <is>
          <t>LV 600 V</t>
        </is>
      </c>
      <c r="J5082" s="12" t="inlineStr">
        <is>
          <t>Type TC-ER 600 V 3/C Cu XHHW-2 + ground, PVC jacket</t>
        </is>
      </c>
      <c r="K5082" s="12" t="inlineStr">
        <is>
          <t>LV|3/C+G|6</t>
        </is>
      </c>
      <c r="L5082" s="12" t="inlineStr">
        <is>
          <t>3/C+G</t>
        </is>
      </c>
      <c r="M5082" s="12" t="inlineStr">
        <is>
          <t>6</t>
        </is>
      </c>
      <c r="N5082" s="12" t="n">
        <v>1</v>
      </c>
      <c r="O5082" s="12" t="n">
        <v>1</v>
      </c>
      <c r="P5082" s="12" t="n">
        <v>480</v>
      </c>
      <c r="Q5082" s="12" t="n">
        <v>15</v>
      </c>
      <c r="R5082" s="12" t="n">
        <v>21.2</v>
      </c>
      <c r="S5082" s="12" t="inlineStr">
        <is>
          <t>Duct bank</t>
        </is>
      </c>
      <c r="T5082" s="16" t="n">
        <v>470</v>
      </c>
      <c r="U5082" s="16" t="n">
        <v>160</v>
      </c>
      <c r="V5082" s="16">
        <f>ROUNDUP((T5082+U5082+2*'Read Me'!$B$13)*(1+'Read Me'!$B$12),-1)</f>
        <v/>
      </c>
      <c r="W5082" s="16">
        <f>V5082*N5082*O5082</f>
        <v/>
      </c>
      <c r="X5082" s="12">
        <f>IF(LEFT(I5082,2)="MV",2*N5082*IF(L5082="1/C",O5082,1),0)</f>
        <v/>
      </c>
      <c r="Y5082" s="12">
        <f>IF(OR(LEFT(K5082,4)="LVAX",LEFT(K5082,6)="MV15AX",LEFT(K5082,4)="CTAX",LEFT(K5082,2)="W|"),2*N5082*O5082,0)</f>
        <v/>
      </c>
      <c r="Z5082" s="12" t="inlineStr">
        <is>
          <t>VD 2.6 %</t>
        </is>
      </c>
      <c r="AA5082" s="12">
        <f>N5082*O5082</f>
        <v/>
      </c>
    </row>
    <row r="5083">
      <c r="A5083" s="12" t="inlineStr">
        <is>
          <t>I-P-0033</t>
        </is>
      </c>
      <c r="B5083" s="12" t="inlineStr">
        <is>
          <t>I</t>
        </is>
      </c>
      <c r="C5083" s="12" t="inlineStr">
        <is>
          <t>Modular / portable power</t>
        </is>
      </c>
      <c r="D5083" s="12" t="inlineStr">
        <is>
          <t>Area / platform lighting circuit 1 (6 fixtures)</t>
        </is>
      </c>
      <c r="E5083" s="12" t="inlineStr"/>
      <c r="F5083" s="12" t="inlineStr">
        <is>
          <t>PCM: power control module</t>
        </is>
      </c>
      <c r="G5083" s="12" t="inlineStr"/>
      <c r="H5083" s="12" t="inlineStr">
        <is>
          <t>RICE 1 SCR + oxidation catalyst and stack</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3</v>
      </c>
      <c r="R5083" s="12" t="n">
        <v>5</v>
      </c>
      <c r="S5083" s="12" t="inlineStr">
        <is>
          <t>Duct bank</t>
        </is>
      </c>
      <c r="T5083" s="16" t="n">
        <v>770</v>
      </c>
      <c r="U5083" s="16" t="n">
        <v>160</v>
      </c>
      <c r="V5083" s="16">
        <f>ROUNDUP((T5083+U5083+2*'Read Me'!$B$13)*(1+'Read Me'!$B$12),-1)</f>
        <v/>
      </c>
      <c r="W5083" s="16">
        <f>V5083*N5083*O5083</f>
        <v/>
      </c>
      <c r="X5083" s="12">
        <f>IF(LEFT(I5083,2)="MV",2*N5083*IF(L5083="1/C",O5083,1),0)</f>
        <v/>
      </c>
      <c r="Y5083" s="12">
        <f>IF(OR(LEFT(K5083,4)="LVAX",LEFT(K5083,6)="MV15AX",LEFT(K5083,4)="CTAX",LEFT(K5083,2)="W|"),2*N5083*O5083,0)</f>
        <v/>
      </c>
      <c r="Z5083" s="12" t="inlineStr">
        <is>
          <t>fixture-to-fixture run included</t>
        </is>
      </c>
      <c r="AA5083" s="12">
        <f>N5083*O5083</f>
        <v/>
      </c>
    </row>
    <row r="5084">
      <c r="A5084" s="12" t="inlineStr">
        <is>
          <t>I-P-0034</t>
        </is>
      </c>
      <c r="B5084" s="12" t="inlineStr">
        <is>
          <t>I</t>
        </is>
      </c>
      <c r="C5084" s="12" t="inlineStr">
        <is>
          <t>Modular / portable power</t>
        </is>
      </c>
      <c r="D5084" s="12" t="inlineStr">
        <is>
          <t>Motor 1 of 5, 30 kW (VFD output)</t>
        </is>
      </c>
      <c r="E5084" s="12" t="inlineStr"/>
      <c r="F5084" s="12" t="inlineStr">
        <is>
          <t>PCM: power control module</t>
        </is>
      </c>
      <c r="G5084" s="12" t="inlineStr"/>
      <c r="H5084" s="12" t="inlineStr">
        <is>
          <t>RICE 1 radiators (5)</t>
        </is>
      </c>
      <c r="I5084" s="12" t="inlineStr">
        <is>
          <t>LV 600 V</t>
        </is>
      </c>
      <c r="J5084" s="12" t="inlineStr">
        <is>
          <t>VFD cable 600 V 3/C Cu XHHW-2, 3 symmetrical grounds, overall Cu tape shield, TC-ER</t>
        </is>
      </c>
      <c r="K5084" s="12" t="inlineStr">
        <is>
          <t>VFD|3/C+3G|1</t>
        </is>
      </c>
      <c r="L5084" s="12" t="inlineStr">
        <is>
          <t>3/C+3G</t>
        </is>
      </c>
      <c r="M5084" s="12" t="inlineStr">
        <is>
          <t>1</t>
        </is>
      </c>
      <c r="N5084" s="12" t="n">
        <v>1</v>
      </c>
      <c r="O5084" s="12" t="n">
        <v>1</v>
      </c>
      <c r="P5084" s="12" t="n">
        <v>480</v>
      </c>
      <c r="Q5084" s="12" t="n">
        <v>30</v>
      </c>
      <c r="R5084" s="12" t="n">
        <v>42</v>
      </c>
      <c r="S5084" s="12" t="inlineStr">
        <is>
          <t>Duct bank</t>
        </is>
      </c>
      <c r="T5084" s="16" t="n">
        <v>825</v>
      </c>
      <c r="U5084" s="16" t="n">
        <v>139</v>
      </c>
      <c r="V5084" s="16">
        <f>ROUNDUP((T5084+U5084+2*'Read Me'!$B$13)*(1+'Read Me'!$B$12),-1)</f>
        <v/>
      </c>
      <c r="W5084" s="16">
        <f>V5084*N5084*O5084</f>
        <v/>
      </c>
      <c r="X5084" s="12">
        <f>IF(LEFT(I5084,2)="MV",2*N5084*IF(L5084="1/C",O5084,1),0)</f>
        <v/>
      </c>
      <c r="Y5084" s="12">
        <f>IF(OR(LEFT(K5084,4)="LVAX",LEFT(K5084,6)="MV15AX",LEFT(K5084,4)="CTAX",LEFT(K5084,2)="W|"),2*N5084*O5084,0)</f>
        <v/>
      </c>
      <c r="Z5084" s="12" t="inlineStr">
        <is>
          <t>VD 2.5 %</t>
        </is>
      </c>
      <c r="AA5084" s="12">
        <f>N5084*O5084</f>
        <v/>
      </c>
    </row>
    <row r="5085">
      <c r="A5085" s="12" t="inlineStr">
        <is>
          <t>I-P-0035</t>
        </is>
      </c>
      <c r="B5085" s="12" t="inlineStr">
        <is>
          <t>I</t>
        </is>
      </c>
      <c r="C5085" s="12" t="inlineStr">
        <is>
          <t>Modular / portable power</t>
        </is>
      </c>
      <c r="D5085" s="12" t="inlineStr">
        <is>
          <t>Motor 2 of 5, 30 kW (VFD output)</t>
        </is>
      </c>
      <c r="E5085" s="12" t="inlineStr"/>
      <c r="F5085" s="12" t="inlineStr">
        <is>
          <t>PCM: power control module</t>
        </is>
      </c>
      <c r="G5085" s="12" t="inlineStr"/>
      <c r="H5085" s="12" t="inlineStr">
        <is>
          <t>RICE 1 radiators (5)</t>
        </is>
      </c>
      <c r="I5085" s="12" t="inlineStr">
        <is>
          <t>LV 600 V</t>
        </is>
      </c>
      <c r="J5085" s="12" t="inlineStr">
        <is>
          <t>VFD cable 600 V 3/C Cu XHHW-2, 3 symmetrical grounds, overall Cu tape shield, TC-ER</t>
        </is>
      </c>
      <c r="K5085" s="12" t="inlineStr">
        <is>
          <t>VFD|3/C+3G|1</t>
        </is>
      </c>
      <c r="L5085" s="12" t="inlineStr">
        <is>
          <t>3/C+3G</t>
        </is>
      </c>
      <c r="M5085" s="12" t="inlineStr">
        <is>
          <t>1</t>
        </is>
      </c>
      <c r="N5085" s="12" t="n">
        <v>1</v>
      </c>
      <c r="O5085" s="12" t="n">
        <v>1</v>
      </c>
      <c r="P5085" s="12" t="n">
        <v>480</v>
      </c>
      <c r="Q5085" s="12" t="n">
        <v>30</v>
      </c>
      <c r="R5085" s="12" t="n">
        <v>42</v>
      </c>
      <c r="S5085" s="12" t="inlineStr">
        <is>
          <t>Duct bank</t>
        </is>
      </c>
      <c r="T5085" s="16" t="n">
        <v>825</v>
      </c>
      <c r="U5085" s="16" t="n">
        <v>139</v>
      </c>
      <c r="V5085" s="16">
        <f>ROUNDUP((T5085+U5085+2*'Read Me'!$B$13)*(1+'Read Me'!$B$12),-1)</f>
        <v/>
      </c>
      <c r="W5085" s="16">
        <f>V5085*N5085*O5085</f>
        <v/>
      </c>
      <c r="X5085" s="12">
        <f>IF(LEFT(I5085,2)="MV",2*N5085*IF(L5085="1/C",O5085,1),0)</f>
        <v/>
      </c>
      <c r="Y5085" s="12">
        <f>IF(OR(LEFT(K5085,4)="LVAX",LEFT(K5085,6)="MV15AX",LEFT(K5085,4)="CTAX",LEFT(K5085,2)="W|"),2*N5085*O5085,0)</f>
        <v/>
      </c>
      <c r="Z5085" s="12" t="inlineStr">
        <is>
          <t>VD 2.5 %</t>
        </is>
      </c>
      <c r="AA5085" s="12">
        <f>N5085*O5085</f>
        <v/>
      </c>
    </row>
    <row r="5086">
      <c r="A5086" s="12" t="inlineStr">
        <is>
          <t>I-P-0036</t>
        </is>
      </c>
      <c r="B5086" s="12" t="inlineStr">
        <is>
          <t>I</t>
        </is>
      </c>
      <c r="C5086" s="12" t="inlineStr">
        <is>
          <t>Modular / portable power</t>
        </is>
      </c>
      <c r="D5086" s="12" t="inlineStr">
        <is>
          <t>Motor 3 of 5, 30 kW (VFD output)</t>
        </is>
      </c>
      <c r="E5086" s="12" t="inlineStr"/>
      <c r="F5086" s="12" t="inlineStr">
        <is>
          <t>PCM: power control module</t>
        </is>
      </c>
      <c r="G5086" s="12" t="inlineStr"/>
      <c r="H5086" s="12" t="inlineStr">
        <is>
          <t>RICE 1 radiators (5)</t>
        </is>
      </c>
      <c r="I5086" s="12" t="inlineStr">
        <is>
          <t>LV 600 V</t>
        </is>
      </c>
      <c r="J5086" s="12" t="inlineStr">
        <is>
          <t>VFD cable 600 V 3/C Cu XHHW-2, 3 symmetrical grounds, overall Cu tape shield, TC-ER</t>
        </is>
      </c>
      <c r="K5086" s="12" t="inlineStr">
        <is>
          <t>VFD|3/C+3G|1</t>
        </is>
      </c>
      <c r="L5086" s="12" t="inlineStr">
        <is>
          <t>3/C+3G</t>
        </is>
      </c>
      <c r="M5086" s="12" t="inlineStr">
        <is>
          <t>1</t>
        </is>
      </c>
      <c r="N5086" s="12" t="n">
        <v>1</v>
      </c>
      <c r="O5086" s="12" t="n">
        <v>1</v>
      </c>
      <c r="P5086" s="12" t="n">
        <v>480</v>
      </c>
      <c r="Q5086" s="12" t="n">
        <v>30</v>
      </c>
      <c r="R5086" s="12" t="n">
        <v>42</v>
      </c>
      <c r="S5086" s="12" t="inlineStr">
        <is>
          <t>Duct bank</t>
        </is>
      </c>
      <c r="T5086" s="16" t="n">
        <v>825</v>
      </c>
      <c r="U5086" s="16" t="n">
        <v>139</v>
      </c>
      <c r="V5086" s="16">
        <f>ROUNDUP((T5086+U5086+2*'Read Me'!$B$13)*(1+'Read Me'!$B$12),-1)</f>
        <v/>
      </c>
      <c r="W5086" s="16">
        <f>V5086*N5086*O5086</f>
        <v/>
      </c>
      <c r="X5086" s="12">
        <f>IF(LEFT(I5086,2)="MV",2*N5086*IF(L5086="1/C",O5086,1),0)</f>
        <v/>
      </c>
      <c r="Y5086" s="12">
        <f>IF(OR(LEFT(K5086,4)="LVAX",LEFT(K5086,6)="MV15AX",LEFT(K5086,4)="CTAX",LEFT(K5086,2)="W|"),2*N5086*O5086,0)</f>
        <v/>
      </c>
      <c r="Z5086" s="12" t="inlineStr">
        <is>
          <t>VD 2.5 %</t>
        </is>
      </c>
      <c r="AA5086" s="12">
        <f>N5086*O5086</f>
        <v/>
      </c>
    </row>
    <row r="5087">
      <c r="A5087" s="12" t="inlineStr">
        <is>
          <t>I-P-0037</t>
        </is>
      </c>
      <c r="B5087" s="12" t="inlineStr">
        <is>
          <t>I</t>
        </is>
      </c>
      <c r="C5087" s="12" t="inlineStr">
        <is>
          <t>Modular / portable power</t>
        </is>
      </c>
      <c r="D5087" s="12" t="inlineStr">
        <is>
          <t>Motor 4 of 5, 30 kW (VFD output)</t>
        </is>
      </c>
      <c r="E5087" s="12" t="inlineStr"/>
      <c r="F5087" s="12" t="inlineStr">
        <is>
          <t>PCM: power control module</t>
        </is>
      </c>
      <c r="G5087" s="12" t="inlineStr"/>
      <c r="H5087" s="12" t="inlineStr">
        <is>
          <t>RICE 1 radiators (5)</t>
        </is>
      </c>
      <c r="I5087" s="12" t="inlineStr">
        <is>
          <t>LV 600 V</t>
        </is>
      </c>
      <c r="J5087" s="12" t="inlineStr">
        <is>
          <t>VFD cable 600 V 3/C Cu XHHW-2, 3 symmetrical grounds, overall Cu tape shield, TC-ER</t>
        </is>
      </c>
      <c r="K5087" s="12" t="inlineStr">
        <is>
          <t>VFD|3/C+3G|1</t>
        </is>
      </c>
      <c r="L5087" s="12" t="inlineStr">
        <is>
          <t>3/C+3G</t>
        </is>
      </c>
      <c r="M5087" s="12" t="inlineStr">
        <is>
          <t>1</t>
        </is>
      </c>
      <c r="N5087" s="12" t="n">
        <v>1</v>
      </c>
      <c r="O5087" s="12" t="n">
        <v>1</v>
      </c>
      <c r="P5087" s="12" t="n">
        <v>480</v>
      </c>
      <c r="Q5087" s="12" t="n">
        <v>30</v>
      </c>
      <c r="R5087" s="12" t="n">
        <v>42</v>
      </c>
      <c r="S5087" s="12" t="inlineStr">
        <is>
          <t>Duct bank</t>
        </is>
      </c>
      <c r="T5087" s="16" t="n">
        <v>825</v>
      </c>
      <c r="U5087" s="16" t="n">
        <v>139</v>
      </c>
      <c r="V5087" s="16">
        <f>ROUNDUP((T5087+U5087+2*'Read Me'!$B$13)*(1+'Read Me'!$B$12),-1)</f>
        <v/>
      </c>
      <c r="W5087" s="16">
        <f>V5087*N5087*O5087</f>
        <v/>
      </c>
      <c r="X5087" s="12">
        <f>IF(LEFT(I5087,2)="MV",2*N5087*IF(L5087="1/C",O5087,1),0)</f>
        <v/>
      </c>
      <c r="Y5087" s="12">
        <f>IF(OR(LEFT(K5087,4)="LVAX",LEFT(K5087,6)="MV15AX",LEFT(K5087,4)="CTAX",LEFT(K5087,2)="W|"),2*N5087*O5087,0)</f>
        <v/>
      </c>
      <c r="Z5087" s="12" t="inlineStr">
        <is>
          <t>VD 2.5 %</t>
        </is>
      </c>
      <c r="AA5087" s="12">
        <f>N5087*O5087</f>
        <v/>
      </c>
    </row>
    <row r="5088">
      <c r="A5088" s="12" t="inlineStr">
        <is>
          <t>I-P-0038</t>
        </is>
      </c>
      <c r="B5088" s="12" t="inlineStr">
        <is>
          <t>I</t>
        </is>
      </c>
      <c r="C5088" s="12" t="inlineStr">
        <is>
          <t>Modular / portable power</t>
        </is>
      </c>
      <c r="D5088" s="12" t="inlineStr">
        <is>
          <t>Motor 5 of 5, 30 kW (VFD output)</t>
        </is>
      </c>
      <c r="E5088" s="12" t="inlineStr"/>
      <c r="F5088" s="12" t="inlineStr">
        <is>
          <t>PCM: power control module</t>
        </is>
      </c>
      <c r="G5088" s="12" t="inlineStr"/>
      <c r="H5088" s="12" t="inlineStr">
        <is>
          <t>RICE 1 radiators (5)</t>
        </is>
      </c>
      <c r="I5088" s="12" t="inlineStr">
        <is>
          <t>LV 600 V</t>
        </is>
      </c>
      <c r="J5088" s="12" t="inlineStr">
        <is>
          <t>VFD cable 600 V 3/C Cu XHHW-2, 3 symmetrical grounds, overall Cu tape shield, TC-ER</t>
        </is>
      </c>
      <c r="K5088" s="12" t="inlineStr">
        <is>
          <t>VFD|3/C+3G|1</t>
        </is>
      </c>
      <c r="L5088" s="12" t="inlineStr">
        <is>
          <t>3/C+3G</t>
        </is>
      </c>
      <c r="M5088" s="12" t="inlineStr">
        <is>
          <t>1</t>
        </is>
      </c>
      <c r="N5088" s="12" t="n">
        <v>1</v>
      </c>
      <c r="O5088" s="12" t="n">
        <v>1</v>
      </c>
      <c r="P5088" s="12" t="n">
        <v>480</v>
      </c>
      <c r="Q5088" s="12" t="n">
        <v>30</v>
      </c>
      <c r="R5088" s="12" t="n">
        <v>42</v>
      </c>
      <c r="S5088" s="12" t="inlineStr">
        <is>
          <t>Duct bank</t>
        </is>
      </c>
      <c r="T5088" s="16" t="n">
        <v>825</v>
      </c>
      <c r="U5088" s="16" t="n">
        <v>139</v>
      </c>
      <c r="V5088" s="16">
        <f>ROUNDUP((T5088+U5088+2*'Read Me'!$B$13)*(1+'Read Me'!$B$12),-1)</f>
        <v/>
      </c>
      <c r="W5088" s="16">
        <f>V5088*N5088*O5088</f>
        <v/>
      </c>
      <c r="X5088" s="12">
        <f>IF(LEFT(I5088,2)="MV",2*N5088*IF(L5088="1/C",O5088,1),0)</f>
        <v/>
      </c>
      <c r="Y5088" s="12">
        <f>IF(OR(LEFT(K5088,4)="LVAX",LEFT(K5088,6)="MV15AX",LEFT(K5088,4)="CTAX",LEFT(K5088,2)="W|"),2*N5088*O5088,0)</f>
        <v/>
      </c>
      <c r="Z5088" s="12" t="inlineStr">
        <is>
          <t>VD 2.5 %</t>
        </is>
      </c>
      <c r="AA5088" s="12">
        <f>N5088*O5088</f>
        <v/>
      </c>
    </row>
    <row r="5089">
      <c r="A5089" s="12" t="inlineStr">
        <is>
          <t>I-P-0039</t>
        </is>
      </c>
      <c r="B5089" s="12" t="inlineStr">
        <is>
          <t>I</t>
        </is>
      </c>
      <c r="C5089" s="12" t="inlineStr">
        <is>
          <t>Modular / portable power</t>
        </is>
      </c>
      <c r="D5089" s="12" t="inlineStr">
        <is>
          <t>Motor 1 of 1, 15 kW</t>
        </is>
      </c>
      <c r="E5089" s="12" t="inlineStr"/>
      <c r="F5089" s="12" t="inlineStr">
        <is>
          <t>PCM: power control module</t>
        </is>
      </c>
      <c r="G5089" s="12" t="inlineStr"/>
      <c r="H5089" s="12" t="inlineStr">
        <is>
          <t>RICE 2 SCR + oxidation catalyst and stack</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15</v>
      </c>
      <c r="R5089" s="12" t="n">
        <v>21.2</v>
      </c>
      <c r="S5089" s="12" t="inlineStr">
        <is>
          <t>Duct bank</t>
        </is>
      </c>
      <c r="T5089" s="16" t="n">
        <v>470</v>
      </c>
      <c r="U5089" s="16" t="n">
        <v>132</v>
      </c>
      <c r="V5089" s="16">
        <f>ROUNDUP((T5089+U5089+2*'Read Me'!$B$13)*(1+'Read Me'!$B$12),-1)</f>
        <v/>
      </c>
      <c r="W5089" s="16">
        <f>V5089*N5089*O5089</f>
        <v/>
      </c>
      <c r="X5089" s="12">
        <f>IF(LEFT(I5089,2)="MV",2*N5089*IF(L5089="1/C",O5089,1),0)</f>
        <v/>
      </c>
      <c r="Y5089" s="12">
        <f>IF(OR(LEFT(K5089,4)="LVAX",LEFT(K5089,6)="MV15AX",LEFT(K5089,4)="CTAX",LEFT(K5089,2)="W|"),2*N5089*O5089,0)</f>
        <v/>
      </c>
      <c r="Z5089" s="12" t="inlineStr">
        <is>
          <t>VD 2.5 %</t>
        </is>
      </c>
      <c r="AA5089" s="12">
        <f>N5089*O5089</f>
        <v/>
      </c>
    </row>
    <row r="5090">
      <c r="A5090" s="12" t="inlineStr">
        <is>
          <t>I-P-0040</t>
        </is>
      </c>
      <c r="B5090" s="12" t="inlineStr">
        <is>
          <t>I</t>
        </is>
      </c>
      <c r="C5090" s="12" t="inlineStr">
        <is>
          <t>Modular / portable power</t>
        </is>
      </c>
      <c r="D5090" s="12" t="inlineStr">
        <is>
          <t>Area / platform lighting circuit 1 (6 fixtures)</t>
        </is>
      </c>
      <c r="E5090" s="12" t="inlineStr"/>
      <c r="F5090" s="12" t="inlineStr">
        <is>
          <t>PCM: power control module</t>
        </is>
      </c>
      <c r="G5090" s="12" t="inlineStr"/>
      <c r="H5090" s="12" t="inlineStr">
        <is>
          <t>RICE 2 SCR + oxidation catalyst and stack</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3</v>
      </c>
      <c r="R5090" s="12" t="n">
        <v>5</v>
      </c>
      <c r="S5090" s="12" t="inlineStr">
        <is>
          <t>Duct bank</t>
        </is>
      </c>
      <c r="T5090" s="16" t="n">
        <v>770</v>
      </c>
      <c r="U5090" s="16" t="n">
        <v>132</v>
      </c>
      <c r="V5090" s="16">
        <f>ROUNDUP((T5090+U5090+2*'Read Me'!$B$13)*(1+'Read Me'!$B$12),-1)</f>
        <v/>
      </c>
      <c r="W5090" s="16">
        <f>V5090*N5090*O5090</f>
        <v/>
      </c>
      <c r="X5090" s="12">
        <f>IF(LEFT(I5090,2)="MV",2*N5090*IF(L5090="1/C",O5090,1),0)</f>
        <v/>
      </c>
      <c r="Y5090" s="12">
        <f>IF(OR(LEFT(K5090,4)="LVAX",LEFT(K5090,6)="MV15AX",LEFT(K5090,4)="CTAX",LEFT(K5090,2)="W|"),2*N5090*O5090,0)</f>
        <v/>
      </c>
      <c r="Z5090" s="12" t="inlineStr">
        <is>
          <t>fixture-to-fixture run included</t>
        </is>
      </c>
      <c r="AA5090" s="12">
        <f>N5090*O5090</f>
        <v/>
      </c>
    </row>
    <row r="5091">
      <c r="A5091" s="12" t="inlineStr">
        <is>
          <t>I-P-0041</t>
        </is>
      </c>
      <c r="B5091" s="12" t="inlineStr">
        <is>
          <t>I</t>
        </is>
      </c>
      <c r="C5091" s="12" t="inlineStr">
        <is>
          <t>Modular / portable power</t>
        </is>
      </c>
      <c r="D5091" s="12" t="inlineStr">
        <is>
          <t>Motor 1 of 5, 30 kW (VFD output)</t>
        </is>
      </c>
      <c r="E5091" s="12" t="inlineStr"/>
      <c r="F5091" s="12" t="inlineStr">
        <is>
          <t>PCM: power control module</t>
        </is>
      </c>
      <c r="G5091" s="12" t="inlineStr"/>
      <c r="H5091" s="12" t="inlineStr">
        <is>
          <t>RICE 2 radiators (5)</t>
        </is>
      </c>
      <c r="I5091" s="12" t="inlineStr">
        <is>
          <t>LV 600 V</t>
        </is>
      </c>
      <c r="J5091" s="12" t="inlineStr">
        <is>
          <t>VFD cable 600 V 3/C Cu XHHW-2, 3 symmetrical grounds, overall Cu tape shield, TC-ER</t>
        </is>
      </c>
      <c r="K5091" s="12" t="inlineStr">
        <is>
          <t>VFD|3/C+3G|2</t>
        </is>
      </c>
      <c r="L5091" s="12" t="inlineStr">
        <is>
          <t>3/C+3G</t>
        </is>
      </c>
      <c r="M5091" s="12" t="inlineStr">
        <is>
          <t>2</t>
        </is>
      </c>
      <c r="N5091" s="12" t="n">
        <v>1</v>
      </c>
      <c r="O5091" s="12" t="n">
        <v>1</v>
      </c>
      <c r="P5091" s="12" t="n">
        <v>480</v>
      </c>
      <c r="Q5091" s="12" t="n">
        <v>30</v>
      </c>
      <c r="R5091" s="12" t="n">
        <v>42</v>
      </c>
      <c r="S5091" s="12" t="inlineStr">
        <is>
          <t>Duct bank</t>
        </is>
      </c>
      <c r="T5091" s="16" t="n">
        <v>630</v>
      </c>
      <c r="U5091" s="16" t="n">
        <v>192</v>
      </c>
      <c r="V5091" s="16">
        <f>ROUNDUP((T5091+U5091+2*'Read Me'!$B$13)*(1+'Read Me'!$B$12),-1)</f>
        <v/>
      </c>
      <c r="W5091" s="16">
        <f>V5091*N5091*O5091</f>
        <v/>
      </c>
      <c r="X5091" s="12">
        <f>IF(LEFT(I5091,2)="MV",2*N5091*IF(L5091="1/C",O5091,1),0)</f>
        <v/>
      </c>
      <c r="Y5091" s="12">
        <f>IF(OR(LEFT(K5091,4)="LVAX",LEFT(K5091,6)="MV15AX",LEFT(K5091,4)="CTAX",LEFT(K5091,2)="W|"),2*N5091*O5091,0)</f>
        <v/>
      </c>
      <c r="Z5091" s="12" t="inlineStr">
        <is>
          <t>VD 2.7 %</t>
        </is>
      </c>
      <c r="AA5091" s="12">
        <f>N5091*O5091</f>
        <v/>
      </c>
    </row>
    <row r="5092">
      <c r="A5092" s="12" t="inlineStr">
        <is>
          <t>I-P-0042</t>
        </is>
      </c>
      <c r="B5092" s="12" t="inlineStr">
        <is>
          <t>I</t>
        </is>
      </c>
      <c r="C5092" s="12" t="inlineStr">
        <is>
          <t>Modular / portable power</t>
        </is>
      </c>
      <c r="D5092" s="12" t="inlineStr">
        <is>
          <t>Motor 2 of 5, 30 kW (VFD output)</t>
        </is>
      </c>
      <c r="E5092" s="12" t="inlineStr"/>
      <c r="F5092" s="12" t="inlineStr">
        <is>
          <t>PCM: power control module</t>
        </is>
      </c>
      <c r="G5092" s="12" t="inlineStr"/>
      <c r="H5092" s="12" t="inlineStr">
        <is>
          <t>RICE 2 radiators (5)</t>
        </is>
      </c>
      <c r="I5092" s="12" t="inlineStr">
        <is>
          <t>LV 600 V</t>
        </is>
      </c>
      <c r="J5092" s="12" t="inlineStr">
        <is>
          <t>VFD cable 600 V 3/C Cu XHHW-2, 3 symmetrical grounds, overall Cu tape shield, TC-ER</t>
        </is>
      </c>
      <c r="K5092" s="12" t="inlineStr">
        <is>
          <t>VFD|3/C+3G|2</t>
        </is>
      </c>
      <c r="L5092" s="12" t="inlineStr">
        <is>
          <t>3/C+3G</t>
        </is>
      </c>
      <c r="M5092" s="12" t="inlineStr">
        <is>
          <t>2</t>
        </is>
      </c>
      <c r="N5092" s="12" t="n">
        <v>1</v>
      </c>
      <c r="O5092" s="12" t="n">
        <v>1</v>
      </c>
      <c r="P5092" s="12" t="n">
        <v>480</v>
      </c>
      <c r="Q5092" s="12" t="n">
        <v>30</v>
      </c>
      <c r="R5092" s="12" t="n">
        <v>42</v>
      </c>
      <c r="S5092" s="12" t="inlineStr">
        <is>
          <t>Duct bank</t>
        </is>
      </c>
      <c r="T5092" s="16" t="n">
        <v>630</v>
      </c>
      <c r="U5092" s="16" t="n">
        <v>192</v>
      </c>
      <c r="V5092" s="16">
        <f>ROUNDUP((T5092+U5092+2*'Read Me'!$B$13)*(1+'Read Me'!$B$12),-1)</f>
        <v/>
      </c>
      <c r="W5092" s="16">
        <f>V5092*N5092*O5092</f>
        <v/>
      </c>
      <c r="X5092" s="12">
        <f>IF(LEFT(I5092,2)="MV",2*N5092*IF(L5092="1/C",O5092,1),0)</f>
        <v/>
      </c>
      <c r="Y5092" s="12">
        <f>IF(OR(LEFT(K5092,4)="LVAX",LEFT(K5092,6)="MV15AX",LEFT(K5092,4)="CTAX",LEFT(K5092,2)="W|"),2*N5092*O5092,0)</f>
        <v/>
      </c>
      <c r="Z5092" s="12" t="inlineStr">
        <is>
          <t>VD 2.7 %</t>
        </is>
      </c>
      <c r="AA5092" s="12">
        <f>N5092*O5092</f>
        <v/>
      </c>
    </row>
    <row r="5093">
      <c r="A5093" s="12" t="inlineStr">
        <is>
          <t>I-P-0043</t>
        </is>
      </c>
      <c r="B5093" s="12" t="inlineStr">
        <is>
          <t>I</t>
        </is>
      </c>
      <c r="C5093" s="12" t="inlineStr">
        <is>
          <t>Modular / portable power</t>
        </is>
      </c>
      <c r="D5093" s="12" t="inlineStr">
        <is>
          <t>Motor 3 of 5, 30 kW (VFD output)</t>
        </is>
      </c>
      <c r="E5093" s="12" t="inlineStr"/>
      <c r="F5093" s="12" t="inlineStr">
        <is>
          <t>PCM: power control module</t>
        </is>
      </c>
      <c r="G5093" s="12" t="inlineStr"/>
      <c r="H5093" s="12" t="inlineStr">
        <is>
          <t>RICE 2 radiators (5)</t>
        </is>
      </c>
      <c r="I5093" s="12" t="inlineStr">
        <is>
          <t>LV 600 V</t>
        </is>
      </c>
      <c r="J5093" s="12" t="inlineStr">
        <is>
          <t>VFD cable 600 V 3/C Cu XHHW-2, 3 symmetrical grounds, overall Cu tape shield, TC-ER</t>
        </is>
      </c>
      <c r="K5093" s="12" t="inlineStr">
        <is>
          <t>VFD|3/C+3G|2</t>
        </is>
      </c>
      <c r="L5093" s="12" t="inlineStr">
        <is>
          <t>3/C+3G</t>
        </is>
      </c>
      <c r="M5093" s="12" t="inlineStr">
        <is>
          <t>2</t>
        </is>
      </c>
      <c r="N5093" s="12" t="n">
        <v>1</v>
      </c>
      <c r="O5093" s="12" t="n">
        <v>1</v>
      </c>
      <c r="P5093" s="12" t="n">
        <v>480</v>
      </c>
      <c r="Q5093" s="12" t="n">
        <v>30</v>
      </c>
      <c r="R5093" s="12" t="n">
        <v>42</v>
      </c>
      <c r="S5093" s="12" t="inlineStr">
        <is>
          <t>Duct bank</t>
        </is>
      </c>
      <c r="T5093" s="16" t="n">
        <v>630</v>
      </c>
      <c r="U5093" s="16" t="n">
        <v>192</v>
      </c>
      <c r="V5093" s="16">
        <f>ROUNDUP((T5093+U5093+2*'Read Me'!$B$13)*(1+'Read Me'!$B$12),-1)</f>
        <v/>
      </c>
      <c r="W5093" s="16">
        <f>V5093*N5093*O5093</f>
        <v/>
      </c>
      <c r="X5093" s="12">
        <f>IF(LEFT(I5093,2)="MV",2*N5093*IF(L5093="1/C",O5093,1),0)</f>
        <v/>
      </c>
      <c r="Y5093" s="12">
        <f>IF(OR(LEFT(K5093,4)="LVAX",LEFT(K5093,6)="MV15AX",LEFT(K5093,4)="CTAX",LEFT(K5093,2)="W|"),2*N5093*O5093,0)</f>
        <v/>
      </c>
      <c r="Z5093" s="12" t="inlineStr">
        <is>
          <t>VD 2.7 %</t>
        </is>
      </c>
      <c r="AA5093" s="12">
        <f>N5093*O5093</f>
        <v/>
      </c>
    </row>
    <row r="5094">
      <c r="A5094" s="12" t="inlineStr">
        <is>
          <t>I-P-0044</t>
        </is>
      </c>
      <c r="B5094" s="12" t="inlineStr">
        <is>
          <t>I</t>
        </is>
      </c>
      <c r="C5094" s="12" t="inlineStr">
        <is>
          <t>Modular / portable power</t>
        </is>
      </c>
      <c r="D5094" s="12" t="inlineStr">
        <is>
          <t>Motor 4 of 5, 30 kW (VFD output)</t>
        </is>
      </c>
      <c r="E5094" s="12" t="inlineStr"/>
      <c r="F5094" s="12" t="inlineStr">
        <is>
          <t>PCM: power control module</t>
        </is>
      </c>
      <c r="G5094" s="12" t="inlineStr"/>
      <c r="H5094" s="12" t="inlineStr">
        <is>
          <t>RICE 2 radiators (5)</t>
        </is>
      </c>
      <c r="I5094" s="12" t="inlineStr">
        <is>
          <t>LV 600 V</t>
        </is>
      </c>
      <c r="J5094" s="12" t="inlineStr">
        <is>
          <t>VFD cable 600 V 3/C Cu XHHW-2, 3 symmetrical grounds, overall Cu tape shield, TC-ER</t>
        </is>
      </c>
      <c r="K5094" s="12" t="inlineStr">
        <is>
          <t>VFD|3/C+3G|2</t>
        </is>
      </c>
      <c r="L5094" s="12" t="inlineStr">
        <is>
          <t>3/C+3G</t>
        </is>
      </c>
      <c r="M5094" s="12" t="inlineStr">
        <is>
          <t>2</t>
        </is>
      </c>
      <c r="N5094" s="12" t="n">
        <v>1</v>
      </c>
      <c r="O5094" s="12" t="n">
        <v>1</v>
      </c>
      <c r="P5094" s="12" t="n">
        <v>480</v>
      </c>
      <c r="Q5094" s="12" t="n">
        <v>30</v>
      </c>
      <c r="R5094" s="12" t="n">
        <v>42</v>
      </c>
      <c r="S5094" s="12" t="inlineStr">
        <is>
          <t>Duct bank</t>
        </is>
      </c>
      <c r="T5094" s="16" t="n">
        <v>630</v>
      </c>
      <c r="U5094" s="16" t="n">
        <v>192</v>
      </c>
      <c r="V5094" s="16">
        <f>ROUNDUP((T5094+U5094+2*'Read Me'!$B$13)*(1+'Read Me'!$B$12),-1)</f>
        <v/>
      </c>
      <c r="W5094" s="16">
        <f>V5094*N5094*O5094</f>
        <v/>
      </c>
      <c r="X5094" s="12">
        <f>IF(LEFT(I5094,2)="MV",2*N5094*IF(L5094="1/C",O5094,1),0)</f>
        <v/>
      </c>
      <c r="Y5094" s="12">
        <f>IF(OR(LEFT(K5094,4)="LVAX",LEFT(K5094,6)="MV15AX",LEFT(K5094,4)="CTAX",LEFT(K5094,2)="W|"),2*N5094*O5094,0)</f>
        <v/>
      </c>
      <c r="Z5094" s="12" t="inlineStr">
        <is>
          <t>VD 2.7 %</t>
        </is>
      </c>
      <c r="AA5094" s="12">
        <f>N5094*O5094</f>
        <v/>
      </c>
    </row>
    <row r="5095">
      <c r="A5095" s="12" t="inlineStr">
        <is>
          <t>I-P-0045</t>
        </is>
      </c>
      <c r="B5095" s="12" t="inlineStr">
        <is>
          <t>I</t>
        </is>
      </c>
      <c r="C5095" s="12" t="inlineStr">
        <is>
          <t>Modular / portable power</t>
        </is>
      </c>
      <c r="D5095" s="12" t="inlineStr">
        <is>
          <t>Motor 5 of 5, 30 kW (VFD output)</t>
        </is>
      </c>
      <c r="E5095" s="12" t="inlineStr"/>
      <c r="F5095" s="12" t="inlineStr">
        <is>
          <t>PCM: power control module</t>
        </is>
      </c>
      <c r="G5095" s="12" t="inlineStr"/>
      <c r="H5095" s="12" t="inlineStr">
        <is>
          <t>RICE 2 radiators (5)</t>
        </is>
      </c>
      <c r="I5095" s="12" t="inlineStr">
        <is>
          <t>LV 600 V</t>
        </is>
      </c>
      <c r="J5095" s="12" t="inlineStr">
        <is>
          <t>VFD cable 600 V 3/C Cu XHHW-2, 3 symmetrical grounds, overall Cu tape shield, TC-ER</t>
        </is>
      </c>
      <c r="K5095" s="12" t="inlineStr">
        <is>
          <t>VFD|3/C+3G|2</t>
        </is>
      </c>
      <c r="L5095" s="12" t="inlineStr">
        <is>
          <t>3/C+3G</t>
        </is>
      </c>
      <c r="M5095" s="12" t="inlineStr">
        <is>
          <t>2</t>
        </is>
      </c>
      <c r="N5095" s="12" t="n">
        <v>1</v>
      </c>
      <c r="O5095" s="12" t="n">
        <v>1</v>
      </c>
      <c r="P5095" s="12" t="n">
        <v>480</v>
      </c>
      <c r="Q5095" s="12" t="n">
        <v>30</v>
      </c>
      <c r="R5095" s="12" t="n">
        <v>42</v>
      </c>
      <c r="S5095" s="12" t="inlineStr">
        <is>
          <t>Duct bank</t>
        </is>
      </c>
      <c r="T5095" s="16" t="n">
        <v>630</v>
      </c>
      <c r="U5095" s="16" t="n">
        <v>192</v>
      </c>
      <c r="V5095" s="16">
        <f>ROUNDUP((T5095+U5095+2*'Read Me'!$B$13)*(1+'Read Me'!$B$12),-1)</f>
        <v/>
      </c>
      <c r="W5095" s="16">
        <f>V5095*N5095*O5095</f>
        <v/>
      </c>
      <c r="X5095" s="12">
        <f>IF(LEFT(I5095,2)="MV",2*N5095*IF(L5095="1/C",O5095,1),0)</f>
        <v/>
      </c>
      <c r="Y5095" s="12">
        <f>IF(OR(LEFT(K5095,4)="LVAX",LEFT(K5095,6)="MV15AX",LEFT(K5095,4)="CTAX",LEFT(K5095,2)="W|"),2*N5095*O5095,0)</f>
        <v/>
      </c>
      <c r="Z5095" s="12" t="inlineStr">
        <is>
          <t>VD 2.7 %</t>
        </is>
      </c>
      <c r="AA5095" s="12">
        <f>N5095*O5095</f>
        <v/>
      </c>
    </row>
    <row r="5096">
      <c r="A5096" s="12" t="inlineStr">
        <is>
          <t>I-P-0046</t>
        </is>
      </c>
      <c r="B5096" s="12" t="inlineStr">
        <is>
          <t>I</t>
        </is>
      </c>
      <c r="C5096" s="12" t="inlineStr">
        <is>
          <t>Modular / portable power</t>
        </is>
      </c>
      <c r="D5096" s="12" t="inlineStr">
        <is>
          <t>Motor 1 of 1, 15 kW</t>
        </is>
      </c>
      <c r="E5096" s="12" t="inlineStr"/>
      <c r="F5096" s="12" t="inlineStr">
        <is>
          <t>PCM: power control module</t>
        </is>
      </c>
      <c r="G5096" s="12" t="inlineStr"/>
      <c r="H5096" s="12" t="inlineStr">
        <is>
          <t>RICE 3 SCR + oxidation catalyst and stack</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15</v>
      </c>
      <c r="R5096" s="12" t="n">
        <v>21.2</v>
      </c>
      <c r="S5096" s="12" t="inlineStr">
        <is>
          <t>Duct bank</t>
        </is>
      </c>
      <c r="T5096" s="16" t="n">
        <v>470</v>
      </c>
      <c r="U5096" s="16" t="n">
        <v>104</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I-P-0047</t>
        </is>
      </c>
      <c r="B5097" s="12" t="inlineStr">
        <is>
          <t>I</t>
        </is>
      </c>
      <c r="C5097" s="12" t="inlineStr">
        <is>
          <t>Modular / portable power</t>
        </is>
      </c>
      <c r="D5097" s="12" t="inlineStr">
        <is>
          <t>Area / platform lighting circuit 1 (6 fixtures)</t>
        </is>
      </c>
      <c r="E5097" s="12" t="inlineStr"/>
      <c r="F5097" s="12" t="inlineStr">
        <is>
          <t>PCM: power control module</t>
        </is>
      </c>
      <c r="G5097" s="12" t="inlineStr"/>
      <c r="H5097" s="12" t="inlineStr">
        <is>
          <t>RICE 3 SCR + oxidation catalyst and stack</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3</v>
      </c>
      <c r="R5097" s="12" t="n">
        <v>5</v>
      </c>
      <c r="S5097" s="12" t="inlineStr">
        <is>
          <t>Duct bank</t>
        </is>
      </c>
      <c r="T5097" s="16" t="n">
        <v>770</v>
      </c>
      <c r="U5097" s="16" t="n">
        <v>104</v>
      </c>
      <c r="V5097" s="16">
        <f>ROUNDUP((T5097+U5097+2*'Read Me'!$B$13)*(1+'Read Me'!$B$12),-1)</f>
        <v/>
      </c>
      <c r="W5097" s="16">
        <f>V5097*N5097*O5097</f>
        <v/>
      </c>
      <c r="X5097" s="12">
        <f>IF(LEFT(I5097,2)="MV",2*N5097*IF(L5097="1/C",O5097,1),0)</f>
        <v/>
      </c>
      <c r="Y5097" s="12">
        <f>IF(OR(LEFT(K5097,4)="LVAX",LEFT(K5097,6)="MV15AX",LEFT(K5097,4)="CTAX",LEFT(K5097,2)="W|"),2*N5097*O5097,0)</f>
        <v/>
      </c>
      <c r="Z5097" s="12" t="inlineStr">
        <is>
          <t>fixture-to-fixture run included</t>
        </is>
      </c>
      <c r="AA5097" s="12">
        <f>N5097*O5097</f>
        <v/>
      </c>
    </row>
    <row r="5098">
      <c r="A5098" s="12" t="inlineStr">
        <is>
          <t>I-P-0048</t>
        </is>
      </c>
      <c r="B5098" s="12" t="inlineStr">
        <is>
          <t>I</t>
        </is>
      </c>
      <c r="C5098" s="12" t="inlineStr">
        <is>
          <t>Modular / portable power</t>
        </is>
      </c>
      <c r="D5098" s="12" t="inlineStr">
        <is>
          <t>Motor 1 of 5, 30 kW (VFD output)</t>
        </is>
      </c>
      <c r="E5098" s="12" t="inlineStr"/>
      <c r="F5098" s="12" t="inlineStr">
        <is>
          <t>PCM: power control module</t>
        </is>
      </c>
      <c r="G5098" s="12" t="inlineStr"/>
      <c r="H5098" s="12" t="inlineStr">
        <is>
          <t>RICE 3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120</v>
      </c>
      <c r="U5098" s="16" t="n">
        <v>240</v>
      </c>
      <c r="V5098" s="16">
        <f>ROUNDUP((T5098+U5098+2*'Read Me'!$B$13)*(1+'Read Me'!$B$12),-1)</f>
        <v/>
      </c>
      <c r="W5098" s="16">
        <f>V5098*N5098*O5098</f>
        <v/>
      </c>
      <c r="X5098" s="12">
        <f>IF(LEFT(I5098,2)="MV",2*N5098*IF(L5098="1/C",O5098,1),0)</f>
        <v/>
      </c>
      <c r="Y5098" s="12">
        <f>IF(OR(LEFT(K5098,4)="LVAX",LEFT(K5098,6)="MV15AX",LEFT(K5098,4)="CTAX",LEFT(K5098,2)="W|"),2*N5098*O5098,0)</f>
        <v/>
      </c>
      <c r="Z5098" s="12" t="inlineStr">
        <is>
          <t>VD 3.0 %</t>
        </is>
      </c>
      <c r="AA5098" s="12">
        <f>N5098*O5098</f>
        <v/>
      </c>
    </row>
    <row r="5099">
      <c r="A5099" s="12" t="inlineStr">
        <is>
          <t>I-P-0049</t>
        </is>
      </c>
      <c r="B5099" s="12" t="inlineStr">
        <is>
          <t>I</t>
        </is>
      </c>
      <c r="C5099" s="12" t="inlineStr">
        <is>
          <t>Modular / portable power</t>
        </is>
      </c>
      <c r="D5099" s="12" t="inlineStr">
        <is>
          <t>Motor 2 of 5, 30 kW (VFD output)</t>
        </is>
      </c>
      <c r="E5099" s="12" t="inlineStr"/>
      <c r="F5099" s="12" t="inlineStr">
        <is>
          <t>PCM: power control module</t>
        </is>
      </c>
      <c r="G5099" s="12" t="inlineStr"/>
      <c r="H5099" s="12" t="inlineStr">
        <is>
          <t>RICE 3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120</v>
      </c>
      <c r="U5099" s="16" t="n">
        <v>240</v>
      </c>
      <c r="V5099" s="16">
        <f>ROUNDUP((T5099+U5099+2*'Read Me'!$B$13)*(1+'Read Me'!$B$12),-1)</f>
        <v/>
      </c>
      <c r="W5099" s="16">
        <f>V5099*N5099*O5099</f>
        <v/>
      </c>
      <c r="X5099" s="12">
        <f>IF(LEFT(I5099,2)="MV",2*N5099*IF(L5099="1/C",O5099,1),0)</f>
        <v/>
      </c>
      <c r="Y5099" s="12">
        <f>IF(OR(LEFT(K5099,4)="LVAX",LEFT(K5099,6)="MV15AX",LEFT(K5099,4)="CTAX",LEFT(K5099,2)="W|"),2*N5099*O5099,0)</f>
        <v/>
      </c>
      <c r="Z5099" s="12" t="inlineStr">
        <is>
          <t>VD 3.0 %</t>
        </is>
      </c>
      <c r="AA5099" s="12">
        <f>N5099*O5099</f>
        <v/>
      </c>
    </row>
    <row r="5100">
      <c r="A5100" s="12" t="inlineStr">
        <is>
          <t>I-P-0050</t>
        </is>
      </c>
      <c r="B5100" s="12" t="inlineStr">
        <is>
          <t>I</t>
        </is>
      </c>
      <c r="C5100" s="12" t="inlineStr">
        <is>
          <t>Modular / portable power</t>
        </is>
      </c>
      <c r="D5100" s="12" t="inlineStr">
        <is>
          <t>Motor 3 of 5, 30 kW (VFD output)</t>
        </is>
      </c>
      <c r="E5100" s="12" t="inlineStr"/>
      <c r="F5100" s="12" t="inlineStr">
        <is>
          <t>PCM: power control module</t>
        </is>
      </c>
      <c r="G5100" s="12" t="inlineStr"/>
      <c r="H5100" s="12" t="inlineStr">
        <is>
          <t>RICE 3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120</v>
      </c>
      <c r="U5100" s="16" t="n">
        <v>240</v>
      </c>
      <c r="V5100" s="16">
        <f>ROUNDUP((T5100+U5100+2*'Read Me'!$B$13)*(1+'Read Me'!$B$12),-1)</f>
        <v/>
      </c>
      <c r="W5100" s="16">
        <f>V5100*N5100*O5100</f>
        <v/>
      </c>
      <c r="X5100" s="12">
        <f>IF(LEFT(I5100,2)="MV",2*N5100*IF(L5100="1/C",O5100,1),0)</f>
        <v/>
      </c>
      <c r="Y5100" s="12">
        <f>IF(OR(LEFT(K5100,4)="LVAX",LEFT(K5100,6)="MV15AX",LEFT(K5100,4)="CTAX",LEFT(K5100,2)="W|"),2*N5100*O5100,0)</f>
        <v/>
      </c>
      <c r="Z5100" s="12" t="inlineStr">
        <is>
          <t>VD 3.0 %</t>
        </is>
      </c>
      <c r="AA5100" s="12">
        <f>N5100*O5100</f>
        <v/>
      </c>
    </row>
    <row r="5101">
      <c r="A5101" s="12" t="inlineStr">
        <is>
          <t>I-P-0051</t>
        </is>
      </c>
      <c r="B5101" s="12" t="inlineStr">
        <is>
          <t>I</t>
        </is>
      </c>
      <c r="C5101" s="12" t="inlineStr">
        <is>
          <t>Modular / portable power</t>
        </is>
      </c>
      <c r="D5101" s="12" t="inlineStr">
        <is>
          <t>Motor 4 of 5, 30 kW (VFD output)</t>
        </is>
      </c>
      <c r="E5101" s="12" t="inlineStr"/>
      <c r="F5101" s="12" t="inlineStr">
        <is>
          <t>PCM: power control module</t>
        </is>
      </c>
      <c r="G5101" s="12" t="inlineStr"/>
      <c r="H5101" s="12" t="inlineStr">
        <is>
          <t>RICE 3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120</v>
      </c>
      <c r="U5101" s="16" t="n">
        <v>240</v>
      </c>
      <c r="V5101" s="16">
        <f>ROUNDUP((T5101+U5101+2*'Read Me'!$B$13)*(1+'Read Me'!$B$12),-1)</f>
        <v/>
      </c>
      <c r="W5101" s="16">
        <f>V5101*N5101*O5101</f>
        <v/>
      </c>
      <c r="X5101" s="12">
        <f>IF(LEFT(I5101,2)="MV",2*N5101*IF(L5101="1/C",O5101,1),0)</f>
        <v/>
      </c>
      <c r="Y5101" s="12">
        <f>IF(OR(LEFT(K5101,4)="LVAX",LEFT(K5101,6)="MV15AX",LEFT(K5101,4)="CTAX",LEFT(K5101,2)="W|"),2*N5101*O5101,0)</f>
        <v/>
      </c>
      <c r="Z5101" s="12" t="inlineStr">
        <is>
          <t>VD 3.0 %</t>
        </is>
      </c>
      <c r="AA5101" s="12">
        <f>N5101*O5101</f>
        <v/>
      </c>
    </row>
    <row r="5102">
      <c r="A5102" s="12" t="inlineStr">
        <is>
          <t>I-P-0052</t>
        </is>
      </c>
      <c r="B5102" s="12" t="inlineStr">
        <is>
          <t>I</t>
        </is>
      </c>
      <c r="C5102" s="12" t="inlineStr">
        <is>
          <t>Modular / portable power</t>
        </is>
      </c>
      <c r="D5102" s="12" t="inlineStr">
        <is>
          <t>Motor 5 of 5, 30 kW (VFD output)</t>
        </is>
      </c>
      <c r="E5102" s="12" t="inlineStr"/>
      <c r="F5102" s="12" t="inlineStr">
        <is>
          <t>PCM: power control module</t>
        </is>
      </c>
      <c r="G5102" s="12" t="inlineStr"/>
      <c r="H5102" s="12" t="inlineStr">
        <is>
          <t>RICE 3 radiators (5)</t>
        </is>
      </c>
      <c r="I5102" s="12" t="inlineStr">
        <is>
          <t>LV 600 V</t>
        </is>
      </c>
      <c r="J5102" s="12" t="inlineStr">
        <is>
          <t>VFD cable 600 V 3/C Cu XHHW-2, 3 symmetrical grounds, overall Cu tape shield, TC-ER</t>
        </is>
      </c>
      <c r="K5102" s="12" t="inlineStr">
        <is>
          <t>VFD|3/C+3G|6</t>
        </is>
      </c>
      <c r="L5102" s="12" t="inlineStr">
        <is>
          <t>3/C+3G</t>
        </is>
      </c>
      <c r="M5102" s="12" t="inlineStr">
        <is>
          <t>6</t>
        </is>
      </c>
      <c r="N5102" s="12" t="n">
        <v>1</v>
      </c>
      <c r="O5102" s="12" t="n">
        <v>1</v>
      </c>
      <c r="P5102" s="12" t="n">
        <v>480</v>
      </c>
      <c r="Q5102" s="12" t="n">
        <v>30</v>
      </c>
      <c r="R5102" s="12" t="n">
        <v>42</v>
      </c>
      <c r="S5102" s="12" t="inlineStr">
        <is>
          <t>Tray</t>
        </is>
      </c>
      <c r="T5102" s="16" t="n">
        <v>120</v>
      </c>
      <c r="U5102" s="16" t="n">
        <v>240</v>
      </c>
      <c r="V5102" s="16">
        <f>ROUNDUP((T5102+U5102+2*'Read Me'!$B$13)*(1+'Read Me'!$B$12),-1)</f>
        <v/>
      </c>
      <c r="W5102" s="16">
        <f>V5102*N5102*O5102</f>
        <v/>
      </c>
      <c r="X5102" s="12">
        <f>IF(LEFT(I5102,2)="MV",2*N5102*IF(L5102="1/C",O5102,1),0)</f>
        <v/>
      </c>
      <c r="Y5102" s="12">
        <f>IF(OR(LEFT(K5102,4)="LVAX",LEFT(K5102,6)="MV15AX",LEFT(K5102,4)="CTAX",LEFT(K5102,2)="W|"),2*N5102*O5102,0)</f>
        <v/>
      </c>
      <c r="Z5102" s="12" t="inlineStr">
        <is>
          <t>VD 3.0 %</t>
        </is>
      </c>
      <c r="AA5102" s="12">
        <f>N5102*O5102</f>
        <v/>
      </c>
    </row>
    <row r="5103">
      <c r="A5103" s="12" t="inlineStr">
        <is>
          <t>I-P-0053</t>
        </is>
      </c>
      <c r="B5103" s="12" t="inlineStr">
        <is>
          <t>I</t>
        </is>
      </c>
      <c r="C5103" s="12" t="inlineStr">
        <is>
          <t>Modular / portable power</t>
        </is>
      </c>
      <c r="D5103" s="12" t="inlineStr">
        <is>
          <t>Motor 1 of 1, 15 kW</t>
        </is>
      </c>
      <c r="E5103" s="12" t="inlineStr"/>
      <c r="F5103" s="12" t="inlineStr">
        <is>
          <t>PCM: power control module</t>
        </is>
      </c>
      <c r="G5103" s="12" t="inlineStr"/>
      <c r="H5103" s="12" t="inlineStr">
        <is>
          <t>RICE 4 SCR + oxidation catalyst and stack</t>
        </is>
      </c>
      <c r="I5103" s="12" t="inlineStr">
        <is>
          <t>LV 600 V</t>
        </is>
      </c>
      <c r="J5103" s="12" t="inlineStr">
        <is>
          <t>Type TC-ER 600 V 3/C Cu XHHW-2 + ground, PVC jacket</t>
        </is>
      </c>
      <c r="K5103" s="12" t="inlineStr">
        <is>
          <t>LV|3/C+G|6</t>
        </is>
      </c>
      <c r="L5103" s="12" t="inlineStr">
        <is>
          <t>3/C+G</t>
        </is>
      </c>
      <c r="M5103" s="12" t="inlineStr">
        <is>
          <t>6</t>
        </is>
      </c>
      <c r="N5103" s="12" t="n">
        <v>1</v>
      </c>
      <c r="O5103" s="12" t="n">
        <v>1</v>
      </c>
      <c r="P5103" s="12" t="n">
        <v>480</v>
      </c>
      <c r="Q5103" s="12" t="n">
        <v>15</v>
      </c>
      <c r="R5103" s="12" t="n">
        <v>21.2</v>
      </c>
      <c r="S5103" s="12" t="inlineStr">
        <is>
          <t>Duct bank</t>
        </is>
      </c>
      <c r="T5103" s="16" t="n">
        <v>470</v>
      </c>
      <c r="U5103" s="16" t="n">
        <v>76</v>
      </c>
      <c r="V5103" s="16">
        <f>ROUNDUP((T5103+U5103+2*'Read Me'!$B$13)*(1+'Read Me'!$B$12),-1)</f>
        <v/>
      </c>
      <c r="W5103" s="16">
        <f>V5103*N5103*O5103</f>
        <v/>
      </c>
      <c r="X5103" s="12">
        <f>IF(LEFT(I5103,2)="MV",2*N5103*IF(L5103="1/C",O5103,1),0)</f>
        <v/>
      </c>
      <c r="Y5103" s="12">
        <f>IF(OR(LEFT(K5103,4)="LVAX",LEFT(K5103,6)="MV15AX",LEFT(K5103,4)="CTAX",LEFT(K5103,2)="W|"),2*N5103*O5103,0)</f>
        <v/>
      </c>
      <c r="Z5103" s="12" t="inlineStr">
        <is>
          <t>VD 2.3 %</t>
        </is>
      </c>
      <c r="AA5103" s="12">
        <f>N5103*O5103</f>
        <v/>
      </c>
    </row>
    <row r="5104">
      <c r="A5104" s="12" t="inlineStr">
        <is>
          <t>I-P-0054</t>
        </is>
      </c>
      <c r="B5104" s="12" t="inlineStr">
        <is>
          <t>I</t>
        </is>
      </c>
      <c r="C5104" s="12" t="inlineStr">
        <is>
          <t>Modular / portable power</t>
        </is>
      </c>
      <c r="D5104" s="12" t="inlineStr">
        <is>
          <t>Area / platform lighting circuit 1 (6 fixtures)</t>
        </is>
      </c>
      <c r="E5104" s="12" t="inlineStr"/>
      <c r="F5104" s="12" t="inlineStr">
        <is>
          <t>PCM: power control module</t>
        </is>
      </c>
      <c r="G5104" s="12" t="inlineStr"/>
      <c r="H5104" s="12" t="inlineStr">
        <is>
          <t>RICE 4 SCR + oxidation catalyst and stack</t>
        </is>
      </c>
      <c r="I5104" s="12" t="inlineStr">
        <is>
          <t>LV 600 V</t>
        </is>
      </c>
      <c r="J5104" s="12" t="inlineStr">
        <is>
          <t>Type TC-ER 600 V 3/C Cu XHHW-2 + ground, PVC jacket</t>
        </is>
      </c>
      <c r="K5104" s="12" t="inlineStr">
        <is>
          <t>LV|3/C+G|10</t>
        </is>
      </c>
      <c r="L5104" s="12" t="inlineStr">
        <is>
          <t>3/C+G</t>
        </is>
      </c>
      <c r="M5104" s="12" t="inlineStr">
        <is>
          <t>10</t>
        </is>
      </c>
      <c r="N5104" s="12" t="n">
        <v>1</v>
      </c>
      <c r="O5104" s="12" t="n">
        <v>1</v>
      </c>
      <c r="P5104" s="12" t="n">
        <v>480</v>
      </c>
      <c r="Q5104" s="12" t="n">
        <v>3</v>
      </c>
      <c r="R5104" s="12" t="n">
        <v>5</v>
      </c>
      <c r="S5104" s="12" t="inlineStr">
        <is>
          <t>Duct bank</t>
        </is>
      </c>
      <c r="T5104" s="16" t="n">
        <v>770</v>
      </c>
      <c r="U5104" s="16" t="n">
        <v>76</v>
      </c>
      <c r="V5104" s="16">
        <f>ROUNDUP((T5104+U5104+2*'Read Me'!$B$13)*(1+'Read Me'!$B$12),-1)</f>
        <v/>
      </c>
      <c r="W5104" s="16">
        <f>V5104*N5104*O5104</f>
        <v/>
      </c>
      <c r="X5104" s="12">
        <f>IF(LEFT(I5104,2)="MV",2*N5104*IF(L5104="1/C",O5104,1),0)</f>
        <v/>
      </c>
      <c r="Y5104" s="12">
        <f>IF(OR(LEFT(K5104,4)="LVAX",LEFT(K5104,6)="MV15AX",LEFT(K5104,4)="CTAX",LEFT(K5104,2)="W|"),2*N5104*O5104,0)</f>
        <v/>
      </c>
      <c r="Z5104" s="12" t="inlineStr">
        <is>
          <t>fixture-to-fixture run included</t>
        </is>
      </c>
      <c r="AA5104" s="12">
        <f>N5104*O5104</f>
        <v/>
      </c>
    </row>
    <row r="5105">
      <c r="A5105" s="12" t="inlineStr">
        <is>
          <t>I-P-0055</t>
        </is>
      </c>
      <c r="B5105" s="12" t="inlineStr">
        <is>
          <t>I</t>
        </is>
      </c>
      <c r="C5105" s="12" t="inlineStr">
        <is>
          <t>Modular / portable power</t>
        </is>
      </c>
      <c r="D5105" s="12" t="inlineStr">
        <is>
          <t>Motor 1 of 5, 30 kW (VFD output)</t>
        </is>
      </c>
      <c r="E5105" s="12" t="inlineStr"/>
      <c r="F5105" s="12" t="inlineStr">
        <is>
          <t>PCM: power control module</t>
        </is>
      </c>
      <c r="G5105" s="12" t="inlineStr"/>
      <c r="H5105" s="12" t="inlineStr">
        <is>
          <t>RICE 4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206</v>
      </c>
      <c r="V5105" s="16">
        <f>ROUNDUP((T5105+U5105+2*'Read Me'!$B$13)*(1+'Read Me'!$B$12),-1)</f>
        <v/>
      </c>
      <c r="W5105" s="16">
        <f>V5105*N5105*O5105</f>
        <v/>
      </c>
      <c r="X5105" s="12">
        <f>IF(LEFT(I5105,2)="MV",2*N5105*IF(L5105="1/C",O5105,1),0)</f>
        <v/>
      </c>
      <c r="Y5105" s="12">
        <f>IF(OR(LEFT(K5105,4)="LVAX",LEFT(K5105,6)="MV15AX",LEFT(K5105,4)="CTAX",LEFT(K5105,2)="W|"),2*N5105*O5105,0)</f>
        <v/>
      </c>
      <c r="Z5105" s="12" t="inlineStr">
        <is>
          <t>VD 2.4 %</t>
        </is>
      </c>
      <c r="AA5105" s="12">
        <f>N5105*O5105</f>
        <v/>
      </c>
    </row>
    <row r="5106">
      <c r="A5106" s="12" t="inlineStr">
        <is>
          <t>I-P-0056</t>
        </is>
      </c>
      <c r="B5106" s="12" t="inlineStr">
        <is>
          <t>I</t>
        </is>
      </c>
      <c r="C5106" s="12" t="inlineStr">
        <is>
          <t>Modular / portable power</t>
        </is>
      </c>
      <c r="D5106" s="12" t="inlineStr">
        <is>
          <t>Motor 2 of 5, 30 kW (VFD output)</t>
        </is>
      </c>
      <c r="E5106" s="12" t="inlineStr"/>
      <c r="F5106" s="12" t="inlineStr">
        <is>
          <t>PCM: power control module</t>
        </is>
      </c>
      <c r="G5106" s="12" t="inlineStr"/>
      <c r="H5106" s="12" t="inlineStr">
        <is>
          <t>RICE 4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206</v>
      </c>
      <c r="V5106" s="16">
        <f>ROUNDUP((T5106+U5106+2*'Read Me'!$B$13)*(1+'Read Me'!$B$12),-1)</f>
        <v/>
      </c>
      <c r="W5106" s="16">
        <f>V5106*N5106*O5106</f>
        <v/>
      </c>
      <c r="X5106" s="12">
        <f>IF(LEFT(I5106,2)="MV",2*N5106*IF(L5106="1/C",O5106,1),0)</f>
        <v/>
      </c>
      <c r="Y5106" s="12">
        <f>IF(OR(LEFT(K5106,4)="LVAX",LEFT(K5106,6)="MV15AX",LEFT(K5106,4)="CTAX",LEFT(K5106,2)="W|"),2*N5106*O5106,0)</f>
        <v/>
      </c>
      <c r="Z5106" s="12" t="inlineStr">
        <is>
          <t>VD 2.4 %</t>
        </is>
      </c>
      <c r="AA5106" s="12">
        <f>N5106*O5106</f>
        <v/>
      </c>
    </row>
    <row r="5107">
      <c r="A5107" s="12" t="inlineStr">
        <is>
          <t>I-P-0057</t>
        </is>
      </c>
      <c r="B5107" s="12" t="inlineStr">
        <is>
          <t>I</t>
        </is>
      </c>
      <c r="C5107" s="12" t="inlineStr">
        <is>
          <t>Modular / portable power</t>
        </is>
      </c>
      <c r="D5107" s="12" t="inlineStr">
        <is>
          <t>Motor 3 of 5, 30 kW (VFD output)</t>
        </is>
      </c>
      <c r="E5107" s="12" t="inlineStr"/>
      <c r="F5107" s="12" t="inlineStr">
        <is>
          <t>PCM: power control module</t>
        </is>
      </c>
      <c r="G5107" s="12" t="inlineStr"/>
      <c r="H5107" s="12" t="inlineStr">
        <is>
          <t>RICE 4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206</v>
      </c>
      <c r="V5107" s="16">
        <f>ROUNDUP((T5107+U5107+2*'Read Me'!$B$13)*(1+'Read Me'!$B$12),-1)</f>
        <v/>
      </c>
      <c r="W5107" s="16">
        <f>V5107*N5107*O5107</f>
        <v/>
      </c>
      <c r="X5107" s="12">
        <f>IF(LEFT(I5107,2)="MV",2*N5107*IF(L5107="1/C",O5107,1),0)</f>
        <v/>
      </c>
      <c r="Y5107" s="12">
        <f>IF(OR(LEFT(K5107,4)="LVAX",LEFT(K5107,6)="MV15AX",LEFT(K5107,4)="CTAX",LEFT(K5107,2)="W|"),2*N5107*O5107,0)</f>
        <v/>
      </c>
      <c r="Z5107" s="12" t="inlineStr">
        <is>
          <t>VD 2.4 %</t>
        </is>
      </c>
      <c r="AA5107" s="12">
        <f>N5107*O5107</f>
        <v/>
      </c>
    </row>
    <row r="5108">
      <c r="A5108" s="12" t="inlineStr">
        <is>
          <t>I-P-0058</t>
        </is>
      </c>
      <c r="B5108" s="12" t="inlineStr">
        <is>
          <t>I</t>
        </is>
      </c>
      <c r="C5108" s="12" t="inlineStr">
        <is>
          <t>Modular / portable power</t>
        </is>
      </c>
      <c r="D5108" s="12" t="inlineStr">
        <is>
          <t>Motor 4 of 5, 30 kW (VFD output)</t>
        </is>
      </c>
      <c r="E5108" s="12" t="inlineStr"/>
      <c r="F5108" s="12" t="inlineStr">
        <is>
          <t>PCM: power control module</t>
        </is>
      </c>
      <c r="G5108" s="12" t="inlineStr"/>
      <c r="H5108" s="12" t="inlineStr">
        <is>
          <t>RICE 4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206</v>
      </c>
      <c r="V5108" s="16">
        <f>ROUNDUP((T5108+U5108+2*'Read Me'!$B$13)*(1+'Read Me'!$B$12),-1)</f>
        <v/>
      </c>
      <c r="W5108" s="16">
        <f>V5108*N5108*O5108</f>
        <v/>
      </c>
      <c r="X5108" s="12">
        <f>IF(LEFT(I5108,2)="MV",2*N5108*IF(L5108="1/C",O5108,1),0)</f>
        <v/>
      </c>
      <c r="Y5108" s="12">
        <f>IF(OR(LEFT(K5108,4)="LVAX",LEFT(K5108,6)="MV15AX",LEFT(K5108,4)="CTAX",LEFT(K5108,2)="W|"),2*N5108*O5108,0)</f>
        <v/>
      </c>
      <c r="Z5108" s="12" t="inlineStr">
        <is>
          <t>VD 2.4 %</t>
        </is>
      </c>
      <c r="AA5108" s="12">
        <f>N5108*O5108</f>
        <v/>
      </c>
    </row>
    <row r="5109">
      <c r="A5109" s="12" t="inlineStr">
        <is>
          <t>I-P-0059</t>
        </is>
      </c>
      <c r="B5109" s="12" t="inlineStr">
        <is>
          <t>I</t>
        </is>
      </c>
      <c r="C5109" s="12" t="inlineStr">
        <is>
          <t>Modular / portable power</t>
        </is>
      </c>
      <c r="D5109" s="12" t="inlineStr">
        <is>
          <t>Motor 5 of 5, 30 kW (VFD output)</t>
        </is>
      </c>
      <c r="E5109" s="12" t="inlineStr"/>
      <c r="F5109" s="12" t="inlineStr">
        <is>
          <t>PCM: power control module</t>
        </is>
      </c>
      <c r="G5109" s="12" t="inlineStr"/>
      <c r="H5109" s="12" t="inlineStr">
        <is>
          <t>RICE 4 radiators (5)</t>
        </is>
      </c>
      <c r="I5109" s="12" t="inlineStr">
        <is>
          <t>LV 600 V</t>
        </is>
      </c>
      <c r="J5109" s="12" t="inlineStr">
        <is>
          <t>VFD cable 600 V 3/C Cu XHHW-2, 3 symmetrical grounds, overall Cu tape shield, TC-ER</t>
        </is>
      </c>
      <c r="K5109" s="12" t="inlineStr">
        <is>
          <t>VFD|3/C+3G|6</t>
        </is>
      </c>
      <c r="L5109" s="12" t="inlineStr">
        <is>
          <t>3/C+3G</t>
        </is>
      </c>
      <c r="M5109" s="12" t="inlineStr">
        <is>
          <t>6</t>
        </is>
      </c>
      <c r="N5109" s="12" t="n">
        <v>1</v>
      </c>
      <c r="O5109" s="12" t="n">
        <v>1</v>
      </c>
      <c r="P5109" s="12" t="n">
        <v>480</v>
      </c>
      <c r="Q5109" s="12" t="n">
        <v>30</v>
      </c>
      <c r="R5109" s="12" t="n">
        <v>42</v>
      </c>
      <c r="S5109" s="12" t="inlineStr">
        <is>
          <t>Tray</t>
        </is>
      </c>
      <c r="T5109" s="16" t="n">
        <v>80</v>
      </c>
      <c r="U5109" s="16" t="n">
        <v>206</v>
      </c>
      <c r="V5109" s="16">
        <f>ROUNDUP((T5109+U5109+2*'Read Me'!$B$13)*(1+'Read Me'!$B$12),-1)</f>
        <v/>
      </c>
      <c r="W5109" s="16">
        <f>V5109*N5109*O5109</f>
        <v/>
      </c>
      <c r="X5109" s="12">
        <f>IF(LEFT(I5109,2)="MV",2*N5109*IF(L5109="1/C",O5109,1),0)</f>
        <v/>
      </c>
      <c r="Y5109" s="12">
        <f>IF(OR(LEFT(K5109,4)="LVAX",LEFT(K5109,6)="MV15AX",LEFT(K5109,4)="CTAX",LEFT(K5109,2)="W|"),2*N5109*O5109,0)</f>
        <v/>
      </c>
      <c r="Z5109" s="12" t="inlineStr">
        <is>
          <t>VD 2.4 %</t>
        </is>
      </c>
      <c r="AA5109" s="12">
        <f>N5109*O5109</f>
        <v/>
      </c>
    </row>
    <row r="5110">
      <c r="A5110" s="12" t="inlineStr">
        <is>
          <t>I-P-0060</t>
        </is>
      </c>
      <c r="B5110" s="12" t="inlineStr">
        <is>
          <t>I</t>
        </is>
      </c>
      <c r="C5110" s="12" t="inlineStr">
        <is>
          <t>Modular / portable power</t>
        </is>
      </c>
      <c r="D5110" s="12" t="inlineStr">
        <is>
          <t>Motor 1 of 1, 15 kW</t>
        </is>
      </c>
      <c r="E5110" s="12" t="inlineStr"/>
      <c r="F5110" s="12" t="inlineStr">
        <is>
          <t>PCM: power control module</t>
        </is>
      </c>
      <c r="G5110" s="12" t="inlineStr"/>
      <c r="H5110" s="12" t="inlineStr">
        <is>
          <t>RICE 5 SCR + oxidation catalyst and stack</t>
        </is>
      </c>
      <c r="I5110" s="12" t="inlineStr">
        <is>
          <t>LV 600 V</t>
        </is>
      </c>
      <c r="J5110" s="12" t="inlineStr">
        <is>
          <t>Type TC-ER 600 V 3/C Cu XHHW-2 + ground, PVC jacket</t>
        </is>
      </c>
      <c r="K5110" s="12" t="inlineStr">
        <is>
          <t>LV|3/C+G|6</t>
        </is>
      </c>
      <c r="L5110" s="12" t="inlineStr">
        <is>
          <t>3/C+G</t>
        </is>
      </c>
      <c r="M5110" s="12" t="inlineStr">
        <is>
          <t>6</t>
        </is>
      </c>
      <c r="N5110" s="12" t="n">
        <v>1</v>
      </c>
      <c r="O5110" s="12" t="n">
        <v>1</v>
      </c>
      <c r="P5110" s="12" t="n">
        <v>480</v>
      </c>
      <c r="Q5110" s="12" t="n">
        <v>15</v>
      </c>
      <c r="R5110" s="12" t="n">
        <v>21.2</v>
      </c>
      <c r="S5110" s="12" t="inlineStr">
        <is>
          <t>Duct bank</t>
        </is>
      </c>
      <c r="T5110" s="16" t="n">
        <v>322</v>
      </c>
      <c r="U5110" s="16" t="n">
        <v>196</v>
      </c>
      <c r="V5110" s="16">
        <f>ROUNDUP((T5110+U5110+2*'Read Me'!$B$13)*(1+'Read Me'!$B$12),-1)</f>
        <v/>
      </c>
      <c r="W5110" s="16">
        <f>V5110*N5110*O5110</f>
        <v/>
      </c>
      <c r="X5110" s="12">
        <f>IF(LEFT(I5110,2)="MV",2*N5110*IF(L5110="1/C",O5110,1),0)</f>
        <v/>
      </c>
      <c r="Y5110" s="12">
        <f>IF(OR(LEFT(K5110,4)="LVAX",LEFT(K5110,6)="MV15AX",LEFT(K5110,4)="CTAX",LEFT(K5110,2)="W|"),2*N5110*O5110,0)</f>
        <v/>
      </c>
      <c r="Z5110" s="12" t="inlineStr">
        <is>
          <t>VD 2.1 %</t>
        </is>
      </c>
      <c r="AA5110" s="12">
        <f>N5110*O5110</f>
        <v/>
      </c>
    </row>
    <row r="5111">
      <c r="A5111" s="12" t="inlineStr">
        <is>
          <t>I-P-0061</t>
        </is>
      </c>
      <c r="B5111" s="12" t="inlineStr">
        <is>
          <t>I</t>
        </is>
      </c>
      <c r="C5111" s="12" t="inlineStr">
        <is>
          <t>Modular / portable power</t>
        </is>
      </c>
      <c r="D5111" s="12" t="inlineStr">
        <is>
          <t>Area / platform lighting circuit 1 (6 fixtures)</t>
        </is>
      </c>
      <c r="E5111" s="12" t="inlineStr"/>
      <c r="F5111" s="12" t="inlineStr">
        <is>
          <t>PCM: power control module</t>
        </is>
      </c>
      <c r="G5111" s="12" t="inlineStr"/>
      <c r="H5111" s="12" t="inlineStr">
        <is>
          <t>RICE 5 SCR + oxidation catalyst and stack</t>
        </is>
      </c>
      <c r="I5111" s="12" t="inlineStr">
        <is>
          <t>LV 600 V</t>
        </is>
      </c>
      <c r="J5111" s="12" t="inlineStr">
        <is>
          <t>Type TC-ER 600 V 3/C Cu XHHW-2 + ground, PVC jacket</t>
        </is>
      </c>
      <c r="K5111" s="12" t="inlineStr">
        <is>
          <t>LV|3/C+G|10</t>
        </is>
      </c>
      <c r="L5111" s="12" t="inlineStr">
        <is>
          <t>3/C+G</t>
        </is>
      </c>
      <c r="M5111" s="12" t="inlineStr">
        <is>
          <t>10</t>
        </is>
      </c>
      <c r="N5111" s="12" t="n">
        <v>1</v>
      </c>
      <c r="O5111" s="12" t="n">
        <v>1</v>
      </c>
      <c r="P5111" s="12" t="n">
        <v>480</v>
      </c>
      <c r="Q5111" s="12" t="n">
        <v>3</v>
      </c>
      <c r="R5111" s="12" t="n">
        <v>5</v>
      </c>
      <c r="S5111" s="12" t="inlineStr">
        <is>
          <t>Duct bank</t>
        </is>
      </c>
      <c r="T5111" s="16" t="n">
        <v>622</v>
      </c>
      <c r="U5111" s="16" t="n">
        <v>196</v>
      </c>
      <c r="V5111" s="16">
        <f>ROUNDUP((T5111+U5111+2*'Read Me'!$B$13)*(1+'Read Me'!$B$12),-1)</f>
        <v/>
      </c>
      <c r="W5111" s="16">
        <f>V5111*N5111*O5111</f>
        <v/>
      </c>
      <c r="X5111" s="12">
        <f>IF(LEFT(I5111,2)="MV",2*N5111*IF(L5111="1/C",O5111,1),0)</f>
        <v/>
      </c>
      <c r="Y5111" s="12">
        <f>IF(OR(LEFT(K5111,4)="LVAX",LEFT(K5111,6)="MV15AX",LEFT(K5111,4)="CTAX",LEFT(K5111,2)="W|"),2*N5111*O5111,0)</f>
        <v/>
      </c>
      <c r="Z5111" s="12" t="inlineStr">
        <is>
          <t>fixture-to-fixture run included</t>
        </is>
      </c>
      <c r="AA5111" s="12">
        <f>N5111*O5111</f>
        <v/>
      </c>
    </row>
    <row r="5112">
      <c r="A5112" s="12" t="inlineStr">
        <is>
          <t>I-P-0062</t>
        </is>
      </c>
      <c r="B5112" s="12" t="inlineStr">
        <is>
          <t>I</t>
        </is>
      </c>
      <c r="C5112" s="12" t="inlineStr">
        <is>
          <t>Modular / portable power</t>
        </is>
      </c>
      <c r="D5112" s="12" t="inlineStr">
        <is>
          <t>Motor 1 of 5, 30 kW (VFD output)</t>
        </is>
      </c>
      <c r="E5112" s="12" t="inlineStr"/>
      <c r="F5112" s="12" t="inlineStr">
        <is>
          <t>PCM: power control module</t>
        </is>
      </c>
      <c r="G5112" s="12" t="inlineStr"/>
      <c r="H5112" s="12" t="inlineStr">
        <is>
          <t>RICE 5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178</v>
      </c>
      <c r="V5112" s="16">
        <f>ROUNDUP((T5112+U5112+2*'Read Me'!$B$13)*(1+'Read Me'!$B$12),-1)</f>
        <v/>
      </c>
      <c r="W5112" s="16">
        <f>V5112*N5112*O5112</f>
        <v/>
      </c>
      <c r="X5112" s="12">
        <f>IF(LEFT(I5112,2)="MV",2*N5112*IF(L5112="1/C",O5112,1),0)</f>
        <v/>
      </c>
      <c r="Y5112" s="12">
        <f>IF(OR(LEFT(K5112,4)="LVAX",LEFT(K5112,6)="MV15AX",LEFT(K5112,4)="CTAX",LEFT(K5112,2)="W|"),2*N5112*O5112,0)</f>
        <v/>
      </c>
      <c r="Z5112" s="12" t="inlineStr">
        <is>
          <t>VD 2.1 %</t>
        </is>
      </c>
      <c r="AA5112" s="12">
        <f>N5112*O5112</f>
        <v/>
      </c>
    </row>
    <row r="5113">
      <c r="A5113" s="12" t="inlineStr">
        <is>
          <t>I-P-0063</t>
        </is>
      </c>
      <c r="B5113" s="12" t="inlineStr">
        <is>
          <t>I</t>
        </is>
      </c>
      <c r="C5113" s="12" t="inlineStr">
        <is>
          <t>Modular / portable power</t>
        </is>
      </c>
      <c r="D5113" s="12" t="inlineStr">
        <is>
          <t>Motor 2 of 5, 30 kW (VFD output)</t>
        </is>
      </c>
      <c r="E5113" s="12" t="inlineStr"/>
      <c r="F5113" s="12" t="inlineStr">
        <is>
          <t>PCM: power control module</t>
        </is>
      </c>
      <c r="G5113" s="12" t="inlineStr"/>
      <c r="H5113" s="12" t="inlineStr">
        <is>
          <t>RICE 5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178</v>
      </c>
      <c r="V5113" s="16">
        <f>ROUNDUP((T5113+U5113+2*'Read Me'!$B$13)*(1+'Read Me'!$B$12),-1)</f>
        <v/>
      </c>
      <c r="W5113" s="16">
        <f>V5113*N5113*O5113</f>
        <v/>
      </c>
      <c r="X5113" s="12">
        <f>IF(LEFT(I5113,2)="MV",2*N5113*IF(L5113="1/C",O5113,1),0)</f>
        <v/>
      </c>
      <c r="Y5113" s="12">
        <f>IF(OR(LEFT(K5113,4)="LVAX",LEFT(K5113,6)="MV15AX",LEFT(K5113,4)="CTAX",LEFT(K5113,2)="W|"),2*N5113*O5113,0)</f>
        <v/>
      </c>
      <c r="Z5113" s="12" t="inlineStr">
        <is>
          <t>VD 2.1 %</t>
        </is>
      </c>
      <c r="AA5113" s="12">
        <f>N5113*O5113</f>
        <v/>
      </c>
    </row>
    <row r="5114">
      <c r="A5114" s="12" t="inlineStr">
        <is>
          <t>I-P-0064</t>
        </is>
      </c>
      <c r="B5114" s="12" t="inlineStr">
        <is>
          <t>I</t>
        </is>
      </c>
      <c r="C5114" s="12" t="inlineStr">
        <is>
          <t>Modular / portable power</t>
        </is>
      </c>
      <c r="D5114" s="12" t="inlineStr">
        <is>
          <t>Motor 3 of 5, 30 kW (VFD output)</t>
        </is>
      </c>
      <c r="E5114" s="12" t="inlineStr"/>
      <c r="F5114" s="12" t="inlineStr">
        <is>
          <t>PCM: power control module</t>
        </is>
      </c>
      <c r="G5114" s="12" t="inlineStr"/>
      <c r="H5114" s="12" t="inlineStr">
        <is>
          <t>RICE 5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178</v>
      </c>
      <c r="V5114" s="16">
        <f>ROUNDUP((T5114+U5114+2*'Read Me'!$B$13)*(1+'Read Me'!$B$12),-1)</f>
        <v/>
      </c>
      <c r="W5114" s="16">
        <f>V5114*N5114*O5114</f>
        <v/>
      </c>
      <c r="X5114" s="12">
        <f>IF(LEFT(I5114,2)="MV",2*N5114*IF(L5114="1/C",O5114,1),0)</f>
        <v/>
      </c>
      <c r="Y5114" s="12">
        <f>IF(OR(LEFT(K5114,4)="LVAX",LEFT(K5114,6)="MV15AX",LEFT(K5114,4)="CTAX",LEFT(K5114,2)="W|"),2*N5114*O5114,0)</f>
        <v/>
      </c>
      <c r="Z5114" s="12" t="inlineStr">
        <is>
          <t>VD 2.1 %</t>
        </is>
      </c>
      <c r="AA5114" s="12">
        <f>N5114*O5114</f>
        <v/>
      </c>
    </row>
    <row r="5115">
      <c r="A5115" s="12" t="inlineStr">
        <is>
          <t>I-P-0065</t>
        </is>
      </c>
      <c r="B5115" s="12" t="inlineStr">
        <is>
          <t>I</t>
        </is>
      </c>
      <c r="C5115" s="12" t="inlineStr">
        <is>
          <t>Modular / portable power</t>
        </is>
      </c>
      <c r="D5115" s="12" t="inlineStr">
        <is>
          <t>Motor 4 of 5, 30 kW (VFD output)</t>
        </is>
      </c>
      <c r="E5115" s="12" t="inlineStr"/>
      <c r="F5115" s="12" t="inlineStr">
        <is>
          <t>PCM: power control module</t>
        </is>
      </c>
      <c r="G5115" s="12" t="inlineStr"/>
      <c r="H5115" s="12" t="inlineStr">
        <is>
          <t>RICE 5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178</v>
      </c>
      <c r="V5115" s="16">
        <f>ROUNDUP((T5115+U5115+2*'Read Me'!$B$13)*(1+'Read Me'!$B$12),-1)</f>
        <v/>
      </c>
      <c r="W5115" s="16">
        <f>V5115*N5115*O5115</f>
        <v/>
      </c>
      <c r="X5115" s="12">
        <f>IF(LEFT(I5115,2)="MV",2*N5115*IF(L5115="1/C",O5115,1),0)</f>
        <v/>
      </c>
      <c r="Y5115" s="12">
        <f>IF(OR(LEFT(K5115,4)="LVAX",LEFT(K5115,6)="MV15AX",LEFT(K5115,4)="CTAX",LEFT(K5115,2)="W|"),2*N5115*O5115,0)</f>
        <v/>
      </c>
      <c r="Z5115" s="12" t="inlineStr">
        <is>
          <t>VD 2.1 %</t>
        </is>
      </c>
      <c r="AA5115" s="12">
        <f>N5115*O5115</f>
        <v/>
      </c>
    </row>
    <row r="5116">
      <c r="A5116" s="12" t="inlineStr">
        <is>
          <t>I-P-0066</t>
        </is>
      </c>
      <c r="B5116" s="12" t="inlineStr">
        <is>
          <t>I</t>
        </is>
      </c>
      <c r="C5116" s="12" t="inlineStr">
        <is>
          <t>Modular / portable power</t>
        </is>
      </c>
      <c r="D5116" s="12" t="inlineStr">
        <is>
          <t>Motor 5 of 5, 30 kW (VFD output)</t>
        </is>
      </c>
      <c r="E5116" s="12" t="inlineStr"/>
      <c r="F5116" s="12" t="inlineStr">
        <is>
          <t>PCM: power control module</t>
        </is>
      </c>
      <c r="G5116" s="12" t="inlineStr"/>
      <c r="H5116" s="12" t="inlineStr">
        <is>
          <t>RICE 5 radiators (5)</t>
        </is>
      </c>
      <c r="I5116" s="12" t="inlineStr">
        <is>
          <t>LV 600 V</t>
        </is>
      </c>
      <c r="J5116" s="12" t="inlineStr">
        <is>
          <t>VFD cable 600 V 3/C Cu XHHW-2, 3 symmetrical grounds, overall Cu tape shield, TC-ER</t>
        </is>
      </c>
      <c r="K5116" s="12" t="inlineStr">
        <is>
          <t>VFD|3/C+3G|6</t>
        </is>
      </c>
      <c r="L5116" s="12" t="inlineStr">
        <is>
          <t>3/C+3G</t>
        </is>
      </c>
      <c r="M5116" s="12" t="inlineStr">
        <is>
          <t>6</t>
        </is>
      </c>
      <c r="N5116" s="12" t="n">
        <v>1</v>
      </c>
      <c r="O5116" s="12" t="n">
        <v>1</v>
      </c>
      <c r="P5116" s="12" t="n">
        <v>480</v>
      </c>
      <c r="Q5116" s="12" t="n">
        <v>30</v>
      </c>
      <c r="R5116" s="12" t="n">
        <v>42</v>
      </c>
      <c r="S5116" s="12" t="inlineStr">
        <is>
          <t>Tray</t>
        </is>
      </c>
      <c r="T5116" s="16" t="n">
        <v>80</v>
      </c>
      <c r="U5116" s="16" t="n">
        <v>178</v>
      </c>
      <c r="V5116" s="16">
        <f>ROUNDUP((T5116+U5116+2*'Read Me'!$B$13)*(1+'Read Me'!$B$12),-1)</f>
        <v/>
      </c>
      <c r="W5116" s="16">
        <f>V5116*N5116*O5116</f>
        <v/>
      </c>
      <c r="X5116" s="12">
        <f>IF(LEFT(I5116,2)="MV",2*N5116*IF(L5116="1/C",O5116,1),0)</f>
        <v/>
      </c>
      <c r="Y5116" s="12">
        <f>IF(OR(LEFT(K5116,4)="LVAX",LEFT(K5116,6)="MV15AX",LEFT(K5116,4)="CTAX",LEFT(K5116,2)="W|"),2*N5116*O5116,0)</f>
        <v/>
      </c>
      <c r="Z5116" s="12" t="inlineStr">
        <is>
          <t>VD 2.1 %</t>
        </is>
      </c>
      <c r="AA5116" s="12">
        <f>N5116*O5116</f>
        <v/>
      </c>
    </row>
    <row r="5117">
      <c r="A5117" s="12" t="inlineStr">
        <is>
          <t>I-P-0067</t>
        </is>
      </c>
      <c r="B5117" s="12" t="inlineStr">
        <is>
          <t>I</t>
        </is>
      </c>
      <c r="C5117" s="12" t="inlineStr">
        <is>
          <t>Modular / portable power</t>
        </is>
      </c>
      <c r="D5117" s="12" t="inlineStr">
        <is>
          <t>Motor 1 of 1, 15 kW</t>
        </is>
      </c>
      <c r="E5117" s="12" t="inlineStr"/>
      <c r="F5117" s="12" t="inlineStr">
        <is>
          <t>PCM: power control module</t>
        </is>
      </c>
      <c r="G5117" s="12" t="inlineStr"/>
      <c r="H5117" s="12" t="inlineStr">
        <is>
          <t>RICE 6 SCR + oxidation catalyst and stack</t>
        </is>
      </c>
      <c r="I5117" s="12" t="inlineStr">
        <is>
          <t>LV 600 V</t>
        </is>
      </c>
      <c r="J5117" s="12" t="inlineStr">
        <is>
          <t>Type TC-ER 600 V 3/C Cu XHHW-2 + ground, PVC jacket</t>
        </is>
      </c>
      <c r="K5117" s="12" t="inlineStr">
        <is>
          <t>LV|3/C+G|6</t>
        </is>
      </c>
      <c r="L5117" s="12" t="inlineStr">
        <is>
          <t>3/C+G</t>
        </is>
      </c>
      <c r="M5117" s="12" t="inlineStr">
        <is>
          <t>6</t>
        </is>
      </c>
      <c r="N5117" s="12" t="n">
        <v>1</v>
      </c>
      <c r="O5117" s="12" t="n">
        <v>1</v>
      </c>
      <c r="P5117" s="12" t="n">
        <v>480</v>
      </c>
      <c r="Q5117" s="12" t="n">
        <v>15</v>
      </c>
      <c r="R5117" s="12" t="n">
        <v>21.2</v>
      </c>
      <c r="S5117" s="12" t="inlineStr">
        <is>
          <t>Duct bank</t>
        </is>
      </c>
      <c r="T5117" s="16" t="n">
        <v>322</v>
      </c>
      <c r="U5117" s="16" t="n">
        <v>168</v>
      </c>
      <c r="V5117" s="16">
        <f>ROUNDUP((T5117+U5117+2*'Read Me'!$B$13)*(1+'Read Me'!$B$12),-1)</f>
        <v/>
      </c>
      <c r="W5117" s="16">
        <f>V5117*N5117*O5117</f>
        <v/>
      </c>
      <c r="X5117" s="12">
        <f>IF(LEFT(I5117,2)="MV",2*N5117*IF(L5117="1/C",O5117,1),0)</f>
        <v/>
      </c>
      <c r="Y5117" s="12">
        <f>IF(OR(LEFT(K5117,4)="LVAX",LEFT(K5117,6)="MV15AX",LEFT(K5117,4)="CTAX",LEFT(K5117,2)="W|"),2*N5117*O5117,0)</f>
        <v/>
      </c>
      <c r="Z5117" s="12" t="inlineStr">
        <is>
          <t>VD 2.0 %</t>
        </is>
      </c>
      <c r="AA5117" s="12">
        <f>N5117*O5117</f>
        <v/>
      </c>
    </row>
    <row r="5118">
      <c r="A5118" s="12" t="inlineStr">
        <is>
          <t>I-P-0068</t>
        </is>
      </c>
      <c r="B5118" s="12" t="inlineStr">
        <is>
          <t>I</t>
        </is>
      </c>
      <c r="C5118" s="12" t="inlineStr">
        <is>
          <t>Modular / portable power</t>
        </is>
      </c>
      <c r="D5118" s="12" t="inlineStr">
        <is>
          <t>Area / platform lighting circuit 1 (6 fixtures)</t>
        </is>
      </c>
      <c r="E5118" s="12" t="inlineStr"/>
      <c r="F5118" s="12" t="inlineStr">
        <is>
          <t>PCM: power control module</t>
        </is>
      </c>
      <c r="G5118" s="12" t="inlineStr"/>
      <c r="H5118" s="12" t="inlineStr">
        <is>
          <t>RICE 6 SCR + oxidation catalyst and stack</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3</v>
      </c>
      <c r="R5118" s="12" t="n">
        <v>5</v>
      </c>
      <c r="S5118" s="12" t="inlineStr">
        <is>
          <t>Duct bank</t>
        </is>
      </c>
      <c r="T5118" s="16" t="n">
        <v>622</v>
      </c>
      <c r="U5118" s="16" t="n">
        <v>168</v>
      </c>
      <c r="V5118" s="16">
        <f>ROUNDUP((T5118+U5118+2*'Read Me'!$B$13)*(1+'Read Me'!$B$12),-1)</f>
        <v/>
      </c>
      <c r="W5118" s="16">
        <f>V5118*N5118*O5118</f>
        <v/>
      </c>
      <c r="X5118" s="12">
        <f>IF(LEFT(I5118,2)="MV",2*N5118*IF(L5118="1/C",O5118,1),0)</f>
        <v/>
      </c>
      <c r="Y5118" s="12">
        <f>IF(OR(LEFT(K5118,4)="LVAX",LEFT(K5118,6)="MV15AX",LEFT(K5118,4)="CTAX",LEFT(K5118,2)="W|"),2*N5118*O5118,0)</f>
        <v/>
      </c>
      <c r="Z5118" s="12" t="inlineStr">
        <is>
          <t>fixture-to-fixture run included</t>
        </is>
      </c>
      <c r="AA5118" s="12">
        <f>N5118*O5118</f>
        <v/>
      </c>
    </row>
    <row r="5119">
      <c r="A5119" s="12" t="inlineStr">
        <is>
          <t>I-P-0069</t>
        </is>
      </c>
      <c r="B5119" s="12" t="inlineStr">
        <is>
          <t>I</t>
        </is>
      </c>
      <c r="C5119" s="12" t="inlineStr">
        <is>
          <t>Modular / portable power</t>
        </is>
      </c>
      <c r="D5119" s="12" t="inlineStr">
        <is>
          <t>Motor 1 of 5, 30 kW (VFD output)</t>
        </is>
      </c>
      <c r="E5119" s="12" t="inlineStr"/>
      <c r="F5119" s="12" t="inlineStr">
        <is>
          <t>PCM: power control module</t>
        </is>
      </c>
      <c r="G5119" s="12" t="inlineStr"/>
      <c r="H5119" s="12" t="inlineStr">
        <is>
          <t>RICE 6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150</v>
      </c>
      <c r="V5119" s="16">
        <f>ROUNDUP((T5119+U5119+2*'Read Me'!$B$13)*(1+'Read Me'!$B$12),-1)</f>
        <v/>
      </c>
      <c r="W5119" s="16">
        <f>V5119*N5119*O5119</f>
        <v/>
      </c>
      <c r="X5119" s="12">
        <f>IF(LEFT(I5119,2)="MV",2*N5119*IF(L5119="1/C",O5119,1),0)</f>
        <v/>
      </c>
      <c r="Y5119" s="12">
        <f>IF(OR(LEFT(K5119,4)="LVAX",LEFT(K5119,6)="MV15AX",LEFT(K5119,4)="CTAX",LEFT(K5119,2)="W|"),2*N5119*O5119,0)</f>
        <v/>
      </c>
      <c r="Z5119" s="12" t="inlineStr">
        <is>
          <t>VD 1.9 %</t>
        </is>
      </c>
      <c r="AA5119" s="12">
        <f>N5119*O5119</f>
        <v/>
      </c>
    </row>
    <row r="5120">
      <c r="A5120" s="12" t="inlineStr">
        <is>
          <t>I-P-0070</t>
        </is>
      </c>
      <c r="B5120" s="12" t="inlineStr">
        <is>
          <t>I</t>
        </is>
      </c>
      <c r="C5120" s="12" t="inlineStr">
        <is>
          <t>Modular / portable power</t>
        </is>
      </c>
      <c r="D5120" s="12" t="inlineStr">
        <is>
          <t>Motor 2 of 5, 30 kW (VFD output)</t>
        </is>
      </c>
      <c r="E5120" s="12" t="inlineStr"/>
      <c r="F5120" s="12" t="inlineStr">
        <is>
          <t>PCM: power control module</t>
        </is>
      </c>
      <c r="G5120" s="12" t="inlineStr"/>
      <c r="H5120" s="12" t="inlineStr">
        <is>
          <t>RICE 6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150</v>
      </c>
      <c r="V5120" s="16">
        <f>ROUNDUP((T5120+U5120+2*'Read Me'!$B$13)*(1+'Read Me'!$B$12),-1)</f>
        <v/>
      </c>
      <c r="W5120" s="16">
        <f>V5120*N5120*O5120</f>
        <v/>
      </c>
      <c r="X5120" s="12">
        <f>IF(LEFT(I5120,2)="MV",2*N5120*IF(L5120="1/C",O5120,1),0)</f>
        <v/>
      </c>
      <c r="Y5120" s="12">
        <f>IF(OR(LEFT(K5120,4)="LVAX",LEFT(K5120,6)="MV15AX",LEFT(K5120,4)="CTAX",LEFT(K5120,2)="W|"),2*N5120*O5120,0)</f>
        <v/>
      </c>
      <c r="Z5120" s="12" t="inlineStr">
        <is>
          <t>VD 1.9 %</t>
        </is>
      </c>
      <c r="AA5120" s="12">
        <f>N5120*O5120</f>
        <v/>
      </c>
    </row>
    <row r="5121">
      <c r="A5121" s="12" t="inlineStr">
        <is>
          <t>I-P-0071</t>
        </is>
      </c>
      <c r="B5121" s="12" t="inlineStr">
        <is>
          <t>I</t>
        </is>
      </c>
      <c r="C5121" s="12" t="inlineStr">
        <is>
          <t>Modular / portable power</t>
        </is>
      </c>
      <c r="D5121" s="12" t="inlineStr">
        <is>
          <t>Motor 3 of 5, 30 kW (VFD output)</t>
        </is>
      </c>
      <c r="E5121" s="12" t="inlineStr"/>
      <c r="F5121" s="12" t="inlineStr">
        <is>
          <t>PCM: power control module</t>
        </is>
      </c>
      <c r="G5121" s="12" t="inlineStr"/>
      <c r="H5121" s="12" t="inlineStr">
        <is>
          <t>RICE 6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150</v>
      </c>
      <c r="V5121" s="16">
        <f>ROUNDUP((T5121+U5121+2*'Read Me'!$B$13)*(1+'Read Me'!$B$12),-1)</f>
        <v/>
      </c>
      <c r="W5121" s="16">
        <f>V5121*N5121*O5121</f>
        <v/>
      </c>
      <c r="X5121" s="12">
        <f>IF(LEFT(I5121,2)="MV",2*N5121*IF(L5121="1/C",O5121,1),0)</f>
        <v/>
      </c>
      <c r="Y5121" s="12">
        <f>IF(OR(LEFT(K5121,4)="LVAX",LEFT(K5121,6)="MV15AX",LEFT(K5121,4)="CTAX",LEFT(K5121,2)="W|"),2*N5121*O5121,0)</f>
        <v/>
      </c>
      <c r="Z5121" s="12" t="inlineStr">
        <is>
          <t>VD 1.9 %</t>
        </is>
      </c>
      <c r="AA5121" s="12">
        <f>N5121*O5121</f>
        <v/>
      </c>
    </row>
    <row r="5122">
      <c r="A5122" s="12" t="inlineStr">
        <is>
          <t>I-P-0072</t>
        </is>
      </c>
      <c r="B5122" s="12" t="inlineStr">
        <is>
          <t>I</t>
        </is>
      </c>
      <c r="C5122" s="12" t="inlineStr">
        <is>
          <t>Modular / portable power</t>
        </is>
      </c>
      <c r="D5122" s="12" t="inlineStr">
        <is>
          <t>Motor 4 of 5, 30 kW (VFD output)</t>
        </is>
      </c>
      <c r="E5122" s="12" t="inlineStr"/>
      <c r="F5122" s="12" t="inlineStr">
        <is>
          <t>PCM: power control module</t>
        </is>
      </c>
      <c r="G5122" s="12" t="inlineStr"/>
      <c r="H5122" s="12" t="inlineStr">
        <is>
          <t>RICE 6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150</v>
      </c>
      <c r="V5122" s="16">
        <f>ROUNDUP((T5122+U5122+2*'Read Me'!$B$13)*(1+'Read Me'!$B$12),-1)</f>
        <v/>
      </c>
      <c r="W5122" s="16">
        <f>V5122*N5122*O5122</f>
        <v/>
      </c>
      <c r="X5122" s="12">
        <f>IF(LEFT(I5122,2)="MV",2*N5122*IF(L5122="1/C",O5122,1),0)</f>
        <v/>
      </c>
      <c r="Y5122" s="12">
        <f>IF(OR(LEFT(K5122,4)="LVAX",LEFT(K5122,6)="MV15AX",LEFT(K5122,4)="CTAX",LEFT(K5122,2)="W|"),2*N5122*O5122,0)</f>
        <v/>
      </c>
      <c r="Z5122" s="12" t="inlineStr">
        <is>
          <t>VD 1.9 %</t>
        </is>
      </c>
      <c r="AA5122" s="12">
        <f>N5122*O5122</f>
        <v/>
      </c>
    </row>
    <row r="5123">
      <c r="A5123" s="12" t="inlineStr">
        <is>
          <t>I-P-0073</t>
        </is>
      </c>
      <c r="B5123" s="12" t="inlineStr">
        <is>
          <t>I</t>
        </is>
      </c>
      <c r="C5123" s="12" t="inlineStr">
        <is>
          <t>Modular / portable power</t>
        </is>
      </c>
      <c r="D5123" s="12" t="inlineStr">
        <is>
          <t>Motor 5 of 5, 30 kW (VFD output)</t>
        </is>
      </c>
      <c r="E5123" s="12" t="inlineStr"/>
      <c r="F5123" s="12" t="inlineStr">
        <is>
          <t>PCM: power control module</t>
        </is>
      </c>
      <c r="G5123" s="12" t="inlineStr"/>
      <c r="H5123" s="12" t="inlineStr">
        <is>
          <t>RICE 6 radiators (5)</t>
        </is>
      </c>
      <c r="I5123" s="12" t="inlineStr">
        <is>
          <t>LV 600 V</t>
        </is>
      </c>
      <c r="J5123" s="12" t="inlineStr">
        <is>
          <t>VFD cable 600 V 3/C Cu XHHW-2, 3 symmetrical grounds, overall Cu tape shield, TC-ER</t>
        </is>
      </c>
      <c r="K5123" s="12" t="inlineStr">
        <is>
          <t>VFD|3/C+3G|6</t>
        </is>
      </c>
      <c r="L5123" s="12" t="inlineStr">
        <is>
          <t>3/C+3G</t>
        </is>
      </c>
      <c r="M5123" s="12" t="inlineStr">
        <is>
          <t>6</t>
        </is>
      </c>
      <c r="N5123" s="12" t="n">
        <v>1</v>
      </c>
      <c r="O5123" s="12" t="n">
        <v>1</v>
      </c>
      <c r="P5123" s="12" t="n">
        <v>480</v>
      </c>
      <c r="Q5123" s="12" t="n">
        <v>30</v>
      </c>
      <c r="R5123" s="12" t="n">
        <v>42</v>
      </c>
      <c r="S5123" s="12" t="inlineStr">
        <is>
          <t>Tray</t>
        </is>
      </c>
      <c r="T5123" s="16" t="n">
        <v>80</v>
      </c>
      <c r="U5123" s="16" t="n">
        <v>150</v>
      </c>
      <c r="V5123" s="16">
        <f>ROUNDUP((T5123+U5123+2*'Read Me'!$B$13)*(1+'Read Me'!$B$12),-1)</f>
        <v/>
      </c>
      <c r="W5123" s="16">
        <f>V5123*N5123*O5123</f>
        <v/>
      </c>
      <c r="X5123" s="12">
        <f>IF(LEFT(I5123,2)="MV",2*N5123*IF(L5123="1/C",O5123,1),0)</f>
        <v/>
      </c>
      <c r="Y5123" s="12">
        <f>IF(OR(LEFT(K5123,4)="LVAX",LEFT(K5123,6)="MV15AX",LEFT(K5123,4)="CTAX",LEFT(K5123,2)="W|"),2*N5123*O5123,0)</f>
        <v/>
      </c>
      <c r="Z5123" s="12" t="inlineStr">
        <is>
          <t>VD 1.9 %</t>
        </is>
      </c>
      <c r="AA5123" s="12">
        <f>N5123*O5123</f>
        <v/>
      </c>
    </row>
    <row r="5124">
      <c r="A5124" s="12" t="inlineStr">
        <is>
          <t>I-P-0074</t>
        </is>
      </c>
      <c r="B5124" s="12" t="inlineStr">
        <is>
          <t>I</t>
        </is>
      </c>
      <c r="C5124" s="12" t="inlineStr">
        <is>
          <t>Modular / portable power</t>
        </is>
      </c>
      <c r="D5124" s="12" t="inlineStr">
        <is>
          <t>Motor 1 of 1, 15 kW</t>
        </is>
      </c>
      <c r="E5124" s="12" t="inlineStr"/>
      <c r="F5124" s="12" t="inlineStr">
        <is>
          <t>PCM: power control module</t>
        </is>
      </c>
      <c r="G5124" s="12" t="inlineStr"/>
      <c r="H5124" s="12" t="inlineStr">
        <is>
          <t>RICE 7 SCR + oxidation catalyst and stack</t>
        </is>
      </c>
      <c r="I5124" s="12" t="inlineStr">
        <is>
          <t>LV 600 V</t>
        </is>
      </c>
      <c r="J5124" s="12" t="inlineStr">
        <is>
          <t>Type TC-ER 600 V 3/C Cu XHHW-2 + ground, PVC jacket</t>
        </is>
      </c>
      <c r="K5124" s="12" t="inlineStr">
        <is>
          <t>LV|3/C+G|8</t>
        </is>
      </c>
      <c r="L5124" s="12" t="inlineStr">
        <is>
          <t>3/C+G</t>
        </is>
      </c>
      <c r="M5124" s="12" t="inlineStr">
        <is>
          <t>8</t>
        </is>
      </c>
      <c r="N5124" s="12" t="n">
        <v>1</v>
      </c>
      <c r="O5124" s="12" t="n">
        <v>1</v>
      </c>
      <c r="P5124" s="12" t="n">
        <v>480</v>
      </c>
      <c r="Q5124" s="12" t="n">
        <v>15</v>
      </c>
      <c r="R5124" s="12" t="n">
        <v>21.2</v>
      </c>
      <c r="S5124" s="12" t="inlineStr">
        <is>
          <t>Duct bank</t>
        </is>
      </c>
      <c r="T5124" s="16" t="n">
        <v>322</v>
      </c>
      <c r="U5124" s="16" t="n">
        <v>140</v>
      </c>
      <c r="V5124" s="16">
        <f>ROUNDUP((T5124+U5124+2*'Read Me'!$B$13)*(1+'Read Me'!$B$12),-1)</f>
        <v/>
      </c>
      <c r="W5124" s="16">
        <f>V5124*N5124*O5124</f>
        <v/>
      </c>
      <c r="X5124" s="12">
        <f>IF(LEFT(I5124,2)="MV",2*N5124*IF(L5124="1/C",O5124,1),0)</f>
        <v/>
      </c>
      <c r="Y5124" s="12">
        <f>IF(OR(LEFT(K5124,4)="LVAX",LEFT(K5124,6)="MV15AX",LEFT(K5124,4)="CTAX",LEFT(K5124,2)="W|"),2*N5124*O5124,0)</f>
        <v/>
      </c>
      <c r="Z5124" s="12" t="inlineStr">
        <is>
          <t>VD 3.0 %</t>
        </is>
      </c>
      <c r="AA5124" s="12">
        <f>N5124*O5124</f>
        <v/>
      </c>
    </row>
    <row r="5125">
      <c r="A5125" s="12" t="inlineStr">
        <is>
          <t>I-P-0075</t>
        </is>
      </c>
      <c r="B5125" s="12" t="inlineStr">
        <is>
          <t>I</t>
        </is>
      </c>
      <c r="C5125" s="12" t="inlineStr">
        <is>
          <t>Modular / portable power</t>
        </is>
      </c>
      <c r="D5125" s="12" t="inlineStr">
        <is>
          <t>Area / platform lighting circuit 1 (6 fixtures)</t>
        </is>
      </c>
      <c r="E5125" s="12" t="inlineStr"/>
      <c r="F5125" s="12" t="inlineStr">
        <is>
          <t>PCM: power control module</t>
        </is>
      </c>
      <c r="G5125" s="12" t="inlineStr"/>
      <c r="H5125" s="12" t="inlineStr">
        <is>
          <t>RICE 7 SCR + oxidation catalyst and stack</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3</v>
      </c>
      <c r="R5125" s="12" t="n">
        <v>5</v>
      </c>
      <c r="S5125" s="12" t="inlineStr">
        <is>
          <t>Duct bank</t>
        </is>
      </c>
      <c r="T5125" s="16" t="n">
        <v>622</v>
      </c>
      <c r="U5125" s="16" t="n">
        <v>140</v>
      </c>
      <c r="V5125" s="16">
        <f>ROUNDUP((T5125+U5125+2*'Read Me'!$B$13)*(1+'Read Me'!$B$12),-1)</f>
        <v/>
      </c>
      <c r="W5125" s="16">
        <f>V5125*N5125*O5125</f>
        <v/>
      </c>
      <c r="X5125" s="12">
        <f>IF(LEFT(I5125,2)="MV",2*N5125*IF(L5125="1/C",O5125,1),0)</f>
        <v/>
      </c>
      <c r="Y5125" s="12">
        <f>IF(OR(LEFT(K5125,4)="LVAX",LEFT(K5125,6)="MV15AX",LEFT(K5125,4)="CTAX",LEFT(K5125,2)="W|"),2*N5125*O5125,0)</f>
        <v/>
      </c>
      <c r="Z5125" s="12" t="inlineStr">
        <is>
          <t>fixture-to-fixture run included</t>
        </is>
      </c>
      <c r="AA5125" s="12">
        <f>N5125*O5125</f>
        <v/>
      </c>
    </row>
    <row r="5126">
      <c r="A5126" s="12" t="inlineStr">
        <is>
          <t>I-P-0076</t>
        </is>
      </c>
      <c r="B5126" s="12" t="inlineStr">
        <is>
          <t>I</t>
        </is>
      </c>
      <c r="C5126" s="12" t="inlineStr">
        <is>
          <t>Modular / portable power</t>
        </is>
      </c>
      <c r="D5126" s="12" t="inlineStr">
        <is>
          <t>Motor 1 of 5, 30 kW (VFD output)</t>
        </is>
      </c>
      <c r="E5126" s="12" t="inlineStr"/>
      <c r="F5126" s="12" t="inlineStr">
        <is>
          <t>PCM: power control module</t>
        </is>
      </c>
      <c r="G5126" s="12" t="inlineStr"/>
      <c r="H5126" s="12" t="inlineStr">
        <is>
          <t>RICE 7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122</v>
      </c>
      <c r="V5126" s="16">
        <f>ROUNDUP((T5126+U5126+2*'Read Me'!$B$13)*(1+'Read Me'!$B$12),-1)</f>
        <v/>
      </c>
      <c r="W5126" s="16">
        <f>V5126*N5126*O5126</f>
        <v/>
      </c>
      <c r="X5126" s="12">
        <f>IF(LEFT(I5126,2)="MV",2*N5126*IF(L5126="1/C",O5126,1),0)</f>
        <v/>
      </c>
      <c r="Y5126" s="12">
        <f>IF(OR(LEFT(K5126,4)="LVAX",LEFT(K5126,6)="MV15AX",LEFT(K5126,4)="CTAX",LEFT(K5126,2)="W|"),2*N5126*O5126,0)</f>
        <v/>
      </c>
      <c r="Z5126" s="12" t="inlineStr">
        <is>
          <t>VD 1.7 %</t>
        </is>
      </c>
      <c r="AA5126" s="12">
        <f>N5126*O5126</f>
        <v/>
      </c>
    </row>
    <row r="5127">
      <c r="A5127" s="12" t="inlineStr">
        <is>
          <t>I-P-0077</t>
        </is>
      </c>
      <c r="B5127" s="12" t="inlineStr">
        <is>
          <t>I</t>
        </is>
      </c>
      <c r="C5127" s="12" t="inlineStr">
        <is>
          <t>Modular / portable power</t>
        </is>
      </c>
      <c r="D5127" s="12" t="inlineStr">
        <is>
          <t>Motor 2 of 5, 30 kW (VFD output)</t>
        </is>
      </c>
      <c r="E5127" s="12" t="inlineStr"/>
      <c r="F5127" s="12" t="inlineStr">
        <is>
          <t>PCM: power control module</t>
        </is>
      </c>
      <c r="G5127" s="12" t="inlineStr"/>
      <c r="H5127" s="12" t="inlineStr">
        <is>
          <t>RICE 7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122</v>
      </c>
      <c r="V5127" s="16">
        <f>ROUNDUP((T5127+U5127+2*'Read Me'!$B$13)*(1+'Read Me'!$B$12),-1)</f>
        <v/>
      </c>
      <c r="W5127" s="16">
        <f>V5127*N5127*O5127</f>
        <v/>
      </c>
      <c r="X5127" s="12">
        <f>IF(LEFT(I5127,2)="MV",2*N5127*IF(L5127="1/C",O5127,1),0)</f>
        <v/>
      </c>
      <c r="Y5127" s="12">
        <f>IF(OR(LEFT(K5127,4)="LVAX",LEFT(K5127,6)="MV15AX",LEFT(K5127,4)="CTAX",LEFT(K5127,2)="W|"),2*N5127*O5127,0)</f>
        <v/>
      </c>
      <c r="Z5127" s="12" t="inlineStr">
        <is>
          <t>VD 1.7 %</t>
        </is>
      </c>
      <c r="AA5127" s="12">
        <f>N5127*O5127</f>
        <v/>
      </c>
    </row>
    <row r="5128">
      <c r="A5128" s="12" t="inlineStr">
        <is>
          <t>I-P-0078</t>
        </is>
      </c>
      <c r="B5128" s="12" t="inlineStr">
        <is>
          <t>I</t>
        </is>
      </c>
      <c r="C5128" s="12" t="inlineStr">
        <is>
          <t>Modular / portable power</t>
        </is>
      </c>
      <c r="D5128" s="12" t="inlineStr">
        <is>
          <t>Motor 3 of 5, 30 kW (VFD output)</t>
        </is>
      </c>
      <c r="E5128" s="12" t="inlineStr"/>
      <c r="F5128" s="12" t="inlineStr">
        <is>
          <t>PCM: power control module</t>
        </is>
      </c>
      <c r="G5128" s="12" t="inlineStr"/>
      <c r="H5128" s="12" t="inlineStr">
        <is>
          <t>RICE 7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122</v>
      </c>
      <c r="V5128" s="16">
        <f>ROUNDUP((T5128+U5128+2*'Read Me'!$B$13)*(1+'Read Me'!$B$12),-1)</f>
        <v/>
      </c>
      <c r="W5128" s="16">
        <f>V5128*N5128*O5128</f>
        <v/>
      </c>
      <c r="X5128" s="12">
        <f>IF(LEFT(I5128,2)="MV",2*N5128*IF(L5128="1/C",O5128,1),0)</f>
        <v/>
      </c>
      <c r="Y5128" s="12">
        <f>IF(OR(LEFT(K5128,4)="LVAX",LEFT(K5128,6)="MV15AX",LEFT(K5128,4)="CTAX",LEFT(K5128,2)="W|"),2*N5128*O5128,0)</f>
        <v/>
      </c>
      <c r="Z5128" s="12" t="inlineStr">
        <is>
          <t>VD 1.7 %</t>
        </is>
      </c>
      <c r="AA5128" s="12">
        <f>N5128*O5128</f>
        <v/>
      </c>
    </row>
    <row r="5129">
      <c r="A5129" s="12" t="inlineStr">
        <is>
          <t>I-P-0079</t>
        </is>
      </c>
      <c r="B5129" s="12" t="inlineStr">
        <is>
          <t>I</t>
        </is>
      </c>
      <c r="C5129" s="12" t="inlineStr">
        <is>
          <t>Modular / portable power</t>
        </is>
      </c>
      <c r="D5129" s="12" t="inlineStr">
        <is>
          <t>Motor 4 of 5, 30 kW (VFD output)</t>
        </is>
      </c>
      <c r="E5129" s="12" t="inlineStr"/>
      <c r="F5129" s="12" t="inlineStr">
        <is>
          <t>PCM: power control module</t>
        </is>
      </c>
      <c r="G5129" s="12" t="inlineStr"/>
      <c r="H5129" s="12" t="inlineStr">
        <is>
          <t>RICE 7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122</v>
      </c>
      <c r="V5129" s="16">
        <f>ROUNDUP((T5129+U5129+2*'Read Me'!$B$13)*(1+'Read Me'!$B$12),-1)</f>
        <v/>
      </c>
      <c r="W5129" s="16">
        <f>V5129*N5129*O5129</f>
        <v/>
      </c>
      <c r="X5129" s="12">
        <f>IF(LEFT(I5129,2)="MV",2*N5129*IF(L5129="1/C",O5129,1),0)</f>
        <v/>
      </c>
      <c r="Y5129" s="12">
        <f>IF(OR(LEFT(K5129,4)="LVAX",LEFT(K5129,6)="MV15AX",LEFT(K5129,4)="CTAX",LEFT(K5129,2)="W|"),2*N5129*O5129,0)</f>
        <v/>
      </c>
      <c r="Z5129" s="12" t="inlineStr">
        <is>
          <t>VD 1.7 %</t>
        </is>
      </c>
      <c r="AA5129" s="12">
        <f>N5129*O5129</f>
        <v/>
      </c>
    </row>
    <row r="5130">
      <c r="A5130" s="12" t="inlineStr">
        <is>
          <t>I-P-0080</t>
        </is>
      </c>
      <c r="B5130" s="12" t="inlineStr">
        <is>
          <t>I</t>
        </is>
      </c>
      <c r="C5130" s="12" t="inlineStr">
        <is>
          <t>Modular / portable power</t>
        </is>
      </c>
      <c r="D5130" s="12" t="inlineStr">
        <is>
          <t>Motor 5 of 5, 30 kW (VFD output)</t>
        </is>
      </c>
      <c r="E5130" s="12" t="inlineStr"/>
      <c r="F5130" s="12" t="inlineStr">
        <is>
          <t>PCM: power control module</t>
        </is>
      </c>
      <c r="G5130" s="12" t="inlineStr"/>
      <c r="H5130" s="12" t="inlineStr">
        <is>
          <t>RICE 7 radiators (5)</t>
        </is>
      </c>
      <c r="I5130" s="12" t="inlineStr">
        <is>
          <t>LV 600 V</t>
        </is>
      </c>
      <c r="J5130" s="12" t="inlineStr">
        <is>
          <t>VFD cable 600 V 3/C Cu XHHW-2, 3 symmetrical grounds, overall Cu tape shield, TC-ER</t>
        </is>
      </c>
      <c r="K5130" s="12" t="inlineStr">
        <is>
          <t>VFD|3/C+3G|6</t>
        </is>
      </c>
      <c r="L5130" s="12" t="inlineStr">
        <is>
          <t>3/C+3G</t>
        </is>
      </c>
      <c r="M5130" s="12" t="inlineStr">
        <is>
          <t>6</t>
        </is>
      </c>
      <c r="N5130" s="12" t="n">
        <v>1</v>
      </c>
      <c r="O5130" s="12" t="n">
        <v>1</v>
      </c>
      <c r="P5130" s="12" t="n">
        <v>480</v>
      </c>
      <c r="Q5130" s="12" t="n">
        <v>30</v>
      </c>
      <c r="R5130" s="12" t="n">
        <v>42</v>
      </c>
      <c r="S5130" s="12" t="inlineStr">
        <is>
          <t>Tray</t>
        </is>
      </c>
      <c r="T5130" s="16" t="n">
        <v>80</v>
      </c>
      <c r="U5130" s="16" t="n">
        <v>122</v>
      </c>
      <c r="V5130" s="16">
        <f>ROUNDUP((T5130+U5130+2*'Read Me'!$B$13)*(1+'Read Me'!$B$12),-1)</f>
        <v/>
      </c>
      <c r="W5130" s="16">
        <f>V5130*N5130*O5130</f>
        <v/>
      </c>
      <c r="X5130" s="12">
        <f>IF(LEFT(I5130,2)="MV",2*N5130*IF(L5130="1/C",O5130,1),0)</f>
        <v/>
      </c>
      <c r="Y5130" s="12">
        <f>IF(OR(LEFT(K5130,4)="LVAX",LEFT(K5130,6)="MV15AX",LEFT(K5130,4)="CTAX",LEFT(K5130,2)="W|"),2*N5130*O5130,0)</f>
        <v/>
      </c>
      <c r="Z5130" s="12" t="inlineStr">
        <is>
          <t>VD 1.7 %</t>
        </is>
      </c>
      <c r="AA5130" s="12">
        <f>N5130*O5130</f>
        <v/>
      </c>
    </row>
    <row r="5131">
      <c r="A5131" s="12" t="inlineStr">
        <is>
          <t>I-P-0081</t>
        </is>
      </c>
      <c r="B5131" s="12" t="inlineStr">
        <is>
          <t>I</t>
        </is>
      </c>
      <c r="C5131" s="12" t="inlineStr">
        <is>
          <t>Modular / portable power</t>
        </is>
      </c>
      <c r="D5131" s="12" t="inlineStr">
        <is>
          <t>Motor 1 of 1, 15 kW</t>
        </is>
      </c>
      <c r="E5131" s="12" t="inlineStr"/>
      <c r="F5131" s="12" t="inlineStr">
        <is>
          <t>PCM: power control module</t>
        </is>
      </c>
      <c r="G5131" s="12" t="inlineStr"/>
      <c r="H5131" s="12" t="inlineStr">
        <is>
          <t>RICE 8 SCR + oxidation catalyst and stack</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322</v>
      </c>
      <c r="U5131" s="16" t="n">
        <v>112</v>
      </c>
      <c r="V5131" s="16">
        <f>ROUNDUP((T5131+U5131+2*'Read Me'!$B$13)*(1+'Read Me'!$B$12),-1)</f>
        <v/>
      </c>
      <c r="W5131" s="16">
        <f>V5131*N5131*O5131</f>
        <v/>
      </c>
      <c r="X5131" s="12">
        <f>IF(LEFT(I5131,2)="MV",2*N5131*IF(L5131="1/C",O5131,1),0)</f>
        <v/>
      </c>
      <c r="Y5131" s="12">
        <f>IF(OR(LEFT(K5131,4)="LVAX",LEFT(K5131,6)="MV15AX",LEFT(K5131,4)="CTAX",LEFT(K5131,2)="W|"),2*N5131*O5131,0)</f>
        <v/>
      </c>
      <c r="Z5131" s="12" t="inlineStr">
        <is>
          <t>VD 2.8 %</t>
        </is>
      </c>
      <c r="AA5131" s="12">
        <f>N5131*O5131</f>
        <v/>
      </c>
    </row>
    <row r="5132">
      <c r="A5132" s="12" t="inlineStr">
        <is>
          <t>I-P-0082</t>
        </is>
      </c>
      <c r="B5132" s="12" t="inlineStr">
        <is>
          <t>I</t>
        </is>
      </c>
      <c r="C5132" s="12" t="inlineStr">
        <is>
          <t>Modular / portable power</t>
        </is>
      </c>
      <c r="D5132" s="12" t="inlineStr">
        <is>
          <t>Area / platform lighting circuit 1 (6 fixtures)</t>
        </is>
      </c>
      <c r="E5132" s="12" t="inlineStr"/>
      <c r="F5132" s="12" t="inlineStr">
        <is>
          <t>PCM: power control module</t>
        </is>
      </c>
      <c r="G5132" s="12" t="inlineStr"/>
      <c r="H5132" s="12" t="inlineStr">
        <is>
          <t>RICE 8 SCR + oxidation catalyst and stack</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3</v>
      </c>
      <c r="R5132" s="12" t="n">
        <v>5</v>
      </c>
      <c r="S5132" s="12" t="inlineStr">
        <is>
          <t>Duct bank</t>
        </is>
      </c>
      <c r="T5132" s="16" t="n">
        <v>622</v>
      </c>
      <c r="U5132" s="16" t="n">
        <v>112</v>
      </c>
      <c r="V5132" s="16">
        <f>ROUNDUP((T5132+U5132+2*'Read Me'!$B$13)*(1+'Read Me'!$B$12),-1)</f>
        <v/>
      </c>
      <c r="W5132" s="16">
        <f>V5132*N5132*O5132</f>
        <v/>
      </c>
      <c r="X5132" s="12">
        <f>IF(LEFT(I5132,2)="MV",2*N5132*IF(L5132="1/C",O5132,1),0)</f>
        <v/>
      </c>
      <c r="Y5132" s="12">
        <f>IF(OR(LEFT(K5132,4)="LVAX",LEFT(K5132,6)="MV15AX",LEFT(K5132,4)="CTAX",LEFT(K5132,2)="W|"),2*N5132*O5132,0)</f>
        <v/>
      </c>
      <c r="Z5132" s="12" t="inlineStr">
        <is>
          <t>fixture-to-fixture run included</t>
        </is>
      </c>
      <c r="AA5132" s="12">
        <f>N5132*O5132</f>
        <v/>
      </c>
    </row>
    <row r="5133">
      <c r="A5133" s="12" t="inlineStr">
        <is>
          <t>I-P-0083</t>
        </is>
      </c>
      <c r="B5133" s="12" t="inlineStr">
        <is>
          <t>I</t>
        </is>
      </c>
      <c r="C5133" s="12" t="inlineStr">
        <is>
          <t>Modular / portable power</t>
        </is>
      </c>
      <c r="D5133" s="12" t="inlineStr">
        <is>
          <t>Motor 1 of 5, 30 kW (VFD output)</t>
        </is>
      </c>
      <c r="E5133" s="12" t="inlineStr"/>
      <c r="F5133" s="12" t="inlineStr">
        <is>
          <t>PCM: power control module</t>
        </is>
      </c>
      <c r="G5133" s="12" t="inlineStr"/>
      <c r="H5133" s="12" t="inlineStr">
        <is>
          <t>RICE 8 radiators (5)</t>
        </is>
      </c>
      <c r="I5133" s="12" t="inlineStr">
        <is>
          <t>LV 600 V</t>
        </is>
      </c>
      <c r="J5133" s="12" t="inlineStr">
        <is>
          <t>VFD cable 600 V 3/C Cu XHHW-2, 3 symmetrical grounds, overall Cu tape shield, TC-ER</t>
        </is>
      </c>
      <c r="K5133" s="12" t="inlineStr">
        <is>
          <t>VFD|3/C+3G|6</t>
        </is>
      </c>
      <c r="L5133" s="12" t="inlineStr">
        <is>
          <t>3/C+3G</t>
        </is>
      </c>
      <c r="M5133" s="12" t="inlineStr">
        <is>
          <t>6</t>
        </is>
      </c>
      <c r="N5133" s="12" t="n">
        <v>1</v>
      </c>
      <c r="O5133" s="12" t="n">
        <v>1</v>
      </c>
      <c r="P5133" s="12" t="n">
        <v>480</v>
      </c>
      <c r="Q5133" s="12" t="n">
        <v>30</v>
      </c>
      <c r="R5133" s="12" t="n">
        <v>42</v>
      </c>
      <c r="S5133" s="12" t="inlineStr">
        <is>
          <t>Tray</t>
        </is>
      </c>
      <c r="T5133" s="16" t="n">
        <v>80</v>
      </c>
      <c r="U5133" s="16" t="n">
        <v>94</v>
      </c>
      <c r="V5133" s="16">
        <f>ROUNDUP((T5133+U5133+2*'Read Me'!$B$13)*(1+'Read Me'!$B$12),-1)</f>
        <v/>
      </c>
      <c r="W5133" s="16">
        <f>V5133*N5133*O5133</f>
        <v/>
      </c>
      <c r="X5133" s="12">
        <f>IF(LEFT(I5133,2)="MV",2*N5133*IF(L5133="1/C",O5133,1),0)</f>
        <v/>
      </c>
      <c r="Y5133" s="12">
        <f>IF(OR(LEFT(K5133,4)="LVAX",LEFT(K5133,6)="MV15AX",LEFT(K5133,4)="CTAX",LEFT(K5133,2)="W|"),2*N5133*O5133,0)</f>
        <v/>
      </c>
      <c r="Z5133" s="12" t="inlineStr">
        <is>
          <t>VD 1.4 %</t>
        </is>
      </c>
      <c r="AA5133" s="12">
        <f>N5133*O5133</f>
        <v/>
      </c>
    </row>
    <row r="5134">
      <c r="A5134" s="12" t="inlineStr">
        <is>
          <t>I-P-0084</t>
        </is>
      </c>
      <c r="B5134" s="12" t="inlineStr">
        <is>
          <t>I</t>
        </is>
      </c>
      <c r="C5134" s="12" t="inlineStr">
        <is>
          <t>Modular / portable power</t>
        </is>
      </c>
      <c r="D5134" s="12" t="inlineStr">
        <is>
          <t>Motor 2 of 5, 30 kW (VFD output)</t>
        </is>
      </c>
      <c r="E5134" s="12" t="inlineStr"/>
      <c r="F5134" s="12" t="inlineStr">
        <is>
          <t>PCM: power control module</t>
        </is>
      </c>
      <c r="G5134" s="12" t="inlineStr"/>
      <c r="H5134" s="12" t="inlineStr">
        <is>
          <t>RICE 8 radiators (5)</t>
        </is>
      </c>
      <c r="I5134" s="12" t="inlineStr">
        <is>
          <t>LV 600 V</t>
        </is>
      </c>
      <c r="J5134" s="12" t="inlineStr">
        <is>
          <t>VFD cable 600 V 3/C Cu XHHW-2, 3 symmetrical grounds, overall Cu tape shield, TC-ER</t>
        </is>
      </c>
      <c r="K5134" s="12" t="inlineStr">
        <is>
          <t>VFD|3/C+3G|6</t>
        </is>
      </c>
      <c r="L5134" s="12" t="inlineStr">
        <is>
          <t>3/C+3G</t>
        </is>
      </c>
      <c r="M5134" s="12" t="inlineStr">
        <is>
          <t>6</t>
        </is>
      </c>
      <c r="N5134" s="12" t="n">
        <v>1</v>
      </c>
      <c r="O5134" s="12" t="n">
        <v>1</v>
      </c>
      <c r="P5134" s="12" t="n">
        <v>480</v>
      </c>
      <c r="Q5134" s="12" t="n">
        <v>30</v>
      </c>
      <c r="R5134" s="12" t="n">
        <v>42</v>
      </c>
      <c r="S5134" s="12" t="inlineStr">
        <is>
          <t>Tray</t>
        </is>
      </c>
      <c r="T5134" s="16" t="n">
        <v>80</v>
      </c>
      <c r="U5134" s="16" t="n">
        <v>94</v>
      </c>
      <c r="V5134" s="16">
        <f>ROUNDUP((T5134+U5134+2*'Read Me'!$B$13)*(1+'Read Me'!$B$12),-1)</f>
        <v/>
      </c>
      <c r="W5134" s="16">
        <f>V5134*N5134*O5134</f>
        <v/>
      </c>
      <c r="X5134" s="12">
        <f>IF(LEFT(I5134,2)="MV",2*N5134*IF(L5134="1/C",O5134,1),0)</f>
        <v/>
      </c>
      <c r="Y5134" s="12">
        <f>IF(OR(LEFT(K5134,4)="LVAX",LEFT(K5134,6)="MV15AX",LEFT(K5134,4)="CTAX",LEFT(K5134,2)="W|"),2*N5134*O5134,0)</f>
        <v/>
      </c>
      <c r="Z5134" s="12" t="inlineStr">
        <is>
          <t>VD 1.4 %</t>
        </is>
      </c>
      <c r="AA5134" s="12">
        <f>N5134*O5134</f>
        <v/>
      </c>
    </row>
    <row r="5135">
      <c r="A5135" s="12" t="inlineStr">
        <is>
          <t>I-P-0085</t>
        </is>
      </c>
      <c r="B5135" s="12" t="inlineStr">
        <is>
          <t>I</t>
        </is>
      </c>
      <c r="C5135" s="12" t="inlineStr">
        <is>
          <t>Modular / portable power</t>
        </is>
      </c>
      <c r="D5135" s="12" t="inlineStr">
        <is>
          <t>Motor 3 of 5, 30 kW (VFD output)</t>
        </is>
      </c>
      <c r="E5135" s="12" t="inlineStr"/>
      <c r="F5135" s="12" t="inlineStr">
        <is>
          <t>PCM: power control module</t>
        </is>
      </c>
      <c r="G5135" s="12" t="inlineStr"/>
      <c r="H5135" s="12" t="inlineStr">
        <is>
          <t>RICE 8 radiators (5)</t>
        </is>
      </c>
      <c r="I5135" s="12" t="inlineStr">
        <is>
          <t>LV 600 V</t>
        </is>
      </c>
      <c r="J5135" s="12" t="inlineStr">
        <is>
          <t>VFD cable 600 V 3/C Cu XHHW-2, 3 symmetrical grounds, overall Cu tape shield, TC-ER</t>
        </is>
      </c>
      <c r="K5135" s="12" t="inlineStr">
        <is>
          <t>VFD|3/C+3G|6</t>
        </is>
      </c>
      <c r="L5135" s="12" t="inlineStr">
        <is>
          <t>3/C+3G</t>
        </is>
      </c>
      <c r="M5135" s="12" t="inlineStr">
        <is>
          <t>6</t>
        </is>
      </c>
      <c r="N5135" s="12" t="n">
        <v>1</v>
      </c>
      <c r="O5135" s="12" t="n">
        <v>1</v>
      </c>
      <c r="P5135" s="12" t="n">
        <v>480</v>
      </c>
      <c r="Q5135" s="12" t="n">
        <v>30</v>
      </c>
      <c r="R5135" s="12" t="n">
        <v>42</v>
      </c>
      <c r="S5135" s="12" t="inlineStr">
        <is>
          <t>Tray</t>
        </is>
      </c>
      <c r="T5135" s="16" t="n">
        <v>80</v>
      </c>
      <c r="U5135" s="16" t="n">
        <v>94</v>
      </c>
      <c r="V5135" s="16">
        <f>ROUNDUP((T5135+U5135+2*'Read Me'!$B$13)*(1+'Read Me'!$B$12),-1)</f>
        <v/>
      </c>
      <c r="W5135" s="16">
        <f>V5135*N5135*O5135</f>
        <v/>
      </c>
      <c r="X5135" s="12">
        <f>IF(LEFT(I5135,2)="MV",2*N5135*IF(L5135="1/C",O5135,1),0)</f>
        <v/>
      </c>
      <c r="Y5135" s="12">
        <f>IF(OR(LEFT(K5135,4)="LVAX",LEFT(K5135,6)="MV15AX",LEFT(K5135,4)="CTAX",LEFT(K5135,2)="W|"),2*N5135*O5135,0)</f>
        <v/>
      </c>
      <c r="Z5135" s="12" t="inlineStr">
        <is>
          <t>VD 1.4 %</t>
        </is>
      </c>
      <c r="AA5135" s="12">
        <f>N5135*O5135</f>
        <v/>
      </c>
    </row>
    <row r="5136">
      <c r="A5136" s="12" t="inlineStr">
        <is>
          <t>I-P-0086</t>
        </is>
      </c>
      <c r="B5136" s="12" t="inlineStr">
        <is>
          <t>I</t>
        </is>
      </c>
      <c r="C5136" s="12" t="inlineStr">
        <is>
          <t>Modular / portable power</t>
        </is>
      </c>
      <c r="D5136" s="12" t="inlineStr">
        <is>
          <t>Motor 4 of 5, 30 kW (VFD output)</t>
        </is>
      </c>
      <c r="E5136" s="12" t="inlineStr"/>
      <c r="F5136" s="12" t="inlineStr">
        <is>
          <t>PCM: power control module</t>
        </is>
      </c>
      <c r="G5136" s="12" t="inlineStr"/>
      <c r="H5136" s="12" t="inlineStr">
        <is>
          <t>RICE 8 radiators (5)</t>
        </is>
      </c>
      <c r="I5136" s="12" t="inlineStr">
        <is>
          <t>LV 600 V</t>
        </is>
      </c>
      <c r="J5136" s="12" t="inlineStr">
        <is>
          <t>VFD cable 600 V 3/C Cu XHHW-2, 3 symmetrical grounds, overall Cu tape shield, TC-ER</t>
        </is>
      </c>
      <c r="K5136" s="12" t="inlineStr">
        <is>
          <t>VFD|3/C+3G|6</t>
        </is>
      </c>
      <c r="L5136" s="12" t="inlineStr">
        <is>
          <t>3/C+3G</t>
        </is>
      </c>
      <c r="M5136" s="12" t="inlineStr">
        <is>
          <t>6</t>
        </is>
      </c>
      <c r="N5136" s="12" t="n">
        <v>1</v>
      </c>
      <c r="O5136" s="12" t="n">
        <v>1</v>
      </c>
      <c r="P5136" s="12" t="n">
        <v>480</v>
      </c>
      <c r="Q5136" s="12" t="n">
        <v>30</v>
      </c>
      <c r="R5136" s="12" t="n">
        <v>42</v>
      </c>
      <c r="S5136" s="12" t="inlineStr">
        <is>
          <t>Tray</t>
        </is>
      </c>
      <c r="T5136" s="16" t="n">
        <v>80</v>
      </c>
      <c r="U5136" s="16" t="n">
        <v>94</v>
      </c>
      <c r="V5136" s="16">
        <f>ROUNDUP((T5136+U5136+2*'Read Me'!$B$13)*(1+'Read Me'!$B$12),-1)</f>
        <v/>
      </c>
      <c r="W5136" s="16">
        <f>V5136*N5136*O5136</f>
        <v/>
      </c>
      <c r="X5136" s="12">
        <f>IF(LEFT(I5136,2)="MV",2*N5136*IF(L5136="1/C",O5136,1),0)</f>
        <v/>
      </c>
      <c r="Y5136" s="12">
        <f>IF(OR(LEFT(K5136,4)="LVAX",LEFT(K5136,6)="MV15AX",LEFT(K5136,4)="CTAX",LEFT(K5136,2)="W|"),2*N5136*O5136,0)</f>
        <v/>
      </c>
      <c r="Z5136" s="12" t="inlineStr">
        <is>
          <t>VD 1.4 %</t>
        </is>
      </c>
      <c r="AA5136" s="12">
        <f>N5136*O5136</f>
        <v/>
      </c>
    </row>
    <row r="5137">
      <c r="A5137" s="12" t="inlineStr">
        <is>
          <t>I-P-0087</t>
        </is>
      </c>
      <c r="B5137" s="12" t="inlineStr">
        <is>
          <t>I</t>
        </is>
      </c>
      <c r="C5137" s="12" t="inlineStr">
        <is>
          <t>Modular / portable power</t>
        </is>
      </c>
      <c r="D5137" s="12" t="inlineStr">
        <is>
          <t>Motor 5 of 5, 30 kW (VFD output)</t>
        </is>
      </c>
      <c r="E5137" s="12" t="inlineStr"/>
      <c r="F5137" s="12" t="inlineStr">
        <is>
          <t>PCM: power control module</t>
        </is>
      </c>
      <c r="G5137" s="12" t="inlineStr"/>
      <c r="H5137" s="12" t="inlineStr">
        <is>
          <t>RICE 8 radiators (5)</t>
        </is>
      </c>
      <c r="I5137" s="12" t="inlineStr">
        <is>
          <t>LV 600 V</t>
        </is>
      </c>
      <c r="J5137" s="12" t="inlineStr">
        <is>
          <t>VFD cable 600 V 3/C Cu XHHW-2, 3 symmetrical grounds, overall Cu tape shield, TC-ER</t>
        </is>
      </c>
      <c r="K5137" s="12" t="inlineStr">
        <is>
          <t>VFD|3/C+3G|6</t>
        </is>
      </c>
      <c r="L5137" s="12" t="inlineStr">
        <is>
          <t>3/C+3G</t>
        </is>
      </c>
      <c r="M5137" s="12" t="inlineStr">
        <is>
          <t>6</t>
        </is>
      </c>
      <c r="N5137" s="12" t="n">
        <v>1</v>
      </c>
      <c r="O5137" s="12" t="n">
        <v>1</v>
      </c>
      <c r="P5137" s="12" t="n">
        <v>480</v>
      </c>
      <c r="Q5137" s="12" t="n">
        <v>30</v>
      </c>
      <c r="R5137" s="12" t="n">
        <v>42</v>
      </c>
      <c r="S5137" s="12" t="inlineStr">
        <is>
          <t>Tray</t>
        </is>
      </c>
      <c r="T5137" s="16" t="n">
        <v>80</v>
      </c>
      <c r="U5137" s="16" t="n">
        <v>94</v>
      </c>
      <c r="V5137" s="16">
        <f>ROUNDUP((T5137+U5137+2*'Read Me'!$B$13)*(1+'Read Me'!$B$12),-1)</f>
        <v/>
      </c>
      <c r="W5137" s="16">
        <f>V5137*N5137*O5137</f>
        <v/>
      </c>
      <c r="X5137" s="12">
        <f>IF(LEFT(I5137,2)="MV",2*N5137*IF(L5137="1/C",O5137,1),0)</f>
        <v/>
      </c>
      <c r="Y5137" s="12">
        <f>IF(OR(LEFT(K5137,4)="LVAX",LEFT(K5137,6)="MV15AX",LEFT(K5137,4)="CTAX",LEFT(K5137,2)="W|"),2*N5137*O5137,0)</f>
        <v/>
      </c>
      <c r="Z5137" s="12" t="inlineStr">
        <is>
          <t>VD 1.4 %</t>
        </is>
      </c>
      <c r="AA5137" s="12">
        <f>N5137*O5137</f>
        <v/>
      </c>
    </row>
    <row r="5138">
      <c r="A5138" s="12" t="inlineStr">
        <is>
          <t>I-P-0088</t>
        </is>
      </c>
      <c r="B5138" s="12" t="inlineStr">
        <is>
          <t>I</t>
        </is>
      </c>
      <c r="C5138" s="12" t="inlineStr">
        <is>
          <t>Modular / portable power</t>
        </is>
      </c>
      <c r="D5138" s="12" t="inlineStr">
        <is>
          <t>LV panel / distribution feeder</t>
        </is>
      </c>
      <c r="E5138" s="12" t="inlineStr"/>
      <c r="F5138" s="12" t="inlineStr">
        <is>
          <t>PCM: power control module</t>
        </is>
      </c>
      <c r="G5138" s="12" t="inlineStr"/>
      <c r="H5138" s="12" t="inlineStr">
        <is>
          <t>RICE CEMS</t>
        </is>
      </c>
      <c r="I5138" s="12" t="inlineStr">
        <is>
          <t>LV 600 V</t>
        </is>
      </c>
      <c r="J5138" s="12" t="inlineStr">
        <is>
          <t>Type TC-ER 600 V 3/C Cu XHHW-2 + ground, PVC jacket</t>
        </is>
      </c>
      <c r="K5138" s="12" t="inlineStr">
        <is>
          <t>LV|3/C+G|4</t>
        </is>
      </c>
      <c r="L5138" s="12" t="inlineStr">
        <is>
          <t>3/C+G</t>
        </is>
      </c>
      <c r="M5138" s="12" t="inlineStr">
        <is>
          <t>4</t>
        </is>
      </c>
      <c r="N5138" s="12" t="n">
        <v>1</v>
      </c>
      <c r="O5138" s="12" t="n">
        <v>1</v>
      </c>
      <c r="P5138" s="12" t="n">
        <v>480</v>
      </c>
      <c r="Q5138" s="12" t="n">
        <v>30</v>
      </c>
      <c r="R5138" s="12" t="n">
        <v>42.5</v>
      </c>
      <c r="S5138" s="12" t="inlineStr">
        <is>
          <t>Duct bank</t>
        </is>
      </c>
      <c r="T5138" s="16" t="n">
        <v>260</v>
      </c>
      <c r="U5138" s="16" t="n">
        <v>131</v>
      </c>
      <c r="V5138" s="16">
        <f>ROUNDUP((T5138+U5138+2*'Read Me'!$B$13)*(1+'Read Me'!$B$12),-1)</f>
        <v/>
      </c>
      <c r="W5138" s="16">
        <f>V5138*N5138*O5138</f>
        <v/>
      </c>
      <c r="X5138" s="12">
        <f>IF(LEFT(I5138,2)="MV",2*N5138*IF(L5138="1/C",O5138,1),0)</f>
        <v/>
      </c>
      <c r="Y5138" s="12">
        <f>IF(OR(LEFT(K5138,4)="LVAX",LEFT(K5138,6)="MV15AX",LEFT(K5138,4)="CTAX",LEFT(K5138,2)="W|"),2*N5138*O5138,0)</f>
        <v/>
      </c>
      <c r="Z5138" s="12" t="inlineStr">
        <is>
          <t>VD 2.0 %</t>
        </is>
      </c>
      <c r="AA5138" s="12">
        <f>N5138*O5138</f>
        <v/>
      </c>
    </row>
    <row r="5139">
      <c r="A5139" s="12" t="inlineStr">
        <is>
          <t>I-P-0089</t>
        </is>
      </c>
      <c r="B5139" s="12" t="inlineStr">
        <is>
          <t>I</t>
        </is>
      </c>
      <c r="C5139" s="12" t="inlineStr">
        <is>
          <t>Modular / portable power</t>
        </is>
      </c>
      <c r="D5139" s="12" t="inlineStr">
        <is>
          <t>LV power feeder</t>
        </is>
      </c>
      <c r="E5139" s="12" t="inlineStr"/>
      <c r="F5139" s="12" t="inlineStr">
        <is>
          <t>PCM: power control module</t>
        </is>
      </c>
      <c r="G5139" s="12" t="inlineStr">
        <is>
          <t>RICE</t>
        </is>
      </c>
      <c r="H5139" s="12" t="inlineStr">
        <is>
          <t>RICE engine hall (8 engines)</t>
        </is>
      </c>
      <c r="I5139" s="12" t="inlineStr">
        <is>
          <t>LV 600 V</t>
        </is>
      </c>
      <c r="J5139" s="12" t="inlineStr">
        <is>
          <t>Type TC-ER 600 V 3/C Cu XHHW-2 + ground, PVC jacket</t>
        </is>
      </c>
      <c r="K5139" s="12" t="inlineStr">
        <is>
          <t>LV|3/C+G|8</t>
        </is>
      </c>
      <c r="L5139" s="12" t="inlineStr">
        <is>
          <t>3/C+G</t>
        </is>
      </c>
      <c r="M5139" s="12" t="inlineStr">
        <is>
          <t>8</t>
        </is>
      </c>
      <c r="N5139" s="12" t="n">
        <v>1</v>
      </c>
      <c r="O5139" s="12" t="n">
        <v>1</v>
      </c>
      <c r="P5139" s="12" t="n">
        <v>480</v>
      </c>
      <c r="Q5139" s="12" t="n">
        <v>15</v>
      </c>
      <c r="R5139" s="12" t="n">
        <v>21.2</v>
      </c>
      <c r="S5139" s="12" t="inlineStr">
        <is>
          <t>Duct bank</t>
        </is>
      </c>
      <c r="T5139" s="16" t="n">
        <v>367</v>
      </c>
      <c r="U5139" s="16" t="n">
        <v>95</v>
      </c>
      <c r="V5139" s="16">
        <f>ROUNDUP((T5139+U5139+2*'Read Me'!$B$13)*(1+'Read Me'!$B$12),-1)</f>
        <v/>
      </c>
      <c r="W5139" s="16">
        <f>V5139*N5139*O5139</f>
        <v/>
      </c>
      <c r="X5139" s="12">
        <f>IF(LEFT(I5139,2)="MV",2*N5139*IF(L5139="1/C",O5139,1),0)</f>
        <v/>
      </c>
      <c r="Y5139" s="12">
        <f>IF(OR(LEFT(K5139,4)="LVAX",LEFT(K5139,6)="MV15AX",LEFT(K5139,4)="CTAX",LEFT(K5139,2)="W|"),2*N5139*O5139,0)</f>
        <v/>
      </c>
      <c r="Z5139" s="12" t="inlineStr">
        <is>
          <t>VD 3.0 %</t>
        </is>
      </c>
      <c r="AA5139" s="12">
        <f>N5139*O5139</f>
        <v/>
      </c>
    </row>
    <row r="5140">
      <c r="A5140" s="12" t="inlineStr">
        <is>
          <t>I-P-0090</t>
        </is>
      </c>
      <c r="B5140" s="12" t="inlineStr">
        <is>
          <t>I</t>
        </is>
      </c>
      <c r="C5140" s="12" t="inlineStr">
        <is>
          <t>Modular / portable power</t>
        </is>
      </c>
      <c r="D5140" s="12" t="inlineStr">
        <is>
          <t>Motor 1 of 6, 22 kW</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LV|3/C+G|4</t>
        </is>
      </c>
      <c r="L5140" s="12" t="inlineStr">
        <is>
          <t>3/C+G</t>
        </is>
      </c>
      <c r="M5140" s="12" t="inlineStr">
        <is>
          <t>4</t>
        </is>
      </c>
      <c r="N5140" s="12" t="n">
        <v>1</v>
      </c>
      <c r="O5140" s="12" t="n">
        <v>1</v>
      </c>
      <c r="P5140" s="12" t="n">
        <v>480</v>
      </c>
      <c r="Q5140" s="12" t="n">
        <v>22</v>
      </c>
      <c r="R5140" s="12" t="n">
        <v>31.1</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2.6 %</t>
        </is>
      </c>
      <c r="AA5140" s="12">
        <f>N5140*O5140</f>
        <v/>
      </c>
    </row>
    <row r="5141">
      <c r="A5141" s="12" t="inlineStr">
        <is>
          <t>I-P-0091</t>
        </is>
      </c>
      <c r="B5141" s="12" t="inlineStr">
        <is>
          <t>I</t>
        </is>
      </c>
      <c r="C5141" s="12" t="inlineStr">
        <is>
          <t>Modular / portable power</t>
        </is>
      </c>
      <c r="D5141" s="12" t="inlineStr">
        <is>
          <t>Motor 2 of 6, 22 kW</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LV|3/C+G|4</t>
        </is>
      </c>
      <c r="L5141" s="12" t="inlineStr">
        <is>
          <t>3/C+G</t>
        </is>
      </c>
      <c r="M5141" s="12" t="inlineStr">
        <is>
          <t>4</t>
        </is>
      </c>
      <c r="N5141" s="12" t="n">
        <v>1</v>
      </c>
      <c r="O5141" s="12" t="n">
        <v>1</v>
      </c>
      <c r="P5141" s="12" t="n">
        <v>480</v>
      </c>
      <c r="Q5141" s="12" t="n">
        <v>22</v>
      </c>
      <c r="R5141" s="12" t="n">
        <v>31.1</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2.6 %</t>
        </is>
      </c>
      <c r="AA5141" s="12">
        <f>N5141*O5141</f>
        <v/>
      </c>
    </row>
    <row r="5142">
      <c r="A5142" s="12" t="inlineStr">
        <is>
          <t>I-P-0092</t>
        </is>
      </c>
      <c r="B5142" s="12" t="inlineStr">
        <is>
          <t>I</t>
        </is>
      </c>
      <c r="C5142" s="12" t="inlineStr">
        <is>
          <t>Modular / portable power</t>
        </is>
      </c>
      <c r="D5142" s="12" t="inlineStr">
        <is>
          <t>Motor 3 of 6, 22 kW</t>
        </is>
      </c>
      <c r="E5142" s="12" t="inlineStr"/>
      <c r="F5142" s="12" t="inlineStr">
        <is>
          <t>PCM: power control module</t>
        </is>
      </c>
      <c r="G5142" s="12" t="inlineStr">
        <is>
          <t>RICE-1</t>
        </is>
      </c>
      <c r="H5142" s="12" t="inlineStr">
        <is>
          <t>RICE engine-generator 1</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137</v>
      </c>
      <c r="V5142" s="16">
        <f>ROUNDUP((T5142+U5142+2*'Read Me'!$B$13)*(1+'Read Me'!$B$12),-1)</f>
        <v/>
      </c>
      <c r="W5142" s="16">
        <f>V5142*N5142*O5142</f>
        <v/>
      </c>
      <c r="X5142" s="12">
        <f>IF(LEFT(I5142,2)="MV",2*N5142*IF(L5142="1/C",O5142,1),0)</f>
        <v/>
      </c>
      <c r="Y5142" s="12">
        <f>IF(OR(LEFT(K5142,4)="LVAX",LEFT(K5142,6)="MV15AX",LEFT(K5142,4)="CTAX",LEFT(K5142,2)="W|"),2*N5142*O5142,0)</f>
        <v/>
      </c>
      <c r="Z5142" s="12" t="inlineStr">
        <is>
          <t>VD 2.6 %</t>
        </is>
      </c>
      <c r="AA5142" s="12">
        <f>N5142*O5142</f>
        <v/>
      </c>
    </row>
    <row r="5143">
      <c r="A5143" s="12" t="inlineStr">
        <is>
          <t>I-P-0093</t>
        </is>
      </c>
      <c r="B5143" s="12" t="inlineStr">
        <is>
          <t>I</t>
        </is>
      </c>
      <c r="C5143" s="12" t="inlineStr">
        <is>
          <t>Modular / portable power</t>
        </is>
      </c>
      <c r="D5143" s="12" t="inlineStr">
        <is>
          <t>Motor 4 of 6, 22 kW</t>
        </is>
      </c>
      <c r="E5143" s="12" t="inlineStr"/>
      <c r="F5143" s="12" t="inlineStr">
        <is>
          <t>PCM: power control module</t>
        </is>
      </c>
      <c r="G5143" s="12" t="inlineStr">
        <is>
          <t>RICE-1</t>
        </is>
      </c>
      <c r="H5143" s="12" t="inlineStr">
        <is>
          <t>RICE engine-generator 1</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137</v>
      </c>
      <c r="V5143" s="16">
        <f>ROUNDUP((T5143+U5143+2*'Read Me'!$B$13)*(1+'Read Me'!$B$12),-1)</f>
        <v/>
      </c>
      <c r="W5143" s="16">
        <f>V5143*N5143*O5143</f>
        <v/>
      </c>
      <c r="X5143" s="12">
        <f>IF(LEFT(I5143,2)="MV",2*N5143*IF(L5143="1/C",O5143,1),0)</f>
        <v/>
      </c>
      <c r="Y5143" s="12">
        <f>IF(OR(LEFT(K5143,4)="LVAX",LEFT(K5143,6)="MV15AX",LEFT(K5143,4)="CTAX",LEFT(K5143,2)="W|"),2*N5143*O5143,0)</f>
        <v/>
      </c>
      <c r="Z5143" s="12" t="inlineStr">
        <is>
          <t>VD 2.6 %</t>
        </is>
      </c>
      <c r="AA5143" s="12">
        <f>N5143*O5143</f>
        <v/>
      </c>
    </row>
    <row r="5144">
      <c r="A5144" s="12" t="inlineStr">
        <is>
          <t>I-P-0094</t>
        </is>
      </c>
      <c r="B5144" s="12" t="inlineStr">
        <is>
          <t>I</t>
        </is>
      </c>
      <c r="C5144" s="12" t="inlineStr">
        <is>
          <t>Modular / portable power</t>
        </is>
      </c>
      <c r="D5144" s="12" t="inlineStr">
        <is>
          <t>Motor 5 of 6, 22 kW</t>
        </is>
      </c>
      <c r="E5144" s="12" t="inlineStr"/>
      <c r="F5144" s="12" t="inlineStr">
        <is>
          <t>PCM: power control module</t>
        </is>
      </c>
      <c r="G5144" s="12" t="inlineStr">
        <is>
          <t>RICE-1</t>
        </is>
      </c>
      <c r="H5144" s="12" t="inlineStr">
        <is>
          <t>RICE engine-generator 1</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137</v>
      </c>
      <c r="V5144" s="16">
        <f>ROUNDUP((T5144+U5144+2*'Read Me'!$B$13)*(1+'Read Me'!$B$12),-1)</f>
        <v/>
      </c>
      <c r="W5144" s="16">
        <f>V5144*N5144*O5144</f>
        <v/>
      </c>
      <c r="X5144" s="12">
        <f>IF(LEFT(I5144,2)="MV",2*N5144*IF(L5144="1/C",O5144,1),0)</f>
        <v/>
      </c>
      <c r="Y5144" s="12">
        <f>IF(OR(LEFT(K5144,4)="LVAX",LEFT(K5144,6)="MV15AX",LEFT(K5144,4)="CTAX",LEFT(K5144,2)="W|"),2*N5144*O5144,0)</f>
        <v/>
      </c>
      <c r="Z5144" s="12" t="inlineStr">
        <is>
          <t>VD 2.6 %</t>
        </is>
      </c>
      <c r="AA5144" s="12">
        <f>N5144*O5144</f>
        <v/>
      </c>
    </row>
    <row r="5145">
      <c r="A5145" s="12" t="inlineStr">
        <is>
          <t>I-P-0095</t>
        </is>
      </c>
      <c r="B5145" s="12" t="inlineStr">
        <is>
          <t>I</t>
        </is>
      </c>
      <c r="C5145" s="12" t="inlineStr">
        <is>
          <t>Modular / portable power</t>
        </is>
      </c>
      <c r="D5145" s="12" t="inlineStr">
        <is>
          <t>Motor 6 of 6, 22 kW</t>
        </is>
      </c>
      <c r="E5145" s="12" t="inlineStr"/>
      <c r="F5145" s="12" t="inlineStr">
        <is>
          <t>PCM: power control module</t>
        </is>
      </c>
      <c r="G5145" s="12" t="inlineStr">
        <is>
          <t>RICE-1</t>
        </is>
      </c>
      <c r="H5145" s="12" t="inlineStr">
        <is>
          <t>RICE engine-generator 1</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137</v>
      </c>
      <c r="V5145" s="16">
        <f>ROUNDUP((T5145+U5145+2*'Read Me'!$B$13)*(1+'Read Me'!$B$12),-1)</f>
        <v/>
      </c>
      <c r="W5145" s="16">
        <f>V5145*N5145*O5145</f>
        <v/>
      </c>
      <c r="X5145" s="12">
        <f>IF(LEFT(I5145,2)="MV",2*N5145*IF(L5145="1/C",O5145,1),0)</f>
        <v/>
      </c>
      <c r="Y5145" s="12">
        <f>IF(OR(LEFT(K5145,4)="LVAX",LEFT(K5145,6)="MV15AX",LEFT(K5145,4)="CTAX",LEFT(K5145,2)="W|"),2*N5145*O5145,0)</f>
        <v/>
      </c>
      <c r="Z5145" s="12" t="inlineStr">
        <is>
          <t>VD 2.6 %</t>
        </is>
      </c>
      <c r="AA5145" s="12">
        <f>N5145*O5145</f>
        <v/>
      </c>
    </row>
    <row r="5146">
      <c r="A5146" s="12" t="inlineStr">
        <is>
          <t>I-P-0096</t>
        </is>
      </c>
      <c r="B5146" s="12" t="inlineStr">
        <is>
          <t>I</t>
        </is>
      </c>
      <c r="C5146" s="12" t="inlineStr">
        <is>
          <t>Modular / portable power</t>
        </is>
      </c>
      <c r="D5146" s="12" t="inlineStr">
        <is>
          <t>480 V welding receptacle 1</t>
        </is>
      </c>
      <c r="E5146" s="12" t="inlineStr"/>
      <c r="F5146" s="12" t="inlineStr">
        <is>
          <t>PCM: power control module</t>
        </is>
      </c>
      <c r="G5146" s="12" t="inlineStr">
        <is>
          <t>RICE-1</t>
        </is>
      </c>
      <c r="H5146" s="12" t="inlineStr">
        <is>
          <t>RICE engine-generator 1</t>
        </is>
      </c>
      <c r="I5146" s="12" t="inlineStr">
        <is>
          <t>LV 600 V</t>
        </is>
      </c>
      <c r="J5146" s="12" t="inlineStr">
        <is>
          <t>Type TC-ER 600 V 3/C Cu XHHW-2 + ground, PVC jacket</t>
        </is>
      </c>
      <c r="K5146" s="12" t="inlineStr">
        <is>
          <t>LV|3/C+G|1/0</t>
        </is>
      </c>
      <c r="L5146" s="12" t="inlineStr">
        <is>
          <t>3/C+G</t>
        </is>
      </c>
      <c r="M5146" s="12" t="inlineStr">
        <is>
          <t>1/0</t>
        </is>
      </c>
      <c r="N5146" s="12" t="n">
        <v>1</v>
      </c>
      <c r="O5146" s="12" t="n">
        <v>1</v>
      </c>
      <c r="P5146" s="12" t="n">
        <v>480</v>
      </c>
      <c r="Q5146" s="12" t="n">
        <v>60</v>
      </c>
      <c r="R5146" s="12" t="n">
        <v>76</v>
      </c>
      <c r="S5146" s="12" t="inlineStr">
        <is>
          <t>Duct bank</t>
        </is>
      </c>
      <c r="T5146" s="16" t="n">
        <v>550</v>
      </c>
      <c r="U5146" s="16" t="n">
        <v>137</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I-P-0097</t>
        </is>
      </c>
      <c r="B5147" s="12" t="inlineStr">
        <is>
          <t>I</t>
        </is>
      </c>
      <c r="C5147" s="12" t="inlineStr">
        <is>
          <t>Modular / portable power</t>
        </is>
      </c>
      <c r="D5147" s="12" t="inlineStr">
        <is>
          <t>480 V welding receptacle 2</t>
        </is>
      </c>
      <c r="E5147" s="12" t="inlineStr"/>
      <c r="F5147" s="12" t="inlineStr">
        <is>
          <t>PCM: power control module</t>
        </is>
      </c>
      <c r="G5147" s="12" t="inlineStr">
        <is>
          <t>RICE-1</t>
        </is>
      </c>
      <c r="H5147" s="12" t="inlineStr">
        <is>
          <t>RICE engine-generator 1</t>
        </is>
      </c>
      <c r="I5147" s="12" t="inlineStr">
        <is>
          <t>LV 600 V</t>
        </is>
      </c>
      <c r="J5147" s="12" t="inlineStr">
        <is>
          <t>Type TC-ER 600 V 3/C Cu XHHW-2 + ground, PVC jacket</t>
        </is>
      </c>
      <c r="K5147" s="12" t="inlineStr">
        <is>
          <t>LV|3/C+G|1/0</t>
        </is>
      </c>
      <c r="L5147" s="12" t="inlineStr">
        <is>
          <t>3/C+G</t>
        </is>
      </c>
      <c r="M5147" s="12" t="inlineStr">
        <is>
          <t>1/0</t>
        </is>
      </c>
      <c r="N5147" s="12" t="n">
        <v>1</v>
      </c>
      <c r="O5147" s="12" t="n">
        <v>1</v>
      </c>
      <c r="P5147" s="12" t="n">
        <v>480</v>
      </c>
      <c r="Q5147" s="12" t="n">
        <v>60</v>
      </c>
      <c r="R5147" s="12" t="n">
        <v>76</v>
      </c>
      <c r="S5147" s="12" t="inlineStr">
        <is>
          <t>Duct bank</t>
        </is>
      </c>
      <c r="T5147" s="16" t="n">
        <v>550</v>
      </c>
      <c r="U5147" s="16" t="n">
        <v>137</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I-P-0098</t>
        </is>
      </c>
      <c r="B5148" s="12" t="inlineStr">
        <is>
          <t>I</t>
        </is>
      </c>
      <c r="C5148" s="12" t="inlineStr">
        <is>
          <t>Modular / portable power</t>
        </is>
      </c>
      <c r="D5148" s="12" t="inlineStr">
        <is>
          <t>480 V welding receptacle 3</t>
        </is>
      </c>
      <c r="E5148" s="12" t="inlineStr"/>
      <c r="F5148" s="12" t="inlineStr">
        <is>
          <t>PCM: power control module</t>
        </is>
      </c>
      <c r="G5148" s="12" t="inlineStr">
        <is>
          <t>RICE-1</t>
        </is>
      </c>
      <c r="H5148" s="12" t="inlineStr">
        <is>
          <t>RICE engine-generator 1</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137</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I-P-0099</t>
        </is>
      </c>
      <c r="B5149" s="12" t="inlineStr">
        <is>
          <t>I</t>
        </is>
      </c>
      <c r="C5149" s="12" t="inlineStr">
        <is>
          <t>Modular / portable power</t>
        </is>
      </c>
      <c r="D5149" s="12" t="inlineStr">
        <is>
          <t>480 V welding receptacle 4</t>
        </is>
      </c>
      <c r="E5149" s="12" t="inlineStr"/>
      <c r="F5149" s="12" t="inlineStr">
        <is>
          <t>PCM: power control module</t>
        </is>
      </c>
      <c r="G5149" s="12" t="inlineStr">
        <is>
          <t>RICE-1</t>
        </is>
      </c>
      <c r="H5149" s="12" t="inlineStr">
        <is>
          <t>RICE engine-generator 1</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137</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I-P-0100</t>
        </is>
      </c>
      <c r="B5150" s="12" t="inlineStr">
        <is>
          <t>I</t>
        </is>
      </c>
      <c r="C5150" s="12" t="inlineStr">
        <is>
          <t>Modular / portable power</t>
        </is>
      </c>
      <c r="D5150" s="12" t="inlineStr">
        <is>
          <t>Motor 1 of 6, 22 kW</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LV|3/C+G|4</t>
        </is>
      </c>
      <c r="L5150" s="12" t="inlineStr">
        <is>
          <t>3/C+G</t>
        </is>
      </c>
      <c r="M5150" s="12" t="inlineStr">
        <is>
          <t>4</t>
        </is>
      </c>
      <c r="N5150" s="12" t="n">
        <v>1</v>
      </c>
      <c r="O5150" s="12" t="n">
        <v>1</v>
      </c>
      <c r="P5150" s="12" t="n">
        <v>480</v>
      </c>
      <c r="Q5150" s="12" t="n">
        <v>22</v>
      </c>
      <c r="R5150" s="12" t="n">
        <v>31.1</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2.5 %</t>
        </is>
      </c>
      <c r="AA5150" s="12">
        <f>N5150*O5150</f>
        <v/>
      </c>
    </row>
    <row r="5151">
      <c r="A5151" s="12" t="inlineStr">
        <is>
          <t>I-P-0101</t>
        </is>
      </c>
      <c r="B5151" s="12" t="inlineStr">
        <is>
          <t>I</t>
        </is>
      </c>
      <c r="C5151" s="12" t="inlineStr">
        <is>
          <t>Modular / portable power</t>
        </is>
      </c>
      <c r="D5151" s="12" t="inlineStr">
        <is>
          <t>Motor 2 of 6, 22 kW</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LV|3/C+G|4</t>
        </is>
      </c>
      <c r="L5151" s="12" t="inlineStr">
        <is>
          <t>3/C+G</t>
        </is>
      </c>
      <c r="M5151" s="12" t="inlineStr">
        <is>
          <t>4</t>
        </is>
      </c>
      <c r="N5151" s="12" t="n">
        <v>1</v>
      </c>
      <c r="O5151" s="12" t="n">
        <v>1</v>
      </c>
      <c r="P5151" s="12" t="n">
        <v>480</v>
      </c>
      <c r="Q5151" s="12" t="n">
        <v>22</v>
      </c>
      <c r="R5151" s="12" t="n">
        <v>31.1</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2.5 %</t>
        </is>
      </c>
      <c r="AA5151" s="12">
        <f>N5151*O5151</f>
        <v/>
      </c>
    </row>
    <row r="5152">
      <c r="A5152" s="12" t="inlineStr">
        <is>
          <t>I-P-0102</t>
        </is>
      </c>
      <c r="B5152" s="12" t="inlineStr">
        <is>
          <t>I</t>
        </is>
      </c>
      <c r="C5152" s="12" t="inlineStr">
        <is>
          <t>Modular / portable power</t>
        </is>
      </c>
      <c r="D5152" s="12" t="inlineStr">
        <is>
          <t>Motor 3 of 6, 22 kW</t>
        </is>
      </c>
      <c r="E5152" s="12" t="inlineStr"/>
      <c r="F5152" s="12" t="inlineStr">
        <is>
          <t>PCM: power control module</t>
        </is>
      </c>
      <c r="G5152" s="12" t="inlineStr">
        <is>
          <t>RICE-2</t>
        </is>
      </c>
      <c r="H5152" s="12" t="inlineStr">
        <is>
          <t>RICE engine-generator 2</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109</v>
      </c>
      <c r="V5152" s="16">
        <f>ROUNDUP((T5152+U5152+2*'Read Me'!$B$13)*(1+'Read Me'!$B$12),-1)</f>
        <v/>
      </c>
      <c r="W5152" s="16">
        <f>V5152*N5152*O5152</f>
        <v/>
      </c>
      <c r="X5152" s="12">
        <f>IF(LEFT(I5152,2)="MV",2*N5152*IF(L5152="1/C",O5152,1),0)</f>
        <v/>
      </c>
      <c r="Y5152" s="12">
        <f>IF(OR(LEFT(K5152,4)="LVAX",LEFT(K5152,6)="MV15AX",LEFT(K5152,4)="CTAX",LEFT(K5152,2)="W|"),2*N5152*O5152,0)</f>
        <v/>
      </c>
      <c r="Z5152" s="12" t="inlineStr">
        <is>
          <t>VD 2.5 %</t>
        </is>
      </c>
      <c r="AA5152" s="12">
        <f>N5152*O5152</f>
        <v/>
      </c>
    </row>
    <row r="5153">
      <c r="A5153" s="12" t="inlineStr">
        <is>
          <t>I-P-0103</t>
        </is>
      </c>
      <c r="B5153" s="12" t="inlineStr">
        <is>
          <t>I</t>
        </is>
      </c>
      <c r="C5153" s="12" t="inlineStr">
        <is>
          <t>Modular / portable power</t>
        </is>
      </c>
      <c r="D5153" s="12" t="inlineStr">
        <is>
          <t>Motor 4 of 6, 22 kW</t>
        </is>
      </c>
      <c r="E5153" s="12" t="inlineStr"/>
      <c r="F5153" s="12" t="inlineStr">
        <is>
          <t>PCM: power control module</t>
        </is>
      </c>
      <c r="G5153" s="12" t="inlineStr">
        <is>
          <t>RICE-2</t>
        </is>
      </c>
      <c r="H5153" s="12" t="inlineStr">
        <is>
          <t>RICE engine-generator 2</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109</v>
      </c>
      <c r="V5153" s="16">
        <f>ROUNDUP((T5153+U5153+2*'Read Me'!$B$13)*(1+'Read Me'!$B$12),-1)</f>
        <v/>
      </c>
      <c r="W5153" s="16">
        <f>V5153*N5153*O5153</f>
        <v/>
      </c>
      <c r="X5153" s="12">
        <f>IF(LEFT(I5153,2)="MV",2*N5153*IF(L5153="1/C",O5153,1),0)</f>
        <v/>
      </c>
      <c r="Y5153" s="12">
        <f>IF(OR(LEFT(K5153,4)="LVAX",LEFT(K5153,6)="MV15AX",LEFT(K5153,4)="CTAX",LEFT(K5153,2)="W|"),2*N5153*O5153,0)</f>
        <v/>
      </c>
      <c r="Z5153" s="12" t="inlineStr">
        <is>
          <t>VD 2.5 %</t>
        </is>
      </c>
      <c r="AA5153" s="12">
        <f>N5153*O5153</f>
        <v/>
      </c>
    </row>
    <row r="5154">
      <c r="A5154" s="12" t="inlineStr">
        <is>
          <t>I-P-0104</t>
        </is>
      </c>
      <c r="B5154" s="12" t="inlineStr">
        <is>
          <t>I</t>
        </is>
      </c>
      <c r="C5154" s="12" t="inlineStr">
        <is>
          <t>Modular / portable power</t>
        </is>
      </c>
      <c r="D5154" s="12" t="inlineStr">
        <is>
          <t>Motor 5 of 6, 22 kW</t>
        </is>
      </c>
      <c r="E5154" s="12" t="inlineStr"/>
      <c r="F5154" s="12" t="inlineStr">
        <is>
          <t>PCM: power control module</t>
        </is>
      </c>
      <c r="G5154" s="12" t="inlineStr">
        <is>
          <t>RICE-2</t>
        </is>
      </c>
      <c r="H5154" s="12" t="inlineStr">
        <is>
          <t>RICE engine-generator 2</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109</v>
      </c>
      <c r="V5154" s="16">
        <f>ROUNDUP((T5154+U5154+2*'Read Me'!$B$13)*(1+'Read Me'!$B$12),-1)</f>
        <v/>
      </c>
      <c r="W5154" s="16">
        <f>V5154*N5154*O5154</f>
        <v/>
      </c>
      <c r="X5154" s="12">
        <f>IF(LEFT(I5154,2)="MV",2*N5154*IF(L5154="1/C",O5154,1),0)</f>
        <v/>
      </c>
      <c r="Y5154" s="12">
        <f>IF(OR(LEFT(K5154,4)="LVAX",LEFT(K5154,6)="MV15AX",LEFT(K5154,4)="CTAX",LEFT(K5154,2)="W|"),2*N5154*O5154,0)</f>
        <v/>
      </c>
      <c r="Z5154" s="12" t="inlineStr">
        <is>
          <t>VD 2.5 %</t>
        </is>
      </c>
      <c r="AA5154" s="12">
        <f>N5154*O5154</f>
        <v/>
      </c>
    </row>
    <row r="5155">
      <c r="A5155" s="12" t="inlineStr">
        <is>
          <t>I-P-0105</t>
        </is>
      </c>
      <c r="B5155" s="12" t="inlineStr">
        <is>
          <t>I</t>
        </is>
      </c>
      <c r="C5155" s="12" t="inlineStr">
        <is>
          <t>Modular / portable power</t>
        </is>
      </c>
      <c r="D5155" s="12" t="inlineStr">
        <is>
          <t>Motor 6 of 6, 22 kW</t>
        </is>
      </c>
      <c r="E5155" s="12" t="inlineStr"/>
      <c r="F5155" s="12" t="inlineStr">
        <is>
          <t>PCM: power control module</t>
        </is>
      </c>
      <c r="G5155" s="12" t="inlineStr">
        <is>
          <t>RICE-2</t>
        </is>
      </c>
      <c r="H5155" s="12" t="inlineStr">
        <is>
          <t>RICE engine-generator 2</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109</v>
      </c>
      <c r="V5155" s="16">
        <f>ROUNDUP((T5155+U5155+2*'Read Me'!$B$13)*(1+'Read Me'!$B$12),-1)</f>
        <v/>
      </c>
      <c r="W5155" s="16">
        <f>V5155*N5155*O5155</f>
        <v/>
      </c>
      <c r="X5155" s="12">
        <f>IF(LEFT(I5155,2)="MV",2*N5155*IF(L5155="1/C",O5155,1),0)</f>
        <v/>
      </c>
      <c r="Y5155" s="12">
        <f>IF(OR(LEFT(K5155,4)="LVAX",LEFT(K5155,6)="MV15AX",LEFT(K5155,4)="CTAX",LEFT(K5155,2)="W|"),2*N5155*O5155,0)</f>
        <v/>
      </c>
      <c r="Z5155" s="12" t="inlineStr">
        <is>
          <t>VD 2.5 %</t>
        </is>
      </c>
      <c r="AA5155" s="12">
        <f>N5155*O5155</f>
        <v/>
      </c>
    </row>
    <row r="5156">
      <c r="A5156" s="12" t="inlineStr">
        <is>
          <t>I-P-0106</t>
        </is>
      </c>
      <c r="B5156" s="12" t="inlineStr">
        <is>
          <t>I</t>
        </is>
      </c>
      <c r="C5156" s="12" t="inlineStr">
        <is>
          <t>Modular / portable power</t>
        </is>
      </c>
      <c r="D5156" s="12" t="inlineStr">
        <is>
          <t>480 V welding receptacle 1</t>
        </is>
      </c>
      <c r="E5156" s="12" t="inlineStr"/>
      <c r="F5156" s="12" t="inlineStr">
        <is>
          <t>PCM: power control module</t>
        </is>
      </c>
      <c r="G5156" s="12" t="inlineStr">
        <is>
          <t>RICE-2</t>
        </is>
      </c>
      <c r="H5156" s="12" t="inlineStr">
        <is>
          <t>RICE engine-generator 2</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60</v>
      </c>
      <c r="R5156" s="12" t="n">
        <v>76</v>
      </c>
      <c r="S5156" s="12" t="inlineStr">
        <is>
          <t>Duct bank</t>
        </is>
      </c>
      <c r="T5156" s="16" t="n">
        <v>550</v>
      </c>
      <c r="U5156" s="16" t="n">
        <v>109</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I-P-0107</t>
        </is>
      </c>
      <c r="B5157" s="12" t="inlineStr">
        <is>
          <t>I</t>
        </is>
      </c>
      <c r="C5157" s="12" t="inlineStr">
        <is>
          <t>Modular / portable power</t>
        </is>
      </c>
      <c r="D5157" s="12" t="inlineStr">
        <is>
          <t>480 V welding receptacle 2</t>
        </is>
      </c>
      <c r="E5157" s="12" t="inlineStr"/>
      <c r="F5157" s="12" t="inlineStr">
        <is>
          <t>PCM: power control module</t>
        </is>
      </c>
      <c r="G5157" s="12" t="inlineStr">
        <is>
          <t>RICE-2</t>
        </is>
      </c>
      <c r="H5157" s="12" t="inlineStr">
        <is>
          <t>RICE engine-generator 2</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60</v>
      </c>
      <c r="R5157" s="12" t="n">
        <v>76</v>
      </c>
      <c r="S5157" s="12" t="inlineStr">
        <is>
          <t>Duct bank</t>
        </is>
      </c>
      <c r="T5157" s="16" t="n">
        <v>550</v>
      </c>
      <c r="U5157" s="16" t="n">
        <v>109</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I-P-0108</t>
        </is>
      </c>
      <c r="B5158" s="12" t="inlineStr">
        <is>
          <t>I</t>
        </is>
      </c>
      <c r="C5158" s="12" t="inlineStr">
        <is>
          <t>Modular / portable power</t>
        </is>
      </c>
      <c r="D5158" s="12" t="inlineStr">
        <is>
          <t>480 V welding receptacle 3</t>
        </is>
      </c>
      <c r="E5158" s="12" t="inlineStr"/>
      <c r="F5158" s="12" t="inlineStr">
        <is>
          <t>PCM: power control module</t>
        </is>
      </c>
      <c r="G5158" s="12" t="inlineStr">
        <is>
          <t>RICE-2</t>
        </is>
      </c>
      <c r="H5158" s="12" t="inlineStr">
        <is>
          <t>RICE engine-generator 2</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60</v>
      </c>
      <c r="R5158" s="12" t="n">
        <v>76</v>
      </c>
      <c r="S5158" s="12" t="inlineStr">
        <is>
          <t>Duct bank</t>
        </is>
      </c>
      <c r="T5158" s="16" t="n">
        <v>550</v>
      </c>
      <c r="U5158" s="16" t="n">
        <v>109</v>
      </c>
      <c r="V5158" s="16">
        <f>ROUNDUP((T5158+U5158+2*'Read Me'!$B$13)*(1+'Read Me'!$B$12),-1)</f>
        <v/>
      </c>
      <c r="W5158" s="16">
        <f>V5158*N5158*O5158</f>
        <v/>
      </c>
      <c r="X5158" s="12">
        <f>IF(LEFT(I5158,2)="MV",2*N5158*IF(L5158="1/C",O5158,1),0)</f>
        <v/>
      </c>
      <c r="Y5158" s="12">
        <f>IF(OR(LEFT(K5158,4)="LVAX",LEFT(K5158,6)="MV15AX",LEFT(K5158,4)="CTAX",LEFT(K5158,2)="W|"),2*N5158*O5158,0)</f>
        <v/>
      </c>
      <c r="Z5158" s="12" t="inlineStr">
        <is>
          <t>VD 2.4 %</t>
        </is>
      </c>
      <c r="AA5158" s="12">
        <f>N5158*O5158</f>
        <v/>
      </c>
    </row>
    <row r="5159">
      <c r="A5159" s="12" t="inlineStr">
        <is>
          <t>I-P-0109</t>
        </is>
      </c>
      <c r="B5159" s="12" t="inlineStr">
        <is>
          <t>I</t>
        </is>
      </c>
      <c r="C5159" s="12" t="inlineStr">
        <is>
          <t>Modular / portable power</t>
        </is>
      </c>
      <c r="D5159" s="12" t="inlineStr">
        <is>
          <t>480 V welding receptacle 4</t>
        </is>
      </c>
      <c r="E5159" s="12" t="inlineStr"/>
      <c r="F5159" s="12" t="inlineStr">
        <is>
          <t>PCM: power control module</t>
        </is>
      </c>
      <c r="G5159" s="12" t="inlineStr">
        <is>
          <t>RICE-2</t>
        </is>
      </c>
      <c r="H5159" s="12" t="inlineStr">
        <is>
          <t>RICE engine-generator 2</t>
        </is>
      </c>
      <c r="I5159" s="12" t="inlineStr">
        <is>
          <t>LV 600 V</t>
        </is>
      </c>
      <c r="J5159" s="12" t="inlineStr">
        <is>
          <t>Type TC-ER 600 V 3/C Cu XHHW-2 + ground, PVC jacket</t>
        </is>
      </c>
      <c r="K5159" s="12" t="inlineStr">
        <is>
          <t>LV|3/C+G|1/0</t>
        </is>
      </c>
      <c r="L5159" s="12" t="inlineStr">
        <is>
          <t>3/C+G</t>
        </is>
      </c>
      <c r="M5159" s="12" t="inlineStr">
        <is>
          <t>1/0</t>
        </is>
      </c>
      <c r="N5159" s="12" t="n">
        <v>1</v>
      </c>
      <c r="O5159" s="12" t="n">
        <v>1</v>
      </c>
      <c r="P5159" s="12" t="n">
        <v>480</v>
      </c>
      <c r="Q5159" s="12" t="n">
        <v>60</v>
      </c>
      <c r="R5159" s="12" t="n">
        <v>76</v>
      </c>
      <c r="S5159" s="12" t="inlineStr">
        <is>
          <t>Duct bank</t>
        </is>
      </c>
      <c r="T5159" s="16" t="n">
        <v>550</v>
      </c>
      <c r="U5159" s="16" t="n">
        <v>109</v>
      </c>
      <c r="V5159" s="16">
        <f>ROUNDUP((T5159+U5159+2*'Read Me'!$B$13)*(1+'Read Me'!$B$12),-1)</f>
        <v/>
      </c>
      <c r="W5159" s="16">
        <f>V5159*N5159*O5159</f>
        <v/>
      </c>
      <c r="X5159" s="12">
        <f>IF(LEFT(I5159,2)="MV",2*N5159*IF(L5159="1/C",O5159,1),0)</f>
        <v/>
      </c>
      <c r="Y5159" s="12">
        <f>IF(OR(LEFT(K5159,4)="LVAX",LEFT(K5159,6)="MV15AX",LEFT(K5159,4)="CTAX",LEFT(K5159,2)="W|"),2*N5159*O5159,0)</f>
        <v/>
      </c>
      <c r="Z5159" s="12" t="inlineStr">
        <is>
          <t>VD 2.4 %</t>
        </is>
      </c>
      <c r="AA5159" s="12">
        <f>N5159*O5159</f>
        <v/>
      </c>
    </row>
    <row r="5160">
      <c r="A5160" s="12" t="inlineStr">
        <is>
          <t>I-P-0110</t>
        </is>
      </c>
      <c r="B5160" s="12" t="inlineStr">
        <is>
          <t>I</t>
        </is>
      </c>
      <c r="C5160" s="12" t="inlineStr">
        <is>
          <t>Modular / portable power</t>
        </is>
      </c>
      <c r="D5160" s="12" t="inlineStr">
        <is>
          <t>Motor 1 of 6, 22 kW</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LV|3/C+G|4</t>
        </is>
      </c>
      <c r="L5160" s="12" t="inlineStr">
        <is>
          <t>3/C+G</t>
        </is>
      </c>
      <c r="M5160" s="12" t="inlineStr">
        <is>
          <t>4</t>
        </is>
      </c>
      <c r="N5160" s="12" t="n">
        <v>1</v>
      </c>
      <c r="O5160" s="12" t="n">
        <v>1</v>
      </c>
      <c r="P5160" s="12" t="n">
        <v>480</v>
      </c>
      <c r="Q5160" s="12" t="n">
        <v>22</v>
      </c>
      <c r="R5160" s="12" t="n">
        <v>31.1</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2.4 %</t>
        </is>
      </c>
      <c r="AA5160" s="12">
        <f>N5160*O5160</f>
        <v/>
      </c>
    </row>
    <row r="5161">
      <c r="A5161" s="12" t="inlineStr">
        <is>
          <t>I-P-0111</t>
        </is>
      </c>
      <c r="B5161" s="12" t="inlineStr">
        <is>
          <t>I</t>
        </is>
      </c>
      <c r="C5161" s="12" t="inlineStr">
        <is>
          <t>Modular / portable power</t>
        </is>
      </c>
      <c r="D5161" s="12" t="inlineStr">
        <is>
          <t>Motor 2 of 6, 22 kW</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LV|3/C+G|4</t>
        </is>
      </c>
      <c r="L5161" s="12" t="inlineStr">
        <is>
          <t>3/C+G</t>
        </is>
      </c>
      <c r="M5161" s="12" t="inlineStr">
        <is>
          <t>4</t>
        </is>
      </c>
      <c r="N5161" s="12" t="n">
        <v>1</v>
      </c>
      <c r="O5161" s="12" t="n">
        <v>1</v>
      </c>
      <c r="P5161" s="12" t="n">
        <v>480</v>
      </c>
      <c r="Q5161" s="12" t="n">
        <v>22</v>
      </c>
      <c r="R5161" s="12" t="n">
        <v>31.1</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2.4 %</t>
        </is>
      </c>
      <c r="AA5161" s="12">
        <f>N5161*O5161</f>
        <v/>
      </c>
    </row>
    <row r="5162">
      <c r="A5162" s="12" t="inlineStr">
        <is>
          <t>I-P-0112</t>
        </is>
      </c>
      <c r="B5162" s="12" t="inlineStr">
        <is>
          <t>I</t>
        </is>
      </c>
      <c r="C5162" s="12" t="inlineStr">
        <is>
          <t>Modular / portable power</t>
        </is>
      </c>
      <c r="D5162" s="12" t="inlineStr">
        <is>
          <t>Motor 3 of 6, 22 kW</t>
        </is>
      </c>
      <c r="E5162" s="12" t="inlineStr"/>
      <c r="F5162" s="12" t="inlineStr">
        <is>
          <t>PCM: power control module</t>
        </is>
      </c>
      <c r="G5162" s="12" t="inlineStr">
        <is>
          <t>RICE-3</t>
        </is>
      </c>
      <c r="H5162" s="12" t="inlineStr">
        <is>
          <t>RICE engine-generator 3</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81</v>
      </c>
      <c r="V5162" s="16">
        <f>ROUNDUP((T5162+U5162+2*'Read Me'!$B$13)*(1+'Read Me'!$B$12),-1)</f>
        <v/>
      </c>
      <c r="W5162" s="16">
        <f>V5162*N5162*O5162</f>
        <v/>
      </c>
      <c r="X5162" s="12">
        <f>IF(LEFT(I5162,2)="MV",2*N5162*IF(L5162="1/C",O5162,1),0)</f>
        <v/>
      </c>
      <c r="Y5162" s="12">
        <f>IF(OR(LEFT(K5162,4)="LVAX",LEFT(K5162,6)="MV15AX",LEFT(K5162,4)="CTAX",LEFT(K5162,2)="W|"),2*N5162*O5162,0)</f>
        <v/>
      </c>
      <c r="Z5162" s="12" t="inlineStr">
        <is>
          <t>VD 2.4 %</t>
        </is>
      </c>
      <c r="AA5162" s="12">
        <f>N5162*O5162</f>
        <v/>
      </c>
    </row>
    <row r="5163">
      <c r="A5163" s="12" t="inlineStr">
        <is>
          <t>I-P-0113</t>
        </is>
      </c>
      <c r="B5163" s="12" t="inlineStr">
        <is>
          <t>I</t>
        </is>
      </c>
      <c r="C5163" s="12" t="inlineStr">
        <is>
          <t>Modular / portable power</t>
        </is>
      </c>
      <c r="D5163" s="12" t="inlineStr">
        <is>
          <t>Motor 4 of 6, 22 kW</t>
        </is>
      </c>
      <c r="E5163" s="12" t="inlineStr"/>
      <c r="F5163" s="12" t="inlineStr">
        <is>
          <t>PCM: power control module</t>
        </is>
      </c>
      <c r="G5163" s="12" t="inlineStr">
        <is>
          <t>RICE-3</t>
        </is>
      </c>
      <c r="H5163" s="12" t="inlineStr">
        <is>
          <t>RICE engine-generator 3</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81</v>
      </c>
      <c r="V5163" s="16">
        <f>ROUNDUP((T5163+U5163+2*'Read Me'!$B$13)*(1+'Read Me'!$B$12),-1)</f>
        <v/>
      </c>
      <c r="W5163" s="16">
        <f>V5163*N5163*O5163</f>
        <v/>
      </c>
      <c r="X5163" s="12">
        <f>IF(LEFT(I5163,2)="MV",2*N5163*IF(L5163="1/C",O5163,1),0)</f>
        <v/>
      </c>
      <c r="Y5163" s="12">
        <f>IF(OR(LEFT(K5163,4)="LVAX",LEFT(K5163,6)="MV15AX",LEFT(K5163,4)="CTAX",LEFT(K5163,2)="W|"),2*N5163*O5163,0)</f>
        <v/>
      </c>
      <c r="Z5163" s="12" t="inlineStr">
        <is>
          <t>VD 2.4 %</t>
        </is>
      </c>
      <c r="AA5163" s="12">
        <f>N5163*O5163</f>
        <v/>
      </c>
    </row>
    <row r="5164">
      <c r="A5164" s="12" t="inlineStr">
        <is>
          <t>I-P-0114</t>
        </is>
      </c>
      <c r="B5164" s="12" t="inlineStr">
        <is>
          <t>I</t>
        </is>
      </c>
      <c r="C5164" s="12" t="inlineStr">
        <is>
          <t>Modular / portable power</t>
        </is>
      </c>
      <c r="D5164" s="12" t="inlineStr">
        <is>
          <t>Motor 5 of 6, 22 kW</t>
        </is>
      </c>
      <c r="E5164" s="12" t="inlineStr"/>
      <c r="F5164" s="12" t="inlineStr">
        <is>
          <t>PCM: power control module</t>
        </is>
      </c>
      <c r="G5164" s="12" t="inlineStr">
        <is>
          <t>RICE-3</t>
        </is>
      </c>
      <c r="H5164" s="12" t="inlineStr">
        <is>
          <t>RICE engine-generator 3</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81</v>
      </c>
      <c r="V5164" s="16">
        <f>ROUNDUP((T5164+U5164+2*'Read Me'!$B$13)*(1+'Read Me'!$B$12),-1)</f>
        <v/>
      </c>
      <c r="W5164" s="16">
        <f>V5164*N5164*O5164</f>
        <v/>
      </c>
      <c r="X5164" s="12">
        <f>IF(LEFT(I5164,2)="MV",2*N5164*IF(L5164="1/C",O5164,1),0)</f>
        <v/>
      </c>
      <c r="Y5164" s="12">
        <f>IF(OR(LEFT(K5164,4)="LVAX",LEFT(K5164,6)="MV15AX",LEFT(K5164,4)="CTAX",LEFT(K5164,2)="W|"),2*N5164*O5164,0)</f>
        <v/>
      </c>
      <c r="Z5164" s="12" t="inlineStr">
        <is>
          <t>VD 2.4 %</t>
        </is>
      </c>
      <c r="AA5164" s="12">
        <f>N5164*O5164</f>
        <v/>
      </c>
    </row>
    <row r="5165">
      <c r="A5165" s="12" t="inlineStr">
        <is>
          <t>I-P-0115</t>
        </is>
      </c>
      <c r="B5165" s="12" t="inlineStr">
        <is>
          <t>I</t>
        </is>
      </c>
      <c r="C5165" s="12" t="inlineStr">
        <is>
          <t>Modular / portable power</t>
        </is>
      </c>
      <c r="D5165" s="12" t="inlineStr">
        <is>
          <t>Motor 6 of 6, 22 kW</t>
        </is>
      </c>
      <c r="E5165" s="12" t="inlineStr"/>
      <c r="F5165" s="12" t="inlineStr">
        <is>
          <t>PCM: power control module</t>
        </is>
      </c>
      <c r="G5165" s="12" t="inlineStr">
        <is>
          <t>RICE-3</t>
        </is>
      </c>
      <c r="H5165" s="12" t="inlineStr">
        <is>
          <t>RICE engine-generator 3</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81</v>
      </c>
      <c r="V5165" s="16">
        <f>ROUNDUP((T5165+U5165+2*'Read Me'!$B$13)*(1+'Read Me'!$B$12),-1)</f>
        <v/>
      </c>
      <c r="W5165" s="16">
        <f>V5165*N5165*O5165</f>
        <v/>
      </c>
      <c r="X5165" s="12">
        <f>IF(LEFT(I5165,2)="MV",2*N5165*IF(L5165="1/C",O5165,1),0)</f>
        <v/>
      </c>
      <c r="Y5165" s="12">
        <f>IF(OR(LEFT(K5165,4)="LVAX",LEFT(K5165,6)="MV15AX",LEFT(K5165,4)="CTAX",LEFT(K5165,2)="W|"),2*N5165*O5165,0)</f>
        <v/>
      </c>
      <c r="Z5165" s="12" t="inlineStr">
        <is>
          <t>VD 2.4 %</t>
        </is>
      </c>
      <c r="AA5165" s="12">
        <f>N5165*O5165</f>
        <v/>
      </c>
    </row>
    <row r="5166">
      <c r="A5166" s="12" t="inlineStr">
        <is>
          <t>I-P-0116</t>
        </is>
      </c>
      <c r="B5166" s="12" t="inlineStr">
        <is>
          <t>I</t>
        </is>
      </c>
      <c r="C5166" s="12" t="inlineStr">
        <is>
          <t>Modular / portable power</t>
        </is>
      </c>
      <c r="D5166" s="12" t="inlineStr">
        <is>
          <t>480 V welding receptacle 1</t>
        </is>
      </c>
      <c r="E5166" s="12" t="inlineStr"/>
      <c r="F5166" s="12" t="inlineStr">
        <is>
          <t>PCM: power control module</t>
        </is>
      </c>
      <c r="G5166" s="12" t="inlineStr">
        <is>
          <t>RICE-3</t>
        </is>
      </c>
      <c r="H5166" s="12" t="inlineStr">
        <is>
          <t>RICE engine-generator 3</t>
        </is>
      </c>
      <c r="I5166" s="12" t="inlineStr">
        <is>
          <t>LV 600 V</t>
        </is>
      </c>
      <c r="J5166" s="12" t="inlineStr">
        <is>
          <t>Type TC-ER 600 V 3/C Cu XHHW-2 + ground, PVC jacket</t>
        </is>
      </c>
      <c r="K5166" s="12" t="inlineStr">
        <is>
          <t>LV|3/C+G|1</t>
        </is>
      </c>
      <c r="L5166" s="12" t="inlineStr">
        <is>
          <t>3/C+G</t>
        </is>
      </c>
      <c r="M5166" s="12" t="inlineStr">
        <is>
          <t>1</t>
        </is>
      </c>
      <c r="N5166" s="12" t="n">
        <v>1</v>
      </c>
      <c r="O5166" s="12" t="n">
        <v>1</v>
      </c>
      <c r="P5166" s="12" t="n">
        <v>480</v>
      </c>
      <c r="Q5166" s="12" t="n">
        <v>60</v>
      </c>
      <c r="R5166" s="12" t="n">
        <v>76</v>
      </c>
      <c r="S5166" s="12" t="inlineStr">
        <is>
          <t>Duct bank</t>
        </is>
      </c>
      <c r="T5166" s="16" t="n">
        <v>550</v>
      </c>
      <c r="U5166" s="16" t="n">
        <v>81</v>
      </c>
      <c r="V5166" s="16">
        <f>ROUNDUP((T5166+U5166+2*'Read Me'!$B$13)*(1+'Read Me'!$B$12),-1)</f>
        <v/>
      </c>
      <c r="W5166" s="16">
        <f>V5166*N5166*O5166</f>
        <v/>
      </c>
      <c r="X5166" s="12">
        <f>IF(LEFT(I5166,2)="MV",2*N5166*IF(L5166="1/C",O5166,1),0)</f>
        <v/>
      </c>
      <c r="Y5166" s="12">
        <f>IF(OR(LEFT(K5166,4)="LVAX",LEFT(K5166,6)="MV15AX",LEFT(K5166,4)="CTAX",LEFT(K5166,2)="W|"),2*N5166*O5166,0)</f>
        <v/>
      </c>
      <c r="Z5166" s="12" t="inlineStr">
        <is>
          <t>VD 2.9 %</t>
        </is>
      </c>
      <c r="AA5166" s="12">
        <f>N5166*O5166</f>
        <v/>
      </c>
    </row>
    <row r="5167">
      <c r="A5167" s="12" t="inlineStr">
        <is>
          <t>I-P-0117</t>
        </is>
      </c>
      <c r="B5167" s="12" t="inlineStr">
        <is>
          <t>I</t>
        </is>
      </c>
      <c r="C5167" s="12" t="inlineStr">
        <is>
          <t>Modular / portable power</t>
        </is>
      </c>
      <c r="D5167" s="12" t="inlineStr">
        <is>
          <t>480 V welding receptacle 2</t>
        </is>
      </c>
      <c r="E5167" s="12" t="inlineStr"/>
      <c r="F5167" s="12" t="inlineStr">
        <is>
          <t>PCM: power control module</t>
        </is>
      </c>
      <c r="G5167" s="12" t="inlineStr">
        <is>
          <t>RICE-3</t>
        </is>
      </c>
      <c r="H5167" s="12" t="inlineStr">
        <is>
          <t>RICE engine-generator 3</t>
        </is>
      </c>
      <c r="I5167" s="12" t="inlineStr">
        <is>
          <t>LV 600 V</t>
        </is>
      </c>
      <c r="J5167" s="12" t="inlineStr">
        <is>
          <t>Type TC-ER 600 V 3/C Cu XHHW-2 + ground, PVC jacket</t>
        </is>
      </c>
      <c r="K5167" s="12" t="inlineStr">
        <is>
          <t>LV|3/C+G|1</t>
        </is>
      </c>
      <c r="L5167" s="12" t="inlineStr">
        <is>
          <t>3/C+G</t>
        </is>
      </c>
      <c r="M5167" s="12" t="inlineStr">
        <is>
          <t>1</t>
        </is>
      </c>
      <c r="N5167" s="12" t="n">
        <v>1</v>
      </c>
      <c r="O5167" s="12" t="n">
        <v>1</v>
      </c>
      <c r="P5167" s="12" t="n">
        <v>480</v>
      </c>
      <c r="Q5167" s="12" t="n">
        <v>60</v>
      </c>
      <c r="R5167" s="12" t="n">
        <v>76</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VD 2.9 %</t>
        </is>
      </c>
      <c r="AA5167" s="12">
        <f>N5167*O5167</f>
        <v/>
      </c>
    </row>
    <row r="5168">
      <c r="A5168" s="12" t="inlineStr">
        <is>
          <t>I-P-0118</t>
        </is>
      </c>
      <c r="B5168" s="12" t="inlineStr">
        <is>
          <t>I</t>
        </is>
      </c>
      <c r="C5168" s="12" t="inlineStr">
        <is>
          <t>Modular / portable power</t>
        </is>
      </c>
      <c r="D5168" s="12" t="inlineStr">
        <is>
          <t>480 V welding receptacle 3</t>
        </is>
      </c>
      <c r="E5168" s="12" t="inlineStr"/>
      <c r="F5168" s="12" t="inlineStr">
        <is>
          <t>PCM: power control module</t>
        </is>
      </c>
      <c r="G5168" s="12" t="inlineStr">
        <is>
          <t>RICE-3</t>
        </is>
      </c>
      <c r="H5168" s="12" t="inlineStr">
        <is>
          <t>RICE engine-generator 3</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81</v>
      </c>
      <c r="V5168" s="16">
        <f>ROUNDUP((T5168+U5168+2*'Read Me'!$B$13)*(1+'Read Me'!$B$12),-1)</f>
        <v/>
      </c>
      <c r="W5168" s="16">
        <f>V5168*N5168*O5168</f>
        <v/>
      </c>
      <c r="X5168" s="12">
        <f>IF(LEFT(I5168,2)="MV",2*N5168*IF(L5168="1/C",O5168,1),0)</f>
        <v/>
      </c>
      <c r="Y5168" s="12">
        <f>IF(OR(LEFT(K5168,4)="LVAX",LEFT(K5168,6)="MV15AX",LEFT(K5168,4)="CTAX",LEFT(K5168,2)="W|"),2*N5168*O5168,0)</f>
        <v/>
      </c>
      <c r="Z5168" s="12" t="inlineStr">
        <is>
          <t>VD 2.9 %</t>
        </is>
      </c>
      <c r="AA5168" s="12">
        <f>N5168*O5168</f>
        <v/>
      </c>
    </row>
    <row r="5169">
      <c r="A5169" s="12" t="inlineStr">
        <is>
          <t>I-P-0119</t>
        </is>
      </c>
      <c r="B5169" s="12" t="inlineStr">
        <is>
          <t>I</t>
        </is>
      </c>
      <c r="C5169" s="12" t="inlineStr">
        <is>
          <t>Modular / portable power</t>
        </is>
      </c>
      <c r="D5169" s="12" t="inlineStr">
        <is>
          <t>480 V welding receptacle 4</t>
        </is>
      </c>
      <c r="E5169" s="12" t="inlineStr"/>
      <c r="F5169" s="12" t="inlineStr">
        <is>
          <t>PCM: power control module</t>
        </is>
      </c>
      <c r="G5169" s="12" t="inlineStr">
        <is>
          <t>RICE-3</t>
        </is>
      </c>
      <c r="H5169" s="12" t="inlineStr">
        <is>
          <t>RICE engine-generator 3</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81</v>
      </c>
      <c r="V5169" s="16">
        <f>ROUNDUP((T5169+U5169+2*'Read Me'!$B$13)*(1+'Read Me'!$B$12),-1)</f>
        <v/>
      </c>
      <c r="W5169" s="16">
        <f>V5169*N5169*O5169</f>
        <v/>
      </c>
      <c r="X5169" s="12">
        <f>IF(LEFT(I5169,2)="MV",2*N5169*IF(L5169="1/C",O5169,1),0)</f>
        <v/>
      </c>
      <c r="Y5169" s="12">
        <f>IF(OR(LEFT(K5169,4)="LVAX",LEFT(K5169,6)="MV15AX",LEFT(K5169,4)="CTAX",LEFT(K5169,2)="W|"),2*N5169*O5169,0)</f>
        <v/>
      </c>
      <c r="Z5169" s="12" t="inlineStr">
        <is>
          <t>VD 2.9 %</t>
        </is>
      </c>
      <c r="AA5169" s="12">
        <f>N5169*O5169</f>
        <v/>
      </c>
    </row>
    <row r="5170">
      <c r="A5170" s="12" t="inlineStr">
        <is>
          <t>I-P-0120</t>
        </is>
      </c>
      <c r="B5170" s="12" t="inlineStr">
        <is>
          <t>I</t>
        </is>
      </c>
      <c r="C5170" s="12" t="inlineStr">
        <is>
          <t>Modular / portable power</t>
        </is>
      </c>
      <c r="D5170" s="12" t="inlineStr">
        <is>
          <t>Motor 1 of 6, 22 kW</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22</v>
      </c>
      <c r="R5170" s="12" t="n">
        <v>31.1</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2.3 %</t>
        </is>
      </c>
      <c r="AA5170" s="12">
        <f>N5170*O5170</f>
        <v/>
      </c>
    </row>
    <row r="5171">
      <c r="A5171" s="12" t="inlineStr">
        <is>
          <t>I-P-0121</t>
        </is>
      </c>
      <c r="B5171" s="12" t="inlineStr">
        <is>
          <t>I</t>
        </is>
      </c>
      <c r="C5171" s="12" t="inlineStr">
        <is>
          <t>Modular / portable power</t>
        </is>
      </c>
      <c r="D5171" s="12" t="inlineStr">
        <is>
          <t>Motor 2 of 6, 22 kW</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LV|3/C+G|4</t>
        </is>
      </c>
      <c r="L5171" s="12" t="inlineStr">
        <is>
          <t>3/C+G</t>
        </is>
      </c>
      <c r="M5171" s="12" t="inlineStr">
        <is>
          <t>4</t>
        </is>
      </c>
      <c r="N5171" s="12" t="n">
        <v>1</v>
      </c>
      <c r="O5171" s="12" t="n">
        <v>1</v>
      </c>
      <c r="P5171" s="12" t="n">
        <v>480</v>
      </c>
      <c r="Q5171" s="12" t="n">
        <v>22</v>
      </c>
      <c r="R5171" s="12" t="n">
        <v>31.1</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2.3 %</t>
        </is>
      </c>
      <c r="AA5171" s="12">
        <f>N5171*O5171</f>
        <v/>
      </c>
    </row>
    <row r="5172">
      <c r="A5172" s="12" t="inlineStr">
        <is>
          <t>I-P-0122</t>
        </is>
      </c>
      <c r="B5172" s="12" t="inlineStr">
        <is>
          <t>I</t>
        </is>
      </c>
      <c r="C5172" s="12" t="inlineStr">
        <is>
          <t>Modular / portable power</t>
        </is>
      </c>
      <c r="D5172" s="12" t="inlineStr">
        <is>
          <t>Motor 3 of 6, 22 kW</t>
        </is>
      </c>
      <c r="E5172" s="12" t="inlineStr"/>
      <c r="F5172" s="12" t="inlineStr">
        <is>
          <t>PCM: power control module</t>
        </is>
      </c>
      <c r="G5172" s="12" t="inlineStr">
        <is>
          <t>RICE-4</t>
        </is>
      </c>
      <c r="H5172" s="12" t="inlineStr">
        <is>
          <t>RICE engine-generator 4</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550</v>
      </c>
      <c r="U5172" s="16" t="n">
        <v>53</v>
      </c>
      <c r="V5172" s="16">
        <f>ROUNDUP((T5172+U5172+2*'Read Me'!$B$13)*(1+'Read Me'!$B$12),-1)</f>
        <v/>
      </c>
      <c r="W5172" s="16">
        <f>V5172*N5172*O5172</f>
        <v/>
      </c>
      <c r="X5172" s="12">
        <f>IF(LEFT(I5172,2)="MV",2*N5172*IF(L5172="1/C",O5172,1),0)</f>
        <v/>
      </c>
      <c r="Y5172" s="12">
        <f>IF(OR(LEFT(K5172,4)="LVAX",LEFT(K5172,6)="MV15AX",LEFT(K5172,4)="CTAX",LEFT(K5172,2)="W|"),2*N5172*O5172,0)</f>
        <v/>
      </c>
      <c r="Z5172" s="12" t="inlineStr">
        <is>
          <t>VD 2.3 %</t>
        </is>
      </c>
      <c r="AA5172" s="12">
        <f>N5172*O5172</f>
        <v/>
      </c>
    </row>
    <row r="5173">
      <c r="A5173" s="12" t="inlineStr">
        <is>
          <t>I-P-0123</t>
        </is>
      </c>
      <c r="B5173" s="12" t="inlineStr">
        <is>
          <t>I</t>
        </is>
      </c>
      <c r="C5173" s="12" t="inlineStr">
        <is>
          <t>Modular / portable power</t>
        </is>
      </c>
      <c r="D5173" s="12" t="inlineStr">
        <is>
          <t>Motor 4 of 6, 22 kW</t>
        </is>
      </c>
      <c r="E5173" s="12" t="inlineStr"/>
      <c r="F5173" s="12" t="inlineStr">
        <is>
          <t>PCM: power control module</t>
        </is>
      </c>
      <c r="G5173" s="12" t="inlineStr">
        <is>
          <t>RICE-4</t>
        </is>
      </c>
      <c r="H5173" s="12" t="inlineStr">
        <is>
          <t>RICE engine-generator 4</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550</v>
      </c>
      <c r="U5173" s="16" t="n">
        <v>53</v>
      </c>
      <c r="V5173" s="16">
        <f>ROUNDUP((T5173+U5173+2*'Read Me'!$B$13)*(1+'Read Me'!$B$12),-1)</f>
        <v/>
      </c>
      <c r="W5173" s="16">
        <f>V5173*N5173*O5173</f>
        <v/>
      </c>
      <c r="X5173" s="12">
        <f>IF(LEFT(I5173,2)="MV",2*N5173*IF(L5173="1/C",O5173,1),0)</f>
        <v/>
      </c>
      <c r="Y5173" s="12">
        <f>IF(OR(LEFT(K5173,4)="LVAX",LEFT(K5173,6)="MV15AX",LEFT(K5173,4)="CTAX",LEFT(K5173,2)="W|"),2*N5173*O5173,0)</f>
        <v/>
      </c>
      <c r="Z5173" s="12" t="inlineStr">
        <is>
          <t>VD 2.3 %</t>
        </is>
      </c>
      <c r="AA5173" s="12">
        <f>N5173*O5173</f>
        <v/>
      </c>
    </row>
    <row r="5174">
      <c r="A5174" s="12" t="inlineStr">
        <is>
          <t>I-P-0124</t>
        </is>
      </c>
      <c r="B5174" s="12" t="inlineStr">
        <is>
          <t>I</t>
        </is>
      </c>
      <c r="C5174" s="12" t="inlineStr">
        <is>
          <t>Modular / portable power</t>
        </is>
      </c>
      <c r="D5174" s="12" t="inlineStr">
        <is>
          <t>Motor 5 of 6, 22 kW</t>
        </is>
      </c>
      <c r="E5174" s="12" t="inlineStr"/>
      <c r="F5174" s="12" t="inlineStr">
        <is>
          <t>PCM: power control module</t>
        </is>
      </c>
      <c r="G5174" s="12" t="inlineStr">
        <is>
          <t>RICE-4</t>
        </is>
      </c>
      <c r="H5174" s="12" t="inlineStr">
        <is>
          <t>RICE engine-generator 4</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550</v>
      </c>
      <c r="U5174" s="16" t="n">
        <v>53</v>
      </c>
      <c r="V5174" s="16">
        <f>ROUNDUP((T5174+U5174+2*'Read Me'!$B$13)*(1+'Read Me'!$B$12),-1)</f>
        <v/>
      </c>
      <c r="W5174" s="16">
        <f>V5174*N5174*O5174</f>
        <v/>
      </c>
      <c r="X5174" s="12">
        <f>IF(LEFT(I5174,2)="MV",2*N5174*IF(L5174="1/C",O5174,1),0)</f>
        <v/>
      </c>
      <c r="Y5174" s="12">
        <f>IF(OR(LEFT(K5174,4)="LVAX",LEFT(K5174,6)="MV15AX",LEFT(K5174,4)="CTAX",LEFT(K5174,2)="W|"),2*N5174*O5174,0)</f>
        <v/>
      </c>
      <c r="Z5174" s="12" t="inlineStr">
        <is>
          <t>VD 2.3 %</t>
        </is>
      </c>
      <c r="AA5174" s="12">
        <f>N5174*O5174</f>
        <v/>
      </c>
    </row>
    <row r="5175">
      <c r="A5175" s="12" t="inlineStr">
        <is>
          <t>I-P-0125</t>
        </is>
      </c>
      <c r="B5175" s="12" t="inlineStr">
        <is>
          <t>I</t>
        </is>
      </c>
      <c r="C5175" s="12" t="inlineStr">
        <is>
          <t>Modular / portable power</t>
        </is>
      </c>
      <c r="D5175" s="12" t="inlineStr">
        <is>
          <t>Motor 6 of 6, 22 kW</t>
        </is>
      </c>
      <c r="E5175" s="12" t="inlineStr"/>
      <c r="F5175" s="12" t="inlineStr">
        <is>
          <t>PCM: power control module</t>
        </is>
      </c>
      <c r="G5175" s="12" t="inlineStr">
        <is>
          <t>RICE-4</t>
        </is>
      </c>
      <c r="H5175" s="12" t="inlineStr">
        <is>
          <t>RICE engine-generator 4</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550</v>
      </c>
      <c r="U5175" s="16" t="n">
        <v>53</v>
      </c>
      <c r="V5175" s="16">
        <f>ROUNDUP((T5175+U5175+2*'Read Me'!$B$13)*(1+'Read Me'!$B$12),-1)</f>
        <v/>
      </c>
      <c r="W5175" s="16">
        <f>V5175*N5175*O5175</f>
        <v/>
      </c>
      <c r="X5175" s="12">
        <f>IF(LEFT(I5175,2)="MV",2*N5175*IF(L5175="1/C",O5175,1),0)</f>
        <v/>
      </c>
      <c r="Y5175" s="12">
        <f>IF(OR(LEFT(K5175,4)="LVAX",LEFT(K5175,6)="MV15AX",LEFT(K5175,4)="CTAX",LEFT(K5175,2)="W|"),2*N5175*O5175,0)</f>
        <v/>
      </c>
      <c r="Z5175" s="12" t="inlineStr">
        <is>
          <t>VD 2.3 %</t>
        </is>
      </c>
      <c r="AA5175" s="12">
        <f>N5175*O5175</f>
        <v/>
      </c>
    </row>
    <row r="5176">
      <c r="A5176" s="12" t="inlineStr">
        <is>
          <t>I-P-0126</t>
        </is>
      </c>
      <c r="B5176" s="12" t="inlineStr">
        <is>
          <t>I</t>
        </is>
      </c>
      <c r="C5176" s="12" t="inlineStr">
        <is>
          <t>Modular / portable power</t>
        </is>
      </c>
      <c r="D5176" s="12" t="inlineStr">
        <is>
          <t>480 V welding receptacle 1</t>
        </is>
      </c>
      <c r="E5176" s="12" t="inlineStr"/>
      <c r="F5176" s="12" t="inlineStr">
        <is>
          <t>PCM: power control module</t>
        </is>
      </c>
      <c r="G5176" s="12" t="inlineStr">
        <is>
          <t>RICE-4</t>
        </is>
      </c>
      <c r="H5176" s="12" t="inlineStr">
        <is>
          <t>RICE engine-generator 4</t>
        </is>
      </c>
      <c r="I5176" s="12" t="inlineStr">
        <is>
          <t>LV 600 V</t>
        </is>
      </c>
      <c r="J5176" s="12" t="inlineStr">
        <is>
          <t>Type TC-ER 600 V 3/C Cu XHHW-2 + ground, PVC jacket</t>
        </is>
      </c>
      <c r="K5176" s="12" t="inlineStr">
        <is>
          <t>LV|3/C+G|1</t>
        </is>
      </c>
      <c r="L5176" s="12" t="inlineStr">
        <is>
          <t>3/C+G</t>
        </is>
      </c>
      <c r="M5176" s="12" t="inlineStr">
        <is>
          <t>1</t>
        </is>
      </c>
      <c r="N5176" s="12" t="n">
        <v>1</v>
      </c>
      <c r="O5176" s="12" t="n">
        <v>1</v>
      </c>
      <c r="P5176" s="12" t="n">
        <v>480</v>
      </c>
      <c r="Q5176" s="12" t="n">
        <v>60</v>
      </c>
      <c r="R5176" s="12" t="n">
        <v>76</v>
      </c>
      <c r="S5176" s="12" t="inlineStr">
        <is>
          <t>Duct bank</t>
        </is>
      </c>
      <c r="T5176" s="16" t="n">
        <v>550</v>
      </c>
      <c r="U5176" s="16" t="n">
        <v>53</v>
      </c>
      <c r="V5176" s="16">
        <f>ROUNDUP((T5176+U5176+2*'Read Me'!$B$13)*(1+'Read Me'!$B$12),-1)</f>
        <v/>
      </c>
      <c r="W5176" s="16">
        <f>V5176*N5176*O5176</f>
        <v/>
      </c>
      <c r="X5176" s="12">
        <f>IF(LEFT(I5176,2)="MV",2*N5176*IF(L5176="1/C",O5176,1),0)</f>
        <v/>
      </c>
      <c r="Y5176" s="12">
        <f>IF(OR(LEFT(K5176,4)="LVAX",LEFT(K5176,6)="MV15AX",LEFT(K5176,4)="CTAX",LEFT(K5176,2)="W|"),2*N5176*O5176,0)</f>
        <v/>
      </c>
      <c r="Z5176" s="12" t="inlineStr">
        <is>
          <t>VD 2.8 %</t>
        </is>
      </c>
      <c r="AA5176" s="12">
        <f>N5176*O5176</f>
        <v/>
      </c>
    </row>
    <row r="5177">
      <c r="A5177" s="12" t="inlineStr">
        <is>
          <t>I-P-0127</t>
        </is>
      </c>
      <c r="B5177" s="12" t="inlineStr">
        <is>
          <t>I</t>
        </is>
      </c>
      <c r="C5177" s="12" t="inlineStr">
        <is>
          <t>Modular / portable power</t>
        </is>
      </c>
      <c r="D5177" s="12" t="inlineStr">
        <is>
          <t>480 V welding receptacle 2</t>
        </is>
      </c>
      <c r="E5177" s="12" t="inlineStr"/>
      <c r="F5177" s="12" t="inlineStr">
        <is>
          <t>PCM: power control module</t>
        </is>
      </c>
      <c r="G5177" s="12" t="inlineStr">
        <is>
          <t>RICE-4</t>
        </is>
      </c>
      <c r="H5177" s="12" t="inlineStr">
        <is>
          <t>RICE engine-generator 4</t>
        </is>
      </c>
      <c r="I5177" s="12" t="inlineStr">
        <is>
          <t>LV 600 V</t>
        </is>
      </c>
      <c r="J5177" s="12" t="inlineStr">
        <is>
          <t>Type TC-ER 600 V 3/C Cu XHHW-2 + ground, PVC jacket</t>
        </is>
      </c>
      <c r="K5177" s="12" t="inlineStr">
        <is>
          <t>LV|3/C+G|1</t>
        </is>
      </c>
      <c r="L5177" s="12" t="inlineStr">
        <is>
          <t>3/C+G</t>
        </is>
      </c>
      <c r="M5177" s="12" t="inlineStr">
        <is>
          <t>1</t>
        </is>
      </c>
      <c r="N5177" s="12" t="n">
        <v>1</v>
      </c>
      <c r="O5177" s="12" t="n">
        <v>1</v>
      </c>
      <c r="P5177" s="12" t="n">
        <v>480</v>
      </c>
      <c r="Q5177" s="12" t="n">
        <v>60</v>
      </c>
      <c r="R5177" s="12" t="n">
        <v>76</v>
      </c>
      <c r="S5177" s="12" t="inlineStr">
        <is>
          <t>Duct bank</t>
        </is>
      </c>
      <c r="T5177" s="16" t="n">
        <v>550</v>
      </c>
      <c r="U5177" s="16" t="n">
        <v>53</v>
      </c>
      <c r="V5177" s="16">
        <f>ROUNDUP((T5177+U5177+2*'Read Me'!$B$13)*(1+'Read Me'!$B$12),-1)</f>
        <v/>
      </c>
      <c r="W5177" s="16">
        <f>V5177*N5177*O5177</f>
        <v/>
      </c>
      <c r="X5177" s="12">
        <f>IF(LEFT(I5177,2)="MV",2*N5177*IF(L5177="1/C",O5177,1),0)</f>
        <v/>
      </c>
      <c r="Y5177" s="12">
        <f>IF(OR(LEFT(K5177,4)="LVAX",LEFT(K5177,6)="MV15AX",LEFT(K5177,4)="CTAX",LEFT(K5177,2)="W|"),2*N5177*O5177,0)</f>
        <v/>
      </c>
      <c r="Z5177" s="12" t="inlineStr">
        <is>
          <t>VD 2.8 %</t>
        </is>
      </c>
      <c r="AA5177" s="12">
        <f>N5177*O5177</f>
        <v/>
      </c>
    </row>
    <row r="5178">
      <c r="A5178" s="12" t="inlineStr">
        <is>
          <t>I-P-0128</t>
        </is>
      </c>
      <c r="B5178" s="12" t="inlineStr">
        <is>
          <t>I</t>
        </is>
      </c>
      <c r="C5178" s="12" t="inlineStr">
        <is>
          <t>Modular / portable power</t>
        </is>
      </c>
      <c r="D5178" s="12" t="inlineStr">
        <is>
          <t>480 V welding receptacle 3</t>
        </is>
      </c>
      <c r="E5178" s="12" t="inlineStr"/>
      <c r="F5178" s="12" t="inlineStr">
        <is>
          <t>PCM: power control module</t>
        </is>
      </c>
      <c r="G5178" s="12" t="inlineStr">
        <is>
          <t>RICE-4</t>
        </is>
      </c>
      <c r="H5178" s="12" t="inlineStr">
        <is>
          <t>RICE engine-generator 4</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550</v>
      </c>
      <c r="U5178" s="16" t="n">
        <v>53</v>
      </c>
      <c r="V5178" s="16">
        <f>ROUNDUP((T5178+U5178+2*'Read Me'!$B$13)*(1+'Read Me'!$B$12),-1)</f>
        <v/>
      </c>
      <c r="W5178" s="16">
        <f>V5178*N5178*O5178</f>
        <v/>
      </c>
      <c r="X5178" s="12">
        <f>IF(LEFT(I5178,2)="MV",2*N5178*IF(L5178="1/C",O5178,1),0)</f>
        <v/>
      </c>
      <c r="Y5178" s="12">
        <f>IF(OR(LEFT(K5178,4)="LVAX",LEFT(K5178,6)="MV15AX",LEFT(K5178,4)="CTAX",LEFT(K5178,2)="W|"),2*N5178*O5178,0)</f>
        <v/>
      </c>
      <c r="Z5178" s="12" t="inlineStr">
        <is>
          <t>VD 2.8 %</t>
        </is>
      </c>
      <c r="AA5178" s="12">
        <f>N5178*O5178</f>
        <v/>
      </c>
    </row>
    <row r="5179">
      <c r="A5179" s="12" t="inlineStr">
        <is>
          <t>I-P-0129</t>
        </is>
      </c>
      <c r="B5179" s="12" t="inlineStr">
        <is>
          <t>I</t>
        </is>
      </c>
      <c r="C5179" s="12" t="inlineStr">
        <is>
          <t>Modular / portable power</t>
        </is>
      </c>
      <c r="D5179" s="12" t="inlineStr">
        <is>
          <t>480 V welding receptacle 4</t>
        </is>
      </c>
      <c r="E5179" s="12" t="inlineStr"/>
      <c r="F5179" s="12" t="inlineStr">
        <is>
          <t>PCM: power control module</t>
        </is>
      </c>
      <c r="G5179" s="12" t="inlineStr">
        <is>
          <t>RICE-4</t>
        </is>
      </c>
      <c r="H5179" s="12" t="inlineStr">
        <is>
          <t>RICE engine-generator 4</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550</v>
      </c>
      <c r="U5179" s="16" t="n">
        <v>53</v>
      </c>
      <c r="V5179" s="16">
        <f>ROUNDUP((T5179+U5179+2*'Read Me'!$B$13)*(1+'Read Me'!$B$12),-1)</f>
        <v/>
      </c>
      <c r="W5179" s="16">
        <f>V5179*N5179*O5179</f>
        <v/>
      </c>
      <c r="X5179" s="12">
        <f>IF(LEFT(I5179,2)="MV",2*N5179*IF(L5179="1/C",O5179,1),0)</f>
        <v/>
      </c>
      <c r="Y5179" s="12">
        <f>IF(OR(LEFT(K5179,4)="LVAX",LEFT(K5179,6)="MV15AX",LEFT(K5179,4)="CTAX",LEFT(K5179,2)="W|"),2*N5179*O5179,0)</f>
        <v/>
      </c>
      <c r="Z5179" s="12" t="inlineStr">
        <is>
          <t>VD 2.8 %</t>
        </is>
      </c>
      <c r="AA5179" s="12">
        <f>N5179*O5179</f>
        <v/>
      </c>
    </row>
    <row r="5180">
      <c r="A5180" s="12" t="inlineStr">
        <is>
          <t>I-P-0130</t>
        </is>
      </c>
      <c r="B5180" s="12" t="inlineStr">
        <is>
          <t>I</t>
        </is>
      </c>
      <c r="C5180" s="12" t="inlineStr">
        <is>
          <t>Modular / portable power</t>
        </is>
      </c>
      <c r="D5180" s="12" t="inlineStr">
        <is>
          <t>Motor 1 of 6, 22 kW</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LV|3/C+G|4</t>
        </is>
      </c>
      <c r="L5180" s="12" t="inlineStr">
        <is>
          <t>3/C+G</t>
        </is>
      </c>
      <c r="M5180" s="12" t="inlineStr">
        <is>
          <t>4</t>
        </is>
      </c>
      <c r="N5180" s="12" t="n">
        <v>1</v>
      </c>
      <c r="O5180" s="12" t="n">
        <v>1</v>
      </c>
      <c r="P5180" s="12" t="n">
        <v>480</v>
      </c>
      <c r="Q5180" s="12" t="n">
        <v>22</v>
      </c>
      <c r="R5180" s="12" t="n">
        <v>31.1</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2.2 %</t>
        </is>
      </c>
      <c r="AA5180" s="12">
        <f>N5180*O5180</f>
        <v/>
      </c>
    </row>
    <row r="5181">
      <c r="A5181" s="12" t="inlineStr">
        <is>
          <t>I-P-0131</t>
        </is>
      </c>
      <c r="B5181" s="12" t="inlineStr">
        <is>
          <t>I</t>
        </is>
      </c>
      <c r="C5181" s="12" t="inlineStr">
        <is>
          <t>Modular / portable power</t>
        </is>
      </c>
      <c r="D5181" s="12" t="inlineStr">
        <is>
          <t>Motor 2 of 6, 22 kW</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LV|3/C+G|4</t>
        </is>
      </c>
      <c r="L5181" s="12" t="inlineStr">
        <is>
          <t>3/C+G</t>
        </is>
      </c>
      <c r="M5181" s="12" t="inlineStr">
        <is>
          <t>4</t>
        </is>
      </c>
      <c r="N5181" s="12" t="n">
        <v>1</v>
      </c>
      <c r="O5181" s="12" t="n">
        <v>1</v>
      </c>
      <c r="P5181" s="12" t="n">
        <v>480</v>
      </c>
      <c r="Q5181" s="12" t="n">
        <v>22</v>
      </c>
      <c r="R5181" s="12" t="n">
        <v>31.1</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2.2 %</t>
        </is>
      </c>
      <c r="AA5181" s="12">
        <f>N5181*O5181</f>
        <v/>
      </c>
    </row>
    <row r="5182">
      <c r="A5182" s="12" t="inlineStr">
        <is>
          <t>I-P-0132</t>
        </is>
      </c>
      <c r="B5182" s="12" t="inlineStr">
        <is>
          <t>I</t>
        </is>
      </c>
      <c r="C5182" s="12" t="inlineStr">
        <is>
          <t>Modular / portable power</t>
        </is>
      </c>
      <c r="D5182" s="12" t="inlineStr">
        <is>
          <t>Motor 3 of 6, 22 kW</t>
        </is>
      </c>
      <c r="E5182" s="12" t="inlineStr"/>
      <c r="F5182" s="12" t="inlineStr">
        <is>
          <t>PCM: power control module</t>
        </is>
      </c>
      <c r="G5182" s="12" t="inlineStr">
        <is>
          <t>RICE-5</t>
        </is>
      </c>
      <c r="H5182" s="12" t="inlineStr">
        <is>
          <t>RICE engine-generator 5</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208</v>
      </c>
      <c r="V5182" s="16">
        <f>ROUNDUP((T5182+U5182+2*'Read Me'!$B$13)*(1+'Read Me'!$B$12),-1)</f>
        <v/>
      </c>
      <c r="W5182" s="16">
        <f>V5182*N5182*O5182</f>
        <v/>
      </c>
      <c r="X5182" s="12">
        <f>IF(LEFT(I5182,2)="MV",2*N5182*IF(L5182="1/C",O5182,1),0)</f>
        <v/>
      </c>
      <c r="Y5182" s="12">
        <f>IF(OR(LEFT(K5182,4)="LVAX",LEFT(K5182,6)="MV15AX",LEFT(K5182,4)="CTAX",LEFT(K5182,2)="W|"),2*N5182*O5182,0)</f>
        <v/>
      </c>
      <c r="Z5182" s="12" t="inlineStr">
        <is>
          <t>VD 2.2 %</t>
        </is>
      </c>
      <c r="AA5182" s="12">
        <f>N5182*O5182</f>
        <v/>
      </c>
    </row>
    <row r="5183">
      <c r="A5183" s="12" t="inlineStr">
        <is>
          <t>I-P-0133</t>
        </is>
      </c>
      <c r="B5183" s="12" t="inlineStr">
        <is>
          <t>I</t>
        </is>
      </c>
      <c r="C5183" s="12" t="inlineStr">
        <is>
          <t>Modular / portable power</t>
        </is>
      </c>
      <c r="D5183" s="12" t="inlineStr">
        <is>
          <t>Motor 4 of 6, 22 kW</t>
        </is>
      </c>
      <c r="E5183" s="12" t="inlineStr"/>
      <c r="F5183" s="12" t="inlineStr">
        <is>
          <t>PCM: power control module</t>
        </is>
      </c>
      <c r="G5183" s="12" t="inlineStr">
        <is>
          <t>RICE-5</t>
        </is>
      </c>
      <c r="H5183" s="12" t="inlineStr">
        <is>
          <t>RICE engine-generator 5</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208</v>
      </c>
      <c r="V5183" s="16">
        <f>ROUNDUP((T5183+U5183+2*'Read Me'!$B$13)*(1+'Read Me'!$B$12),-1)</f>
        <v/>
      </c>
      <c r="W5183" s="16">
        <f>V5183*N5183*O5183</f>
        <v/>
      </c>
      <c r="X5183" s="12">
        <f>IF(LEFT(I5183,2)="MV",2*N5183*IF(L5183="1/C",O5183,1),0)</f>
        <v/>
      </c>
      <c r="Y5183" s="12">
        <f>IF(OR(LEFT(K5183,4)="LVAX",LEFT(K5183,6)="MV15AX",LEFT(K5183,4)="CTAX",LEFT(K5183,2)="W|"),2*N5183*O5183,0)</f>
        <v/>
      </c>
      <c r="Z5183" s="12" t="inlineStr">
        <is>
          <t>VD 2.2 %</t>
        </is>
      </c>
      <c r="AA5183" s="12">
        <f>N5183*O5183</f>
        <v/>
      </c>
    </row>
    <row r="5184">
      <c r="A5184" s="12" t="inlineStr">
        <is>
          <t>I-P-0134</t>
        </is>
      </c>
      <c r="B5184" s="12" t="inlineStr">
        <is>
          <t>I</t>
        </is>
      </c>
      <c r="C5184" s="12" t="inlineStr">
        <is>
          <t>Modular / portable power</t>
        </is>
      </c>
      <c r="D5184" s="12" t="inlineStr">
        <is>
          <t>Motor 5 of 6, 22 kW</t>
        </is>
      </c>
      <c r="E5184" s="12" t="inlineStr"/>
      <c r="F5184" s="12" t="inlineStr">
        <is>
          <t>PCM: power control module</t>
        </is>
      </c>
      <c r="G5184" s="12" t="inlineStr">
        <is>
          <t>RICE-5</t>
        </is>
      </c>
      <c r="H5184" s="12" t="inlineStr">
        <is>
          <t>RICE engine-generator 5</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208</v>
      </c>
      <c r="V5184" s="16">
        <f>ROUNDUP((T5184+U5184+2*'Read Me'!$B$13)*(1+'Read Me'!$B$12),-1)</f>
        <v/>
      </c>
      <c r="W5184" s="16">
        <f>V5184*N5184*O5184</f>
        <v/>
      </c>
      <c r="X5184" s="12">
        <f>IF(LEFT(I5184,2)="MV",2*N5184*IF(L5184="1/C",O5184,1),0)</f>
        <v/>
      </c>
      <c r="Y5184" s="12">
        <f>IF(OR(LEFT(K5184,4)="LVAX",LEFT(K5184,6)="MV15AX",LEFT(K5184,4)="CTAX",LEFT(K5184,2)="W|"),2*N5184*O5184,0)</f>
        <v/>
      </c>
      <c r="Z5184" s="12" t="inlineStr">
        <is>
          <t>VD 2.2 %</t>
        </is>
      </c>
      <c r="AA5184" s="12">
        <f>N5184*O5184</f>
        <v/>
      </c>
    </row>
    <row r="5185">
      <c r="A5185" s="12" t="inlineStr">
        <is>
          <t>I-P-0135</t>
        </is>
      </c>
      <c r="B5185" s="12" t="inlineStr">
        <is>
          <t>I</t>
        </is>
      </c>
      <c r="C5185" s="12" t="inlineStr">
        <is>
          <t>Modular / portable power</t>
        </is>
      </c>
      <c r="D5185" s="12" t="inlineStr">
        <is>
          <t>Motor 6 of 6, 22 kW</t>
        </is>
      </c>
      <c r="E5185" s="12" t="inlineStr"/>
      <c r="F5185" s="12" t="inlineStr">
        <is>
          <t>PCM: power control module</t>
        </is>
      </c>
      <c r="G5185" s="12" t="inlineStr">
        <is>
          <t>RICE-5</t>
        </is>
      </c>
      <c r="H5185" s="12" t="inlineStr">
        <is>
          <t>RICE engine-generator 5</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208</v>
      </c>
      <c r="V5185" s="16">
        <f>ROUNDUP((T5185+U5185+2*'Read Me'!$B$13)*(1+'Read Me'!$B$12),-1)</f>
        <v/>
      </c>
      <c r="W5185" s="16">
        <f>V5185*N5185*O5185</f>
        <v/>
      </c>
      <c r="X5185" s="12">
        <f>IF(LEFT(I5185,2)="MV",2*N5185*IF(L5185="1/C",O5185,1),0)</f>
        <v/>
      </c>
      <c r="Y5185" s="12">
        <f>IF(OR(LEFT(K5185,4)="LVAX",LEFT(K5185,6)="MV15AX",LEFT(K5185,4)="CTAX",LEFT(K5185,2)="W|"),2*N5185*O5185,0)</f>
        <v/>
      </c>
      <c r="Z5185" s="12" t="inlineStr">
        <is>
          <t>VD 2.2 %</t>
        </is>
      </c>
      <c r="AA5185" s="12">
        <f>N5185*O5185</f>
        <v/>
      </c>
    </row>
    <row r="5186">
      <c r="A5186" s="12" t="inlineStr">
        <is>
          <t>I-P-0136</t>
        </is>
      </c>
      <c r="B5186" s="12" t="inlineStr">
        <is>
          <t>I</t>
        </is>
      </c>
      <c r="C5186" s="12" t="inlineStr">
        <is>
          <t>Modular / portable power</t>
        </is>
      </c>
      <c r="D5186" s="12" t="inlineStr">
        <is>
          <t>480 V welding receptacle 1</t>
        </is>
      </c>
      <c r="E5186" s="12" t="inlineStr"/>
      <c r="F5186" s="12" t="inlineStr">
        <is>
          <t>PCM: power control module</t>
        </is>
      </c>
      <c r="G5186" s="12" t="inlineStr">
        <is>
          <t>RICE-5</t>
        </is>
      </c>
      <c r="H5186" s="12" t="inlineStr">
        <is>
          <t>RICE engine-generator 5</t>
        </is>
      </c>
      <c r="I5186" s="12" t="inlineStr">
        <is>
          <t>LV 600 V</t>
        </is>
      </c>
      <c r="J5186" s="12" t="inlineStr">
        <is>
          <t>Type TC-ER 600 V 3/C Cu XHHW-2 + ground, PVC jacket</t>
        </is>
      </c>
      <c r="K5186" s="12" t="inlineStr">
        <is>
          <t>LV|3/C+G|1</t>
        </is>
      </c>
      <c r="L5186" s="12" t="inlineStr">
        <is>
          <t>3/C+G</t>
        </is>
      </c>
      <c r="M5186" s="12" t="inlineStr">
        <is>
          <t>1</t>
        </is>
      </c>
      <c r="N5186" s="12" t="n">
        <v>1</v>
      </c>
      <c r="O5186" s="12" t="n">
        <v>1</v>
      </c>
      <c r="P5186" s="12" t="n">
        <v>480</v>
      </c>
      <c r="Q5186" s="12" t="n">
        <v>60</v>
      </c>
      <c r="R5186" s="12" t="n">
        <v>76</v>
      </c>
      <c r="S5186" s="12" t="inlineStr">
        <is>
          <t>Duct bank</t>
        </is>
      </c>
      <c r="T5186" s="16" t="n">
        <v>367</v>
      </c>
      <c r="U5186" s="16" t="n">
        <v>208</v>
      </c>
      <c r="V5186" s="16">
        <f>ROUNDUP((T5186+U5186+2*'Read Me'!$B$13)*(1+'Read Me'!$B$12),-1)</f>
        <v/>
      </c>
      <c r="W5186" s="16">
        <f>V5186*N5186*O5186</f>
        <v/>
      </c>
      <c r="X5186" s="12">
        <f>IF(LEFT(I5186,2)="MV",2*N5186*IF(L5186="1/C",O5186,1),0)</f>
        <v/>
      </c>
      <c r="Y5186" s="12">
        <f>IF(OR(LEFT(K5186,4)="LVAX",LEFT(K5186,6)="MV15AX",LEFT(K5186,4)="CTAX",LEFT(K5186,2)="W|"),2*N5186*O5186,0)</f>
        <v/>
      </c>
      <c r="Z5186" s="12" t="inlineStr">
        <is>
          <t>VD 2.7 %</t>
        </is>
      </c>
      <c r="AA5186" s="12">
        <f>N5186*O5186</f>
        <v/>
      </c>
    </row>
    <row r="5187">
      <c r="A5187" s="12" t="inlineStr">
        <is>
          <t>I-P-0137</t>
        </is>
      </c>
      <c r="B5187" s="12" t="inlineStr">
        <is>
          <t>I</t>
        </is>
      </c>
      <c r="C5187" s="12" t="inlineStr">
        <is>
          <t>Modular / portable power</t>
        </is>
      </c>
      <c r="D5187" s="12" t="inlineStr">
        <is>
          <t>480 V welding receptacle 2</t>
        </is>
      </c>
      <c r="E5187" s="12" t="inlineStr"/>
      <c r="F5187" s="12" t="inlineStr">
        <is>
          <t>PCM: power control module</t>
        </is>
      </c>
      <c r="G5187" s="12" t="inlineStr">
        <is>
          <t>RICE-5</t>
        </is>
      </c>
      <c r="H5187" s="12" t="inlineStr">
        <is>
          <t>RICE engine-generator 5</t>
        </is>
      </c>
      <c r="I5187" s="12" t="inlineStr">
        <is>
          <t>LV 600 V</t>
        </is>
      </c>
      <c r="J5187" s="12" t="inlineStr">
        <is>
          <t>Type TC-ER 600 V 3/C Cu XHHW-2 + ground, PVC jacket</t>
        </is>
      </c>
      <c r="K5187" s="12" t="inlineStr">
        <is>
          <t>LV|3/C+G|1</t>
        </is>
      </c>
      <c r="L5187" s="12" t="inlineStr">
        <is>
          <t>3/C+G</t>
        </is>
      </c>
      <c r="M5187" s="12" t="inlineStr">
        <is>
          <t>1</t>
        </is>
      </c>
      <c r="N5187" s="12" t="n">
        <v>1</v>
      </c>
      <c r="O5187" s="12" t="n">
        <v>1</v>
      </c>
      <c r="P5187" s="12" t="n">
        <v>480</v>
      </c>
      <c r="Q5187" s="12" t="n">
        <v>60</v>
      </c>
      <c r="R5187" s="12" t="n">
        <v>76</v>
      </c>
      <c r="S5187" s="12" t="inlineStr">
        <is>
          <t>Duct bank</t>
        </is>
      </c>
      <c r="T5187" s="16" t="n">
        <v>367</v>
      </c>
      <c r="U5187" s="16" t="n">
        <v>208</v>
      </c>
      <c r="V5187" s="16">
        <f>ROUNDUP((T5187+U5187+2*'Read Me'!$B$13)*(1+'Read Me'!$B$12),-1)</f>
        <v/>
      </c>
      <c r="W5187" s="16">
        <f>V5187*N5187*O5187</f>
        <v/>
      </c>
      <c r="X5187" s="12">
        <f>IF(LEFT(I5187,2)="MV",2*N5187*IF(L5187="1/C",O5187,1),0)</f>
        <v/>
      </c>
      <c r="Y5187" s="12">
        <f>IF(OR(LEFT(K5187,4)="LVAX",LEFT(K5187,6)="MV15AX",LEFT(K5187,4)="CTAX",LEFT(K5187,2)="W|"),2*N5187*O5187,0)</f>
        <v/>
      </c>
      <c r="Z5187" s="12" t="inlineStr">
        <is>
          <t>VD 2.7 %</t>
        </is>
      </c>
      <c r="AA5187" s="12">
        <f>N5187*O5187</f>
        <v/>
      </c>
    </row>
    <row r="5188">
      <c r="A5188" s="12" t="inlineStr">
        <is>
          <t>I-P-0138</t>
        </is>
      </c>
      <c r="B5188" s="12" t="inlineStr">
        <is>
          <t>I</t>
        </is>
      </c>
      <c r="C5188" s="12" t="inlineStr">
        <is>
          <t>Modular / portable power</t>
        </is>
      </c>
      <c r="D5188" s="12" t="inlineStr">
        <is>
          <t>480 V welding receptacle 3</t>
        </is>
      </c>
      <c r="E5188" s="12" t="inlineStr"/>
      <c r="F5188" s="12" t="inlineStr">
        <is>
          <t>PCM: power control module</t>
        </is>
      </c>
      <c r="G5188" s="12" t="inlineStr">
        <is>
          <t>RICE-5</t>
        </is>
      </c>
      <c r="H5188" s="12" t="inlineStr">
        <is>
          <t>RICE engine-generator 5</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208</v>
      </c>
      <c r="V5188" s="16">
        <f>ROUNDUP((T5188+U5188+2*'Read Me'!$B$13)*(1+'Read Me'!$B$12),-1)</f>
        <v/>
      </c>
      <c r="W5188" s="16">
        <f>V5188*N5188*O5188</f>
        <v/>
      </c>
      <c r="X5188" s="12">
        <f>IF(LEFT(I5188,2)="MV",2*N5188*IF(L5188="1/C",O5188,1),0)</f>
        <v/>
      </c>
      <c r="Y5188" s="12">
        <f>IF(OR(LEFT(K5188,4)="LVAX",LEFT(K5188,6)="MV15AX",LEFT(K5188,4)="CTAX",LEFT(K5188,2)="W|"),2*N5188*O5188,0)</f>
        <v/>
      </c>
      <c r="Z5188" s="12" t="inlineStr">
        <is>
          <t>VD 2.7 %</t>
        </is>
      </c>
      <c r="AA5188" s="12">
        <f>N5188*O5188</f>
        <v/>
      </c>
    </row>
    <row r="5189">
      <c r="A5189" s="12" t="inlineStr">
        <is>
          <t>I-P-0139</t>
        </is>
      </c>
      <c r="B5189" s="12" t="inlineStr">
        <is>
          <t>I</t>
        </is>
      </c>
      <c r="C5189" s="12" t="inlineStr">
        <is>
          <t>Modular / portable power</t>
        </is>
      </c>
      <c r="D5189" s="12" t="inlineStr">
        <is>
          <t>480 V welding receptacle 4</t>
        </is>
      </c>
      <c r="E5189" s="12" t="inlineStr"/>
      <c r="F5189" s="12" t="inlineStr">
        <is>
          <t>PCM: power control module</t>
        </is>
      </c>
      <c r="G5189" s="12" t="inlineStr">
        <is>
          <t>RICE-5</t>
        </is>
      </c>
      <c r="H5189" s="12" t="inlineStr">
        <is>
          <t>RICE engine-generator 5</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208</v>
      </c>
      <c r="V5189" s="16">
        <f>ROUNDUP((T5189+U5189+2*'Read Me'!$B$13)*(1+'Read Me'!$B$12),-1)</f>
        <v/>
      </c>
      <c r="W5189" s="16">
        <f>V5189*N5189*O5189</f>
        <v/>
      </c>
      <c r="X5189" s="12">
        <f>IF(LEFT(I5189,2)="MV",2*N5189*IF(L5189="1/C",O5189,1),0)</f>
        <v/>
      </c>
      <c r="Y5189" s="12">
        <f>IF(OR(LEFT(K5189,4)="LVAX",LEFT(K5189,6)="MV15AX",LEFT(K5189,4)="CTAX",LEFT(K5189,2)="W|"),2*N5189*O5189,0)</f>
        <v/>
      </c>
      <c r="Z5189" s="12" t="inlineStr">
        <is>
          <t>VD 2.7 %</t>
        </is>
      </c>
      <c r="AA5189" s="12">
        <f>N5189*O5189</f>
        <v/>
      </c>
    </row>
    <row r="5190">
      <c r="A5190" s="12" t="inlineStr">
        <is>
          <t>I-P-0140</t>
        </is>
      </c>
      <c r="B5190" s="12" t="inlineStr">
        <is>
          <t>I</t>
        </is>
      </c>
      <c r="C5190" s="12" t="inlineStr">
        <is>
          <t>Modular / portable power</t>
        </is>
      </c>
      <c r="D5190" s="12" t="inlineStr">
        <is>
          <t>Motor 1 of 6, 22 kW</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LV|3/C+G|4</t>
        </is>
      </c>
      <c r="L5190" s="12" t="inlineStr">
        <is>
          <t>3/C+G</t>
        </is>
      </c>
      <c r="M5190" s="12" t="inlineStr">
        <is>
          <t>4</t>
        </is>
      </c>
      <c r="N5190" s="12" t="n">
        <v>1</v>
      </c>
      <c r="O5190" s="12" t="n">
        <v>1</v>
      </c>
      <c r="P5190" s="12" t="n">
        <v>480</v>
      </c>
      <c r="Q5190" s="12" t="n">
        <v>22</v>
      </c>
      <c r="R5190" s="12" t="n">
        <v>31.1</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2.1 %</t>
        </is>
      </c>
      <c r="AA5190" s="12">
        <f>N5190*O5190</f>
        <v/>
      </c>
    </row>
    <row r="5191">
      <c r="A5191" s="12" t="inlineStr">
        <is>
          <t>I-P-0141</t>
        </is>
      </c>
      <c r="B5191" s="12" t="inlineStr">
        <is>
          <t>I</t>
        </is>
      </c>
      <c r="C5191" s="12" t="inlineStr">
        <is>
          <t>Modular / portable power</t>
        </is>
      </c>
      <c r="D5191" s="12" t="inlineStr">
        <is>
          <t>Motor 2 of 6, 22 kW</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LV|3/C+G|4</t>
        </is>
      </c>
      <c r="L5191" s="12" t="inlineStr">
        <is>
          <t>3/C+G</t>
        </is>
      </c>
      <c r="M5191" s="12" t="inlineStr">
        <is>
          <t>4</t>
        </is>
      </c>
      <c r="N5191" s="12" t="n">
        <v>1</v>
      </c>
      <c r="O5191" s="12" t="n">
        <v>1</v>
      </c>
      <c r="P5191" s="12" t="n">
        <v>480</v>
      </c>
      <c r="Q5191" s="12" t="n">
        <v>22</v>
      </c>
      <c r="R5191" s="12" t="n">
        <v>31.1</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2.1 %</t>
        </is>
      </c>
      <c r="AA5191" s="12">
        <f>N5191*O5191</f>
        <v/>
      </c>
    </row>
    <row r="5192">
      <c r="A5192" s="12" t="inlineStr">
        <is>
          <t>I-P-0142</t>
        </is>
      </c>
      <c r="B5192" s="12" t="inlineStr">
        <is>
          <t>I</t>
        </is>
      </c>
      <c r="C5192" s="12" t="inlineStr">
        <is>
          <t>Modular / portable power</t>
        </is>
      </c>
      <c r="D5192" s="12" t="inlineStr">
        <is>
          <t>Motor 3 of 6, 22 kW</t>
        </is>
      </c>
      <c r="E5192" s="12" t="inlineStr"/>
      <c r="F5192" s="12" t="inlineStr">
        <is>
          <t>PCM: power control module</t>
        </is>
      </c>
      <c r="G5192" s="12" t="inlineStr">
        <is>
          <t>RICE-6</t>
        </is>
      </c>
      <c r="H5192" s="12" t="inlineStr">
        <is>
          <t>RICE engine-generator 6</t>
        </is>
      </c>
      <c r="I5192" s="12" t="inlineStr">
        <is>
          <t>LV 600 V</t>
        </is>
      </c>
      <c r="J5192" s="12" t="inlineStr">
        <is>
          <t>Type TC-ER 600 V 3/C Cu XHHW-2 + ground, PVC jacket</t>
        </is>
      </c>
      <c r="K5192" s="12" t="inlineStr">
        <is>
          <t>LV|3/C+G|4</t>
        </is>
      </c>
      <c r="L5192" s="12" t="inlineStr">
        <is>
          <t>3/C+G</t>
        </is>
      </c>
      <c r="M5192" s="12" t="inlineStr">
        <is>
          <t>4</t>
        </is>
      </c>
      <c r="N5192" s="12" t="n">
        <v>1</v>
      </c>
      <c r="O5192" s="12" t="n">
        <v>1</v>
      </c>
      <c r="P5192" s="12" t="n">
        <v>480</v>
      </c>
      <c r="Q5192" s="12" t="n">
        <v>22</v>
      </c>
      <c r="R5192" s="12" t="n">
        <v>31.1</v>
      </c>
      <c r="S5192" s="12" t="inlineStr">
        <is>
          <t>Duct bank</t>
        </is>
      </c>
      <c r="T5192" s="16" t="n">
        <v>367</v>
      </c>
      <c r="U5192" s="16" t="n">
        <v>180</v>
      </c>
      <c r="V5192" s="16">
        <f>ROUNDUP((T5192+U5192+2*'Read Me'!$B$13)*(1+'Read Me'!$B$12),-1)</f>
        <v/>
      </c>
      <c r="W5192" s="16">
        <f>V5192*N5192*O5192</f>
        <v/>
      </c>
      <c r="X5192" s="12">
        <f>IF(LEFT(I5192,2)="MV",2*N5192*IF(L5192="1/C",O5192,1),0)</f>
        <v/>
      </c>
      <c r="Y5192" s="12">
        <f>IF(OR(LEFT(K5192,4)="LVAX",LEFT(K5192,6)="MV15AX",LEFT(K5192,4)="CTAX",LEFT(K5192,2)="W|"),2*N5192*O5192,0)</f>
        <v/>
      </c>
      <c r="Z5192" s="12" t="inlineStr">
        <is>
          <t>VD 2.1 %</t>
        </is>
      </c>
      <c r="AA5192" s="12">
        <f>N5192*O5192</f>
        <v/>
      </c>
    </row>
    <row r="5193">
      <c r="A5193" s="12" t="inlineStr">
        <is>
          <t>I-P-0143</t>
        </is>
      </c>
      <c r="B5193" s="12" t="inlineStr">
        <is>
          <t>I</t>
        </is>
      </c>
      <c r="C5193" s="12" t="inlineStr">
        <is>
          <t>Modular / portable power</t>
        </is>
      </c>
      <c r="D5193" s="12" t="inlineStr">
        <is>
          <t>Motor 4 of 6, 22 kW</t>
        </is>
      </c>
      <c r="E5193" s="12" t="inlineStr"/>
      <c r="F5193" s="12" t="inlineStr">
        <is>
          <t>PCM: power control module</t>
        </is>
      </c>
      <c r="G5193" s="12" t="inlineStr">
        <is>
          <t>RICE-6</t>
        </is>
      </c>
      <c r="H5193" s="12" t="inlineStr">
        <is>
          <t>RICE engine-generator 6</t>
        </is>
      </c>
      <c r="I5193" s="12" t="inlineStr">
        <is>
          <t>LV 600 V</t>
        </is>
      </c>
      <c r="J5193" s="12" t="inlineStr">
        <is>
          <t>Type TC-ER 600 V 3/C Cu XHHW-2 + ground, PVC jacket</t>
        </is>
      </c>
      <c r="K5193" s="12" t="inlineStr">
        <is>
          <t>LV|3/C+G|4</t>
        </is>
      </c>
      <c r="L5193" s="12" t="inlineStr">
        <is>
          <t>3/C+G</t>
        </is>
      </c>
      <c r="M5193" s="12" t="inlineStr">
        <is>
          <t>4</t>
        </is>
      </c>
      <c r="N5193" s="12" t="n">
        <v>1</v>
      </c>
      <c r="O5193" s="12" t="n">
        <v>1</v>
      </c>
      <c r="P5193" s="12" t="n">
        <v>480</v>
      </c>
      <c r="Q5193" s="12" t="n">
        <v>22</v>
      </c>
      <c r="R5193" s="12" t="n">
        <v>31.1</v>
      </c>
      <c r="S5193" s="12" t="inlineStr">
        <is>
          <t>Duct bank</t>
        </is>
      </c>
      <c r="T5193" s="16" t="n">
        <v>367</v>
      </c>
      <c r="U5193" s="16" t="n">
        <v>180</v>
      </c>
      <c r="V5193" s="16">
        <f>ROUNDUP((T5193+U5193+2*'Read Me'!$B$13)*(1+'Read Me'!$B$12),-1)</f>
        <v/>
      </c>
      <c r="W5193" s="16">
        <f>V5193*N5193*O5193</f>
        <v/>
      </c>
      <c r="X5193" s="12">
        <f>IF(LEFT(I5193,2)="MV",2*N5193*IF(L5193="1/C",O5193,1),0)</f>
        <v/>
      </c>
      <c r="Y5193" s="12">
        <f>IF(OR(LEFT(K5193,4)="LVAX",LEFT(K5193,6)="MV15AX",LEFT(K5193,4)="CTAX",LEFT(K5193,2)="W|"),2*N5193*O5193,0)</f>
        <v/>
      </c>
      <c r="Z5193" s="12" t="inlineStr">
        <is>
          <t>VD 2.1 %</t>
        </is>
      </c>
      <c r="AA5193" s="12">
        <f>N5193*O5193</f>
        <v/>
      </c>
    </row>
    <row r="5194">
      <c r="A5194" s="12" t="inlineStr">
        <is>
          <t>I-P-0144</t>
        </is>
      </c>
      <c r="B5194" s="12" t="inlineStr">
        <is>
          <t>I</t>
        </is>
      </c>
      <c r="C5194" s="12" t="inlineStr">
        <is>
          <t>Modular / portable power</t>
        </is>
      </c>
      <c r="D5194" s="12" t="inlineStr">
        <is>
          <t>Motor 5 of 6, 22 kW</t>
        </is>
      </c>
      <c r="E5194" s="12" t="inlineStr"/>
      <c r="F5194" s="12" t="inlineStr">
        <is>
          <t>PCM: power control module</t>
        </is>
      </c>
      <c r="G5194" s="12" t="inlineStr">
        <is>
          <t>RICE-6</t>
        </is>
      </c>
      <c r="H5194" s="12" t="inlineStr">
        <is>
          <t>RICE engine-generator 6</t>
        </is>
      </c>
      <c r="I5194" s="12" t="inlineStr">
        <is>
          <t>LV 600 V</t>
        </is>
      </c>
      <c r="J5194" s="12" t="inlineStr">
        <is>
          <t>Type TC-ER 600 V 3/C Cu XHHW-2 + ground, PVC jacket</t>
        </is>
      </c>
      <c r="K5194" s="12" t="inlineStr">
        <is>
          <t>LV|3/C+G|4</t>
        </is>
      </c>
      <c r="L5194" s="12" t="inlineStr">
        <is>
          <t>3/C+G</t>
        </is>
      </c>
      <c r="M5194" s="12" t="inlineStr">
        <is>
          <t>4</t>
        </is>
      </c>
      <c r="N5194" s="12" t="n">
        <v>1</v>
      </c>
      <c r="O5194" s="12" t="n">
        <v>1</v>
      </c>
      <c r="P5194" s="12" t="n">
        <v>480</v>
      </c>
      <c r="Q5194" s="12" t="n">
        <v>22</v>
      </c>
      <c r="R5194" s="12" t="n">
        <v>31.1</v>
      </c>
      <c r="S5194" s="12" t="inlineStr">
        <is>
          <t>Duct bank</t>
        </is>
      </c>
      <c r="T5194" s="16" t="n">
        <v>367</v>
      </c>
      <c r="U5194" s="16" t="n">
        <v>180</v>
      </c>
      <c r="V5194" s="16">
        <f>ROUNDUP((T5194+U5194+2*'Read Me'!$B$13)*(1+'Read Me'!$B$12),-1)</f>
        <v/>
      </c>
      <c r="W5194" s="16">
        <f>V5194*N5194*O5194</f>
        <v/>
      </c>
      <c r="X5194" s="12">
        <f>IF(LEFT(I5194,2)="MV",2*N5194*IF(L5194="1/C",O5194,1),0)</f>
        <v/>
      </c>
      <c r="Y5194" s="12">
        <f>IF(OR(LEFT(K5194,4)="LVAX",LEFT(K5194,6)="MV15AX",LEFT(K5194,4)="CTAX",LEFT(K5194,2)="W|"),2*N5194*O5194,0)</f>
        <v/>
      </c>
      <c r="Z5194" s="12" t="inlineStr">
        <is>
          <t>VD 2.1 %</t>
        </is>
      </c>
      <c r="AA5194" s="12">
        <f>N5194*O5194</f>
        <v/>
      </c>
    </row>
    <row r="5195">
      <c r="A5195" s="12" t="inlineStr">
        <is>
          <t>I-P-0145</t>
        </is>
      </c>
      <c r="B5195" s="12" t="inlineStr">
        <is>
          <t>I</t>
        </is>
      </c>
      <c r="C5195" s="12" t="inlineStr">
        <is>
          <t>Modular / portable power</t>
        </is>
      </c>
      <c r="D5195" s="12" t="inlineStr">
        <is>
          <t>Motor 6 of 6, 22 kW</t>
        </is>
      </c>
      <c r="E5195" s="12" t="inlineStr"/>
      <c r="F5195" s="12" t="inlineStr">
        <is>
          <t>PCM: power control module</t>
        </is>
      </c>
      <c r="G5195" s="12" t="inlineStr">
        <is>
          <t>RICE-6</t>
        </is>
      </c>
      <c r="H5195" s="12" t="inlineStr">
        <is>
          <t>RICE engine-generator 6</t>
        </is>
      </c>
      <c r="I5195" s="12" t="inlineStr">
        <is>
          <t>LV 600 V</t>
        </is>
      </c>
      <c r="J5195" s="12" t="inlineStr">
        <is>
          <t>Type TC-ER 600 V 3/C Cu XHHW-2 + ground, PVC jacket</t>
        </is>
      </c>
      <c r="K5195" s="12" t="inlineStr">
        <is>
          <t>LV|3/C+G|4</t>
        </is>
      </c>
      <c r="L5195" s="12" t="inlineStr">
        <is>
          <t>3/C+G</t>
        </is>
      </c>
      <c r="M5195" s="12" t="inlineStr">
        <is>
          <t>4</t>
        </is>
      </c>
      <c r="N5195" s="12" t="n">
        <v>1</v>
      </c>
      <c r="O5195" s="12" t="n">
        <v>1</v>
      </c>
      <c r="P5195" s="12" t="n">
        <v>480</v>
      </c>
      <c r="Q5195" s="12" t="n">
        <v>22</v>
      </c>
      <c r="R5195" s="12" t="n">
        <v>31.1</v>
      </c>
      <c r="S5195" s="12" t="inlineStr">
        <is>
          <t>Duct bank</t>
        </is>
      </c>
      <c r="T5195" s="16" t="n">
        <v>367</v>
      </c>
      <c r="U5195" s="16" t="n">
        <v>180</v>
      </c>
      <c r="V5195" s="16">
        <f>ROUNDUP((T5195+U5195+2*'Read Me'!$B$13)*(1+'Read Me'!$B$12),-1)</f>
        <v/>
      </c>
      <c r="W5195" s="16">
        <f>V5195*N5195*O5195</f>
        <v/>
      </c>
      <c r="X5195" s="12">
        <f>IF(LEFT(I5195,2)="MV",2*N5195*IF(L5195="1/C",O5195,1),0)</f>
        <v/>
      </c>
      <c r="Y5195" s="12">
        <f>IF(OR(LEFT(K5195,4)="LVAX",LEFT(K5195,6)="MV15AX",LEFT(K5195,4)="CTAX",LEFT(K5195,2)="W|"),2*N5195*O5195,0)</f>
        <v/>
      </c>
      <c r="Z5195" s="12" t="inlineStr">
        <is>
          <t>VD 2.1 %</t>
        </is>
      </c>
      <c r="AA5195" s="12">
        <f>N5195*O5195</f>
        <v/>
      </c>
    </row>
    <row r="5196">
      <c r="A5196" s="12" t="inlineStr">
        <is>
          <t>I-P-0146</t>
        </is>
      </c>
      <c r="B5196" s="12" t="inlineStr">
        <is>
          <t>I</t>
        </is>
      </c>
      <c r="C5196" s="12" t="inlineStr">
        <is>
          <t>Modular / portable power</t>
        </is>
      </c>
      <c r="D5196" s="12" t="inlineStr">
        <is>
          <t>480 V welding receptacle 1</t>
        </is>
      </c>
      <c r="E5196" s="12" t="inlineStr"/>
      <c r="F5196" s="12" t="inlineStr">
        <is>
          <t>PCM: power control module</t>
        </is>
      </c>
      <c r="G5196" s="12" t="inlineStr">
        <is>
          <t>RICE-6</t>
        </is>
      </c>
      <c r="H5196" s="12" t="inlineStr">
        <is>
          <t>RICE engine-generator 6</t>
        </is>
      </c>
      <c r="I5196" s="12" t="inlineStr">
        <is>
          <t>LV 600 V</t>
        </is>
      </c>
      <c r="J5196" s="12" t="inlineStr">
        <is>
          <t>Type TC-ER 600 V 3/C Cu XHHW-2 + ground, PVC jacket</t>
        </is>
      </c>
      <c r="K5196" s="12" t="inlineStr">
        <is>
          <t>LV|3/C+G|1</t>
        </is>
      </c>
      <c r="L5196" s="12" t="inlineStr">
        <is>
          <t>3/C+G</t>
        </is>
      </c>
      <c r="M5196" s="12" t="inlineStr">
        <is>
          <t>1</t>
        </is>
      </c>
      <c r="N5196" s="12" t="n">
        <v>1</v>
      </c>
      <c r="O5196" s="12" t="n">
        <v>1</v>
      </c>
      <c r="P5196" s="12" t="n">
        <v>480</v>
      </c>
      <c r="Q5196" s="12" t="n">
        <v>60</v>
      </c>
      <c r="R5196" s="12" t="n">
        <v>76</v>
      </c>
      <c r="S5196" s="12" t="inlineStr">
        <is>
          <t>Duct bank</t>
        </is>
      </c>
      <c r="T5196" s="16" t="n">
        <v>367</v>
      </c>
      <c r="U5196" s="16" t="n">
        <v>180</v>
      </c>
      <c r="V5196" s="16">
        <f>ROUNDUP((T5196+U5196+2*'Read Me'!$B$13)*(1+'Read Me'!$B$12),-1)</f>
        <v/>
      </c>
      <c r="W5196" s="16">
        <f>V5196*N5196*O5196</f>
        <v/>
      </c>
      <c r="X5196" s="12">
        <f>IF(LEFT(I5196,2)="MV",2*N5196*IF(L5196="1/C",O5196,1),0)</f>
        <v/>
      </c>
      <c r="Y5196" s="12">
        <f>IF(OR(LEFT(K5196,4)="LVAX",LEFT(K5196,6)="MV15AX",LEFT(K5196,4)="CTAX",LEFT(K5196,2)="W|"),2*N5196*O5196,0)</f>
        <v/>
      </c>
      <c r="Z5196" s="12" t="inlineStr">
        <is>
          <t>VD 2.5 %</t>
        </is>
      </c>
      <c r="AA5196" s="12">
        <f>N5196*O5196</f>
        <v/>
      </c>
    </row>
    <row r="5197">
      <c r="A5197" s="12" t="inlineStr">
        <is>
          <t>I-P-0147</t>
        </is>
      </c>
      <c r="B5197" s="12" t="inlineStr">
        <is>
          <t>I</t>
        </is>
      </c>
      <c r="C5197" s="12" t="inlineStr">
        <is>
          <t>Modular / portable power</t>
        </is>
      </c>
      <c r="D5197" s="12" t="inlineStr">
        <is>
          <t>480 V welding receptacle 2</t>
        </is>
      </c>
      <c r="E5197" s="12" t="inlineStr"/>
      <c r="F5197" s="12" t="inlineStr">
        <is>
          <t>PCM: power control module</t>
        </is>
      </c>
      <c r="G5197" s="12" t="inlineStr">
        <is>
          <t>RICE-6</t>
        </is>
      </c>
      <c r="H5197" s="12" t="inlineStr">
        <is>
          <t>RICE engine-generator 6</t>
        </is>
      </c>
      <c r="I5197" s="12" t="inlineStr">
        <is>
          <t>LV 600 V</t>
        </is>
      </c>
      <c r="J5197" s="12" t="inlineStr">
        <is>
          <t>Type TC-ER 600 V 3/C Cu XHHW-2 + ground, PVC jacket</t>
        </is>
      </c>
      <c r="K5197" s="12" t="inlineStr">
        <is>
          <t>LV|3/C+G|1</t>
        </is>
      </c>
      <c r="L5197" s="12" t="inlineStr">
        <is>
          <t>3/C+G</t>
        </is>
      </c>
      <c r="M5197" s="12" t="inlineStr">
        <is>
          <t>1</t>
        </is>
      </c>
      <c r="N5197" s="12" t="n">
        <v>1</v>
      </c>
      <c r="O5197" s="12" t="n">
        <v>1</v>
      </c>
      <c r="P5197" s="12" t="n">
        <v>480</v>
      </c>
      <c r="Q5197" s="12" t="n">
        <v>60</v>
      </c>
      <c r="R5197" s="12" t="n">
        <v>76</v>
      </c>
      <c r="S5197" s="12" t="inlineStr">
        <is>
          <t>Duct bank</t>
        </is>
      </c>
      <c r="T5197" s="16" t="n">
        <v>367</v>
      </c>
      <c r="U5197" s="16" t="n">
        <v>180</v>
      </c>
      <c r="V5197" s="16">
        <f>ROUNDUP((T5197+U5197+2*'Read Me'!$B$13)*(1+'Read Me'!$B$12),-1)</f>
        <v/>
      </c>
      <c r="W5197" s="16">
        <f>V5197*N5197*O5197</f>
        <v/>
      </c>
      <c r="X5197" s="12">
        <f>IF(LEFT(I5197,2)="MV",2*N5197*IF(L5197="1/C",O5197,1),0)</f>
        <v/>
      </c>
      <c r="Y5197" s="12">
        <f>IF(OR(LEFT(K5197,4)="LVAX",LEFT(K5197,6)="MV15AX",LEFT(K5197,4)="CTAX",LEFT(K5197,2)="W|"),2*N5197*O5197,0)</f>
        <v/>
      </c>
      <c r="Z5197" s="12" t="inlineStr">
        <is>
          <t>VD 2.5 %</t>
        </is>
      </c>
      <c r="AA5197" s="12">
        <f>N5197*O5197</f>
        <v/>
      </c>
    </row>
    <row r="5198">
      <c r="A5198" s="12" t="inlineStr">
        <is>
          <t>I-P-0148</t>
        </is>
      </c>
      <c r="B5198" s="12" t="inlineStr">
        <is>
          <t>I</t>
        </is>
      </c>
      <c r="C5198" s="12" t="inlineStr">
        <is>
          <t>Modular / portable power</t>
        </is>
      </c>
      <c r="D5198" s="12" t="inlineStr">
        <is>
          <t>480 V welding receptacle 3</t>
        </is>
      </c>
      <c r="E5198" s="12" t="inlineStr"/>
      <c r="F5198" s="12" t="inlineStr">
        <is>
          <t>PCM: power control module</t>
        </is>
      </c>
      <c r="G5198" s="12" t="inlineStr">
        <is>
          <t>RICE-6</t>
        </is>
      </c>
      <c r="H5198" s="12" t="inlineStr">
        <is>
          <t>RICE engine-generator 6</t>
        </is>
      </c>
      <c r="I5198" s="12" t="inlineStr">
        <is>
          <t>LV 600 V</t>
        </is>
      </c>
      <c r="J5198" s="12" t="inlineStr">
        <is>
          <t>Type TC-ER 600 V 3/C Cu XHHW-2 + ground, PVC jacket</t>
        </is>
      </c>
      <c r="K5198" s="12" t="inlineStr">
        <is>
          <t>LV|3/C+G|1</t>
        </is>
      </c>
      <c r="L5198" s="12" t="inlineStr">
        <is>
          <t>3/C+G</t>
        </is>
      </c>
      <c r="M5198" s="12" t="inlineStr">
        <is>
          <t>1</t>
        </is>
      </c>
      <c r="N5198" s="12" t="n">
        <v>1</v>
      </c>
      <c r="O5198" s="12" t="n">
        <v>1</v>
      </c>
      <c r="P5198" s="12" t="n">
        <v>480</v>
      </c>
      <c r="Q5198" s="12" t="n">
        <v>60</v>
      </c>
      <c r="R5198" s="12" t="n">
        <v>76</v>
      </c>
      <c r="S5198" s="12" t="inlineStr">
        <is>
          <t>Duct bank</t>
        </is>
      </c>
      <c r="T5198" s="16" t="n">
        <v>367</v>
      </c>
      <c r="U5198" s="16" t="n">
        <v>180</v>
      </c>
      <c r="V5198" s="16">
        <f>ROUNDUP((T5198+U5198+2*'Read Me'!$B$13)*(1+'Read Me'!$B$12),-1)</f>
        <v/>
      </c>
      <c r="W5198" s="16">
        <f>V5198*N5198*O5198</f>
        <v/>
      </c>
      <c r="X5198" s="12">
        <f>IF(LEFT(I5198,2)="MV",2*N5198*IF(L5198="1/C",O5198,1),0)</f>
        <v/>
      </c>
      <c r="Y5198" s="12">
        <f>IF(OR(LEFT(K5198,4)="LVAX",LEFT(K5198,6)="MV15AX",LEFT(K5198,4)="CTAX",LEFT(K5198,2)="W|"),2*N5198*O5198,0)</f>
        <v/>
      </c>
      <c r="Z5198" s="12" t="inlineStr">
        <is>
          <t>VD 2.5 %</t>
        </is>
      </c>
      <c r="AA5198" s="12">
        <f>N5198*O5198</f>
        <v/>
      </c>
    </row>
    <row r="5199">
      <c r="A5199" s="12" t="inlineStr">
        <is>
          <t>I-P-0149</t>
        </is>
      </c>
      <c r="B5199" s="12" t="inlineStr">
        <is>
          <t>I</t>
        </is>
      </c>
      <c r="C5199" s="12" t="inlineStr">
        <is>
          <t>Modular / portable power</t>
        </is>
      </c>
      <c r="D5199" s="12" t="inlineStr">
        <is>
          <t>480 V welding receptacle 4</t>
        </is>
      </c>
      <c r="E5199" s="12" t="inlineStr"/>
      <c r="F5199" s="12" t="inlineStr">
        <is>
          <t>PCM: power control module</t>
        </is>
      </c>
      <c r="G5199" s="12" t="inlineStr">
        <is>
          <t>RICE-6</t>
        </is>
      </c>
      <c r="H5199" s="12" t="inlineStr">
        <is>
          <t>RICE engine-generator 6</t>
        </is>
      </c>
      <c r="I5199" s="12" t="inlineStr">
        <is>
          <t>LV 600 V</t>
        </is>
      </c>
      <c r="J5199" s="12" t="inlineStr">
        <is>
          <t>Type TC-ER 600 V 3/C Cu XHHW-2 + ground, PVC jacket</t>
        </is>
      </c>
      <c r="K5199" s="12" t="inlineStr">
        <is>
          <t>LV|3/C+G|1</t>
        </is>
      </c>
      <c r="L5199" s="12" t="inlineStr">
        <is>
          <t>3/C+G</t>
        </is>
      </c>
      <c r="M5199" s="12" t="inlineStr">
        <is>
          <t>1</t>
        </is>
      </c>
      <c r="N5199" s="12" t="n">
        <v>1</v>
      </c>
      <c r="O5199" s="12" t="n">
        <v>1</v>
      </c>
      <c r="P5199" s="12" t="n">
        <v>480</v>
      </c>
      <c r="Q5199" s="12" t="n">
        <v>60</v>
      </c>
      <c r="R5199" s="12" t="n">
        <v>76</v>
      </c>
      <c r="S5199" s="12" t="inlineStr">
        <is>
          <t>Duct bank</t>
        </is>
      </c>
      <c r="T5199" s="16" t="n">
        <v>367</v>
      </c>
      <c r="U5199" s="16" t="n">
        <v>180</v>
      </c>
      <c r="V5199" s="16">
        <f>ROUNDUP((T5199+U5199+2*'Read Me'!$B$13)*(1+'Read Me'!$B$12),-1)</f>
        <v/>
      </c>
      <c r="W5199" s="16">
        <f>V5199*N5199*O5199</f>
        <v/>
      </c>
      <c r="X5199" s="12">
        <f>IF(LEFT(I5199,2)="MV",2*N5199*IF(L5199="1/C",O5199,1),0)</f>
        <v/>
      </c>
      <c r="Y5199" s="12">
        <f>IF(OR(LEFT(K5199,4)="LVAX",LEFT(K5199,6)="MV15AX",LEFT(K5199,4)="CTAX",LEFT(K5199,2)="W|"),2*N5199*O5199,0)</f>
        <v/>
      </c>
      <c r="Z5199" s="12" t="inlineStr">
        <is>
          <t>VD 2.5 %</t>
        </is>
      </c>
      <c r="AA5199" s="12">
        <f>N5199*O5199</f>
        <v/>
      </c>
    </row>
    <row r="5200">
      <c r="A5200" s="12" t="inlineStr">
        <is>
          <t>I-P-0150</t>
        </is>
      </c>
      <c r="B5200" s="12" t="inlineStr">
        <is>
          <t>I</t>
        </is>
      </c>
      <c r="C5200" s="12" t="inlineStr">
        <is>
          <t>Modular / portable power</t>
        </is>
      </c>
      <c r="D5200" s="12" t="inlineStr">
        <is>
          <t>Motor 1 of 6, 22 kW</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LV|3/C+G|8</t>
        </is>
      </c>
      <c r="L5200" s="12" t="inlineStr">
        <is>
          <t>3/C+G</t>
        </is>
      </c>
      <c r="M5200" s="12" t="inlineStr">
        <is>
          <t>8</t>
        </is>
      </c>
      <c r="N5200" s="12" t="n">
        <v>1</v>
      </c>
      <c r="O5200" s="12" t="n">
        <v>1</v>
      </c>
      <c r="P5200" s="12" t="n">
        <v>480</v>
      </c>
      <c r="Q5200" s="12" t="n">
        <v>22</v>
      </c>
      <c r="R5200" s="12" t="n">
        <v>31.1</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1.8 %</t>
        </is>
      </c>
      <c r="AA5200" s="12">
        <f>N5200*O5200</f>
        <v/>
      </c>
    </row>
    <row r="5201">
      <c r="A5201" s="12" t="inlineStr">
        <is>
          <t>I-P-0151</t>
        </is>
      </c>
      <c r="B5201" s="12" t="inlineStr">
        <is>
          <t>I</t>
        </is>
      </c>
      <c r="C5201" s="12" t="inlineStr">
        <is>
          <t>Modular / portable power</t>
        </is>
      </c>
      <c r="D5201" s="12" t="inlineStr">
        <is>
          <t>Motor 2 of 6, 22 kW</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LV|3/C+G|8</t>
        </is>
      </c>
      <c r="L5201" s="12" t="inlineStr">
        <is>
          <t>3/C+G</t>
        </is>
      </c>
      <c r="M5201" s="12" t="inlineStr">
        <is>
          <t>8</t>
        </is>
      </c>
      <c r="N5201" s="12" t="n">
        <v>1</v>
      </c>
      <c r="O5201" s="12" t="n">
        <v>1</v>
      </c>
      <c r="P5201" s="12" t="n">
        <v>480</v>
      </c>
      <c r="Q5201" s="12" t="n">
        <v>22</v>
      </c>
      <c r="R5201" s="12" t="n">
        <v>31.1</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1.8 %</t>
        </is>
      </c>
      <c r="AA5201" s="12">
        <f>N5201*O5201</f>
        <v/>
      </c>
    </row>
    <row r="5202">
      <c r="A5202" s="12" t="inlineStr">
        <is>
          <t>I-P-0152</t>
        </is>
      </c>
      <c r="B5202" s="12" t="inlineStr">
        <is>
          <t>I</t>
        </is>
      </c>
      <c r="C5202" s="12" t="inlineStr">
        <is>
          <t>Modular / portable power</t>
        </is>
      </c>
      <c r="D5202" s="12" t="inlineStr">
        <is>
          <t>Motor 3 of 6, 22 kW</t>
        </is>
      </c>
      <c r="E5202" s="12" t="inlineStr"/>
      <c r="F5202" s="12" t="inlineStr">
        <is>
          <t>PCM: power control module</t>
        </is>
      </c>
      <c r="G5202" s="12" t="inlineStr">
        <is>
          <t>RICE-7</t>
        </is>
      </c>
      <c r="H5202" s="12" t="inlineStr">
        <is>
          <t>RICE engine-generator 7</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189</v>
      </c>
      <c r="V5202" s="16">
        <f>ROUNDUP((T5202+U5202+2*'Read Me'!$B$13)*(1+'Read Me'!$B$12),-1)</f>
        <v/>
      </c>
      <c r="W5202" s="16">
        <f>V5202*N5202*O5202</f>
        <v/>
      </c>
      <c r="X5202" s="12">
        <f>IF(LEFT(I5202,2)="MV",2*N5202*IF(L5202="1/C",O5202,1),0)</f>
        <v/>
      </c>
      <c r="Y5202" s="12">
        <f>IF(OR(LEFT(K5202,4)="LVAX",LEFT(K5202,6)="MV15AX",LEFT(K5202,4)="CTAX",LEFT(K5202,2)="W|"),2*N5202*O5202,0)</f>
        <v/>
      </c>
      <c r="Z5202" s="12" t="inlineStr">
        <is>
          <t>VD 1.8 %</t>
        </is>
      </c>
      <c r="AA5202" s="12">
        <f>N5202*O5202</f>
        <v/>
      </c>
    </row>
    <row r="5203">
      <c r="A5203" s="12" t="inlineStr">
        <is>
          <t>I-P-0153</t>
        </is>
      </c>
      <c r="B5203" s="12" t="inlineStr">
        <is>
          <t>I</t>
        </is>
      </c>
      <c r="C5203" s="12" t="inlineStr">
        <is>
          <t>Modular / portable power</t>
        </is>
      </c>
      <c r="D5203" s="12" t="inlineStr">
        <is>
          <t>Motor 4 of 6, 22 kW</t>
        </is>
      </c>
      <c r="E5203" s="12" t="inlineStr"/>
      <c r="F5203" s="12" t="inlineStr">
        <is>
          <t>PCM: power control module</t>
        </is>
      </c>
      <c r="G5203" s="12" t="inlineStr">
        <is>
          <t>RICE-7</t>
        </is>
      </c>
      <c r="H5203" s="12" t="inlineStr">
        <is>
          <t>RICE engine-generator 7</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189</v>
      </c>
      <c r="V5203" s="16">
        <f>ROUNDUP((T5203+U5203+2*'Read Me'!$B$13)*(1+'Read Me'!$B$12),-1)</f>
        <v/>
      </c>
      <c r="W5203" s="16">
        <f>V5203*N5203*O5203</f>
        <v/>
      </c>
      <c r="X5203" s="12">
        <f>IF(LEFT(I5203,2)="MV",2*N5203*IF(L5203="1/C",O5203,1),0)</f>
        <v/>
      </c>
      <c r="Y5203" s="12">
        <f>IF(OR(LEFT(K5203,4)="LVAX",LEFT(K5203,6)="MV15AX",LEFT(K5203,4)="CTAX",LEFT(K5203,2)="W|"),2*N5203*O5203,0)</f>
        <v/>
      </c>
      <c r="Z5203" s="12" t="inlineStr">
        <is>
          <t>VD 1.8 %</t>
        </is>
      </c>
      <c r="AA5203" s="12">
        <f>N5203*O5203</f>
        <v/>
      </c>
    </row>
    <row r="5204">
      <c r="A5204" s="12" t="inlineStr">
        <is>
          <t>I-P-0154</t>
        </is>
      </c>
      <c r="B5204" s="12" t="inlineStr">
        <is>
          <t>I</t>
        </is>
      </c>
      <c r="C5204" s="12" t="inlineStr">
        <is>
          <t>Modular / portable power</t>
        </is>
      </c>
      <c r="D5204" s="12" t="inlineStr">
        <is>
          <t>Motor 5 of 6, 22 kW</t>
        </is>
      </c>
      <c r="E5204" s="12" t="inlineStr"/>
      <c r="F5204" s="12" t="inlineStr">
        <is>
          <t>PCM: power control module</t>
        </is>
      </c>
      <c r="G5204" s="12" t="inlineStr">
        <is>
          <t>RICE-7</t>
        </is>
      </c>
      <c r="H5204" s="12" t="inlineStr">
        <is>
          <t>RICE engine-generator 7</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189</v>
      </c>
      <c r="V5204" s="16">
        <f>ROUNDUP((T5204+U5204+2*'Read Me'!$B$13)*(1+'Read Me'!$B$12),-1)</f>
        <v/>
      </c>
      <c r="W5204" s="16">
        <f>V5204*N5204*O5204</f>
        <v/>
      </c>
      <c r="X5204" s="12">
        <f>IF(LEFT(I5204,2)="MV",2*N5204*IF(L5204="1/C",O5204,1),0)</f>
        <v/>
      </c>
      <c r="Y5204" s="12">
        <f>IF(OR(LEFT(K5204,4)="LVAX",LEFT(K5204,6)="MV15AX",LEFT(K5204,4)="CTAX",LEFT(K5204,2)="W|"),2*N5204*O5204,0)</f>
        <v/>
      </c>
      <c r="Z5204" s="12" t="inlineStr">
        <is>
          <t>VD 1.8 %</t>
        </is>
      </c>
      <c r="AA5204" s="12">
        <f>N5204*O5204</f>
        <v/>
      </c>
    </row>
    <row r="5205">
      <c r="A5205" s="12" t="inlineStr">
        <is>
          <t>I-P-0155</t>
        </is>
      </c>
      <c r="B5205" s="12" t="inlineStr">
        <is>
          <t>I</t>
        </is>
      </c>
      <c r="C5205" s="12" t="inlineStr">
        <is>
          <t>Modular / portable power</t>
        </is>
      </c>
      <c r="D5205" s="12" t="inlineStr">
        <is>
          <t>Motor 6 of 6, 22 kW</t>
        </is>
      </c>
      <c r="E5205" s="12" t="inlineStr"/>
      <c r="F5205" s="12" t="inlineStr">
        <is>
          <t>PCM: power control module</t>
        </is>
      </c>
      <c r="G5205" s="12" t="inlineStr">
        <is>
          <t>RICE-7</t>
        </is>
      </c>
      <c r="H5205" s="12" t="inlineStr">
        <is>
          <t>RICE engine-generator 7</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189</v>
      </c>
      <c r="V5205" s="16">
        <f>ROUNDUP((T5205+U5205+2*'Read Me'!$B$13)*(1+'Read Me'!$B$12),-1)</f>
        <v/>
      </c>
      <c r="W5205" s="16">
        <f>V5205*N5205*O5205</f>
        <v/>
      </c>
      <c r="X5205" s="12">
        <f>IF(LEFT(I5205,2)="MV",2*N5205*IF(L5205="1/C",O5205,1),0)</f>
        <v/>
      </c>
      <c r="Y5205" s="12">
        <f>IF(OR(LEFT(K5205,4)="LVAX",LEFT(K5205,6)="MV15AX",LEFT(K5205,4)="CTAX",LEFT(K5205,2)="W|"),2*N5205*O5205,0)</f>
        <v/>
      </c>
      <c r="Z5205" s="12" t="inlineStr">
        <is>
          <t>VD 1.8 %</t>
        </is>
      </c>
      <c r="AA5205" s="12">
        <f>N5205*O5205</f>
        <v/>
      </c>
    </row>
    <row r="5206">
      <c r="A5206" s="12" t="inlineStr">
        <is>
          <t>I-P-0156</t>
        </is>
      </c>
      <c r="B5206" s="12" t="inlineStr">
        <is>
          <t>I</t>
        </is>
      </c>
      <c r="C5206" s="12" t="inlineStr">
        <is>
          <t>Modular / portable power</t>
        </is>
      </c>
      <c r="D5206" s="12" t="inlineStr">
        <is>
          <t>480 V welding receptacle 1</t>
        </is>
      </c>
      <c r="E5206" s="12" t="inlineStr"/>
      <c r="F5206" s="12" t="inlineStr">
        <is>
          <t>PCM: power control module</t>
        </is>
      </c>
      <c r="G5206" s="12" t="inlineStr">
        <is>
          <t>RICE-7</t>
        </is>
      </c>
      <c r="H5206" s="12" t="inlineStr">
        <is>
          <t>RICE engine-generator 7</t>
        </is>
      </c>
      <c r="I5206" s="12" t="inlineStr">
        <is>
          <t>LV 600 V</t>
        </is>
      </c>
      <c r="J5206" s="12" t="inlineStr">
        <is>
          <t>Type TC-ER 600 V 3/C Cu XHHW-2 + ground, PVC jacket</t>
        </is>
      </c>
      <c r="K5206" s="12" t="inlineStr">
        <is>
          <t>LV|3/C+G|2</t>
        </is>
      </c>
      <c r="L5206" s="12" t="inlineStr">
        <is>
          <t>3/C+G</t>
        </is>
      </c>
      <c r="M5206" s="12" t="inlineStr">
        <is>
          <t>2</t>
        </is>
      </c>
      <c r="N5206" s="12" t="n">
        <v>1</v>
      </c>
      <c r="O5206" s="12" t="n">
        <v>1</v>
      </c>
      <c r="P5206" s="12" t="n">
        <v>480</v>
      </c>
      <c r="Q5206" s="12" t="n">
        <v>60</v>
      </c>
      <c r="R5206" s="12" t="n">
        <v>76</v>
      </c>
      <c r="S5206" s="12" t="inlineStr">
        <is>
          <t>Tray</t>
        </is>
      </c>
      <c r="T5206" s="16" t="n">
        <v>0</v>
      </c>
      <c r="U5206" s="16" t="n">
        <v>189</v>
      </c>
      <c r="V5206" s="16">
        <f>ROUNDUP((T5206+U5206+2*'Read Me'!$B$13)*(1+'Read Me'!$B$12),-1)</f>
        <v/>
      </c>
      <c r="W5206" s="16">
        <f>V5206*N5206*O5206</f>
        <v/>
      </c>
      <c r="X5206" s="12">
        <f>IF(LEFT(I5206,2)="MV",2*N5206*IF(L5206="1/C",O5206,1),0)</f>
        <v/>
      </c>
      <c r="Y5206" s="12">
        <f>IF(OR(LEFT(K5206,4)="LVAX",LEFT(K5206,6)="MV15AX",LEFT(K5206,4)="CTAX",LEFT(K5206,2)="W|"),2*N5206*O5206,0)</f>
        <v/>
      </c>
      <c r="Z5206" s="12" t="inlineStr">
        <is>
          <t>VD 1.1 %</t>
        </is>
      </c>
      <c r="AA5206" s="12">
        <f>N5206*O5206</f>
        <v/>
      </c>
    </row>
    <row r="5207">
      <c r="A5207" s="12" t="inlineStr">
        <is>
          <t>I-P-0157</t>
        </is>
      </c>
      <c r="B5207" s="12" t="inlineStr">
        <is>
          <t>I</t>
        </is>
      </c>
      <c r="C5207" s="12" t="inlineStr">
        <is>
          <t>Modular / portable power</t>
        </is>
      </c>
      <c r="D5207" s="12" t="inlineStr">
        <is>
          <t>480 V welding receptacle 2</t>
        </is>
      </c>
      <c r="E5207" s="12" t="inlineStr"/>
      <c r="F5207" s="12" t="inlineStr">
        <is>
          <t>PCM: power control module</t>
        </is>
      </c>
      <c r="G5207" s="12" t="inlineStr">
        <is>
          <t>RICE-7</t>
        </is>
      </c>
      <c r="H5207" s="12" t="inlineStr">
        <is>
          <t>RICE engine-generator 7</t>
        </is>
      </c>
      <c r="I5207" s="12" t="inlineStr">
        <is>
          <t>LV 600 V</t>
        </is>
      </c>
      <c r="J5207" s="12" t="inlineStr">
        <is>
          <t>Type TC-ER 600 V 3/C Cu XHHW-2 + ground, PVC jacket</t>
        </is>
      </c>
      <c r="K5207" s="12" t="inlineStr">
        <is>
          <t>LV|3/C+G|2</t>
        </is>
      </c>
      <c r="L5207" s="12" t="inlineStr">
        <is>
          <t>3/C+G</t>
        </is>
      </c>
      <c r="M5207" s="12" t="inlineStr">
        <is>
          <t>2</t>
        </is>
      </c>
      <c r="N5207" s="12" t="n">
        <v>1</v>
      </c>
      <c r="O5207" s="12" t="n">
        <v>1</v>
      </c>
      <c r="P5207" s="12" t="n">
        <v>480</v>
      </c>
      <c r="Q5207" s="12" t="n">
        <v>60</v>
      </c>
      <c r="R5207" s="12" t="n">
        <v>76</v>
      </c>
      <c r="S5207" s="12" t="inlineStr">
        <is>
          <t>Tray</t>
        </is>
      </c>
      <c r="T5207" s="16" t="n">
        <v>0</v>
      </c>
      <c r="U5207" s="16" t="n">
        <v>189</v>
      </c>
      <c r="V5207" s="16">
        <f>ROUNDUP((T5207+U5207+2*'Read Me'!$B$13)*(1+'Read Me'!$B$12),-1)</f>
        <v/>
      </c>
      <c r="W5207" s="16">
        <f>V5207*N5207*O5207</f>
        <v/>
      </c>
      <c r="X5207" s="12">
        <f>IF(LEFT(I5207,2)="MV",2*N5207*IF(L5207="1/C",O5207,1),0)</f>
        <v/>
      </c>
      <c r="Y5207" s="12">
        <f>IF(OR(LEFT(K5207,4)="LVAX",LEFT(K5207,6)="MV15AX",LEFT(K5207,4)="CTAX",LEFT(K5207,2)="W|"),2*N5207*O5207,0)</f>
        <v/>
      </c>
      <c r="Z5207" s="12" t="inlineStr">
        <is>
          <t>VD 1.1 %</t>
        </is>
      </c>
      <c r="AA5207" s="12">
        <f>N5207*O5207</f>
        <v/>
      </c>
    </row>
    <row r="5208">
      <c r="A5208" s="12" t="inlineStr">
        <is>
          <t>I-P-0158</t>
        </is>
      </c>
      <c r="B5208" s="12" t="inlineStr">
        <is>
          <t>I</t>
        </is>
      </c>
      <c r="C5208" s="12" t="inlineStr">
        <is>
          <t>Modular / portable power</t>
        </is>
      </c>
      <c r="D5208" s="12" t="inlineStr">
        <is>
          <t>480 V welding receptacle 3</t>
        </is>
      </c>
      <c r="E5208" s="12" t="inlineStr"/>
      <c r="F5208" s="12" t="inlineStr">
        <is>
          <t>PCM: power control module</t>
        </is>
      </c>
      <c r="G5208" s="12" t="inlineStr">
        <is>
          <t>RICE-7</t>
        </is>
      </c>
      <c r="H5208" s="12" t="inlineStr">
        <is>
          <t>RICE engine-generator 7</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189</v>
      </c>
      <c r="V5208" s="16">
        <f>ROUNDUP((T5208+U5208+2*'Read Me'!$B$13)*(1+'Read Me'!$B$12),-1)</f>
        <v/>
      </c>
      <c r="W5208" s="16">
        <f>V5208*N5208*O5208</f>
        <v/>
      </c>
      <c r="X5208" s="12">
        <f>IF(LEFT(I5208,2)="MV",2*N5208*IF(L5208="1/C",O5208,1),0)</f>
        <v/>
      </c>
      <c r="Y5208" s="12">
        <f>IF(OR(LEFT(K5208,4)="LVAX",LEFT(K5208,6)="MV15AX",LEFT(K5208,4)="CTAX",LEFT(K5208,2)="W|"),2*N5208*O5208,0)</f>
        <v/>
      </c>
      <c r="Z5208" s="12" t="inlineStr">
        <is>
          <t>VD 1.1 %</t>
        </is>
      </c>
      <c r="AA5208" s="12">
        <f>N5208*O5208</f>
        <v/>
      </c>
    </row>
    <row r="5209">
      <c r="A5209" s="12" t="inlineStr">
        <is>
          <t>I-P-0159</t>
        </is>
      </c>
      <c r="B5209" s="12" t="inlineStr">
        <is>
          <t>I</t>
        </is>
      </c>
      <c r="C5209" s="12" t="inlineStr">
        <is>
          <t>Modular / portable power</t>
        </is>
      </c>
      <c r="D5209" s="12" t="inlineStr">
        <is>
          <t>480 V welding receptacle 4</t>
        </is>
      </c>
      <c r="E5209" s="12" t="inlineStr"/>
      <c r="F5209" s="12" t="inlineStr">
        <is>
          <t>PCM: power control module</t>
        </is>
      </c>
      <c r="G5209" s="12" t="inlineStr">
        <is>
          <t>RICE-7</t>
        </is>
      </c>
      <c r="H5209" s="12" t="inlineStr">
        <is>
          <t>RICE engine-generator 7</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189</v>
      </c>
      <c r="V5209" s="16">
        <f>ROUNDUP((T5209+U5209+2*'Read Me'!$B$13)*(1+'Read Me'!$B$12),-1)</f>
        <v/>
      </c>
      <c r="W5209" s="16">
        <f>V5209*N5209*O5209</f>
        <v/>
      </c>
      <c r="X5209" s="12">
        <f>IF(LEFT(I5209,2)="MV",2*N5209*IF(L5209="1/C",O5209,1),0)</f>
        <v/>
      </c>
      <c r="Y5209" s="12">
        <f>IF(OR(LEFT(K5209,4)="LVAX",LEFT(K5209,6)="MV15AX",LEFT(K5209,4)="CTAX",LEFT(K5209,2)="W|"),2*N5209*O5209,0)</f>
        <v/>
      </c>
      <c r="Z5209" s="12" t="inlineStr">
        <is>
          <t>VD 1.1 %</t>
        </is>
      </c>
      <c r="AA5209" s="12">
        <f>N5209*O5209</f>
        <v/>
      </c>
    </row>
    <row r="5210">
      <c r="A5210" s="12" t="inlineStr">
        <is>
          <t>I-P-0160</t>
        </is>
      </c>
      <c r="B5210" s="12" t="inlineStr">
        <is>
          <t>I</t>
        </is>
      </c>
      <c r="C5210" s="12" t="inlineStr">
        <is>
          <t>Modular / portable power</t>
        </is>
      </c>
      <c r="D5210" s="12" t="inlineStr">
        <is>
          <t>Motor 1 of 6, 22 kW</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LV|3/C+G|8</t>
        </is>
      </c>
      <c r="L5210" s="12" t="inlineStr">
        <is>
          <t>3/C+G</t>
        </is>
      </c>
      <c r="M5210" s="12" t="inlineStr">
        <is>
          <t>8</t>
        </is>
      </c>
      <c r="N5210" s="12" t="n">
        <v>1</v>
      </c>
      <c r="O5210" s="12" t="n">
        <v>1</v>
      </c>
      <c r="P5210" s="12" t="n">
        <v>480</v>
      </c>
      <c r="Q5210" s="12" t="n">
        <v>22</v>
      </c>
      <c r="R5210" s="12" t="n">
        <v>31.1</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1.5 %</t>
        </is>
      </c>
      <c r="AA5210" s="12">
        <f>N5210*O5210</f>
        <v/>
      </c>
    </row>
    <row r="5211">
      <c r="A5211" s="12" t="inlineStr">
        <is>
          <t>I-P-0161</t>
        </is>
      </c>
      <c r="B5211" s="12" t="inlineStr">
        <is>
          <t>I</t>
        </is>
      </c>
      <c r="C5211" s="12" t="inlineStr">
        <is>
          <t>Modular / portable power</t>
        </is>
      </c>
      <c r="D5211" s="12" t="inlineStr">
        <is>
          <t>Motor 2 of 6, 22 kW</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LV|3/C+G|8</t>
        </is>
      </c>
      <c r="L5211" s="12" t="inlineStr">
        <is>
          <t>3/C+G</t>
        </is>
      </c>
      <c r="M5211" s="12" t="inlineStr">
        <is>
          <t>8</t>
        </is>
      </c>
      <c r="N5211" s="12" t="n">
        <v>1</v>
      </c>
      <c r="O5211" s="12" t="n">
        <v>1</v>
      </c>
      <c r="P5211" s="12" t="n">
        <v>480</v>
      </c>
      <c r="Q5211" s="12" t="n">
        <v>22</v>
      </c>
      <c r="R5211" s="12" t="n">
        <v>31.1</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1.5 %</t>
        </is>
      </c>
      <c r="AA5211" s="12">
        <f>N5211*O5211</f>
        <v/>
      </c>
    </row>
    <row r="5212">
      <c r="A5212" s="12" t="inlineStr">
        <is>
          <t>I-P-0162</t>
        </is>
      </c>
      <c r="B5212" s="12" t="inlineStr">
        <is>
          <t>I</t>
        </is>
      </c>
      <c r="C5212" s="12" t="inlineStr">
        <is>
          <t>Modular / portable power</t>
        </is>
      </c>
      <c r="D5212" s="12" t="inlineStr">
        <is>
          <t>Motor 3 of 6, 22 kW</t>
        </is>
      </c>
      <c r="E5212" s="12" t="inlineStr"/>
      <c r="F5212" s="12" t="inlineStr">
        <is>
          <t>PCM: power control module</t>
        </is>
      </c>
      <c r="G5212" s="12" t="inlineStr">
        <is>
          <t>RICE-8</t>
        </is>
      </c>
      <c r="H5212" s="12" t="inlineStr">
        <is>
          <t>RICE engine-generator 8</t>
        </is>
      </c>
      <c r="I5212" s="12" t="inlineStr">
        <is>
          <t>LV 600 V</t>
        </is>
      </c>
      <c r="J5212" s="12" t="inlineStr">
        <is>
          <t>Type TC-ER 600 V 3/C Cu XHHW-2 + ground, PVC jacket</t>
        </is>
      </c>
      <c r="K5212" s="12" t="inlineStr">
        <is>
          <t>LV|3/C+G|8</t>
        </is>
      </c>
      <c r="L5212" s="12" t="inlineStr">
        <is>
          <t>3/C+G</t>
        </is>
      </c>
      <c r="M5212" s="12" t="inlineStr">
        <is>
          <t>8</t>
        </is>
      </c>
      <c r="N5212" s="12" t="n">
        <v>1</v>
      </c>
      <c r="O5212" s="12" t="n">
        <v>1</v>
      </c>
      <c r="P5212" s="12" t="n">
        <v>480</v>
      </c>
      <c r="Q5212" s="12" t="n">
        <v>22</v>
      </c>
      <c r="R5212" s="12" t="n">
        <v>31.1</v>
      </c>
      <c r="S5212" s="12" t="inlineStr">
        <is>
          <t>Tray</t>
        </is>
      </c>
      <c r="T5212" s="16" t="n">
        <v>0</v>
      </c>
      <c r="U5212" s="16" t="n">
        <v>161</v>
      </c>
      <c r="V5212" s="16">
        <f>ROUNDUP((T5212+U5212+2*'Read Me'!$B$13)*(1+'Read Me'!$B$12),-1)</f>
        <v/>
      </c>
      <c r="W5212" s="16">
        <f>V5212*N5212*O5212</f>
        <v/>
      </c>
      <c r="X5212" s="12">
        <f>IF(LEFT(I5212,2)="MV",2*N5212*IF(L5212="1/C",O5212,1),0)</f>
        <v/>
      </c>
      <c r="Y5212" s="12">
        <f>IF(OR(LEFT(K5212,4)="LVAX",LEFT(K5212,6)="MV15AX",LEFT(K5212,4)="CTAX",LEFT(K5212,2)="W|"),2*N5212*O5212,0)</f>
        <v/>
      </c>
      <c r="Z5212" s="12" t="inlineStr">
        <is>
          <t>VD 1.5 %</t>
        </is>
      </c>
      <c r="AA5212" s="12">
        <f>N5212*O5212</f>
        <v/>
      </c>
    </row>
    <row r="5213">
      <c r="A5213" s="12" t="inlineStr">
        <is>
          <t>I-P-0163</t>
        </is>
      </c>
      <c r="B5213" s="12" t="inlineStr">
        <is>
          <t>I</t>
        </is>
      </c>
      <c r="C5213" s="12" t="inlineStr">
        <is>
          <t>Modular / portable power</t>
        </is>
      </c>
      <c r="D5213" s="12" t="inlineStr">
        <is>
          <t>Motor 4 of 6, 22 kW</t>
        </is>
      </c>
      <c r="E5213" s="12" t="inlineStr"/>
      <c r="F5213" s="12" t="inlineStr">
        <is>
          <t>PCM: power control module</t>
        </is>
      </c>
      <c r="G5213" s="12" t="inlineStr">
        <is>
          <t>RICE-8</t>
        </is>
      </c>
      <c r="H5213" s="12" t="inlineStr">
        <is>
          <t>RICE engine-generator 8</t>
        </is>
      </c>
      <c r="I5213" s="12" t="inlineStr">
        <is>
          <t>LV 600 V</t>
        </is>
      </c>
      <c r="J5213" s="12" t="inlineStr">
        <is>
          <t>Type TC-ER 600 V 3/C Cu XHHW-2 + ground, PVC jacket</t>
        </is>
      </c>
      <c r="K5213" s="12" t="inlineStr">
        <is>
          <t>LV|3/C+G|8</t>
        </is>
      </c>
      <c r="L5213" s="12" t="inlineStr">
        <is>
          <t>3/C+G</t>
        </is>
      </c>
      <c r="M5213" s="12" t="inlineStr">
        <is>
          <t>8</t>
        </is>
      </c>
      <c r="N5213" s="12" t="n">
        <v>1</v>
      </c>
      <c r="O5213" s="12" t="n">
        <v>1</v>
      </c>
      <c r="P5213" s="12" t="n">
        <v>480</v>
      </c>
      <c r="Q5213" s="12" t="n">
        <v>22</v>
      </c>
      <c r="R5213" s="12" t="n">
        <v>31.1</v>
      </c>
      <c r="S5213" s="12" t="inlineStr">
        <is>
          <t>Tray</t>
        </is>
      </c>
      <c r="T5213" s="16" t="n">
        <v>0</v>
      </c>
      <c r="U5213" s="16" t="n">
        <v>161</v>
      </c>
      <c r="V5213" s="16">
        <f>ROUNDUP((T5213+U5213+2*'Read Me'!$B$13)*(1+'Read Me'!$B$12),-1)</f>
        <v/>
      </c>
      <c r="W5213" s="16">
        <f>V5213*N5213*O5213</f>
        <v/>
      </c>
      <c r="X5213" s="12">
        <f>IF(LEFT(I5213,2)="MV",2*N5213*IF(L5213="1/C",O5213,1),0)</f>
        <v/>
      </c>
      <c r="Y5213" s="12">
        <f>IF(OR(LEFT(K5213,4)="LVAX",LEFT(K5213,6)="MV15AX",LEFT(K5213,4)="CTAX",LEFT(K5213,2)="W|"),2*N5213*O5213,0)</f>
        <v/>
      </c>
      <c r="Z5213" s="12" t="inlineStr">
        <is>
          <t>VD 1.5 %</t>
        </is>
      </c>
      <c r="AA5213" s="12">
        <f>N5213*O5213</f>
        <v/>
      </c>
    </row>
    <row r="5214">
      <c r="A5214" s="12" t="inlineStr">
        <is>
          <t>I-P-0164</t>
        </is>
      </c>
      <c r="B5214" s="12" t="inlineStr">
        <is>
          <t>I</t>
        </is>
      </c>
      <c r="C5214" s="12" t="inlineStr">
        <is>
          <t>Modular / portable power</t>
        </is>
      </c>
      <c r="D5214" s="12" t="inlineStr">
        <is>
          <t>Motor 5 of 6, 22 kW</t>
        </is>
      </c>
      <c r="E5214" s="12" t="inlineStr"/>
      <c r="F5214" s="12" t="inlineStr">
        <is>
          <t>PCM: power control module</t>
        </is>
      </c>
      <c r="G5214" s="12" t="inlineStr">
        <is>
          <t>RICE-8</t>
        </is>
      </c>
      <c r="H5214" s="12" t="inlineStr">
        <is>
          <t>RICE engine-generator 8</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22</v>
      </c>
      <c r="R5214" s="12" t="n">
        <v>31.1</v>
      </c>
      <c r="S5214" s="12" t="inlineStr">
        <is>
          <t>Tray</t>
        </is>
      </c>
      <c r="T5214" s="16" t="n">
        <v>0</v>
      </c>
      <c r="U5214" s="16" t="n">
        <v>161</v>
      </c>
      <c r="V5214" s="16">
        <f>ROUNDUP((T5214+U5214+2*'Read Me'!$B$13)*(1+'Read Me'!$B$12),-1)</f>
        <v/>
      </c>
      <c r="W5214" s="16">
        <f>V5214*N5214*O5214</f>
        <v/>
      </c>
      <c r="X5214" s="12">
        <f>IF(LEFT(I5214,2)="MV",2*N5214*IF(L5214="1/C",O5214,1),0)</f>
        <v/>
      </c>
      <c r="Y5214" s="12">
        <f>IF(OR(LEFT(K5214,4)="LVAX",LEFT(K5214,6)="MV15AX",LEFT(K5214,4)="CTAX",LEFT(K5214,2)="W|"),2*N5214*O5214,0)</f>
        <v/>
      </c>
      <c r="Z5214" s="12" t="inlineStr">
        <is>
          <t>VD 1.5 %</t>
        </is>
      </c>
      <c r="AA5214" s="12">
        <f>N5214*O5214</f>
        <v/>
      </c>
    </row>
    <row r="5215">
      <c r="A5215" s="12" t="inlineStr">
        <is>
          <t>I-P-0165</t>
        </is>
      </c>
      <c r="B5215" s="12" t="inlineStr">
        <is>
          <t>I</t>
        </is>
      </c>
      <c r="C5215" s="12" t="inlineStr">
        <is>
          <t>Modular / portable power</t>
        </is>
      </c>
      <c r="D5215" s="12" t="inlineStr">
        <is>
          <t>Motor 6 of 6, 22 kW</t>
        </is>
      </c>
      <c r="E5215" s="12" t="inlineStr"/>
      <c r="F5215" s="12" t="inlineStr">
        <is>
          <t>PCM: power control module</t>
        </is>
      </c>
      <c r="G5215" s="12" t="inlineStr">
        <is>
          <t>RICE-8</t>
        </is>
      </c>
      <c r="H5215" s="12" t="inlineStr">
        <is>
          <t>RICE engine-generator 8</t>
        </is>
      </c>
      <c r="I5215" s="12" t="inlineStr">
        <is>
          <t>LV 600 V</t>
        </is>
      </c>
      <c r="J5215" s="12" t="inlineStr">
        <is>
          <t>Type TC-ER 600 V 3/C Cu XHHW-2 + ground, PVC jacket</t>
        </is>
      </c>
      <c r="K5215" s="12" t="inlineStr">
        <is>
          <t>LV|3/C+G|8</t>
        </is>
      </c>
      <c r="L5215" s="12" t="inlineStr">
        <is>
          <t>3/C+G</t>
        </is>
      </c>
      <c r="M5215" s="12" t="inlineStr">
        <is>
          <t>8</t>
        </is>
      </c>
      <c r="N5215" s="12" t="n">
        <v>1</v>
      </c>
      <c r="O5215" s="12" t="n">
        <v>1</v>
      </c>
      <c r="P5215" s="12" t="n">
        <v>480</v>
      </c>
      <c r="Q5215" s="12" t="n">
        <v>22</v>
      </c>
      <c r="R5215" s="12" t="n">
        <v>31.1</v>
      </c>
      <c r="S5215" s="12" t="inlineStr">
        <is>
          <t>Tray</t>
        </is>
      </c>
      <c r="T5215" s="16" t="n">
        <v>0</v>
      </c>
      <c r="U5215" s="16" t="n">
        <v>161</v>
      </c>
      <c r="V5215" s="16">
        <f>ROUNDUP((T5215+U5215+2*'Read Me'!$B$13)*(1+'Read Me'!$B$12),-1)</f>
        <v/>
      </c>
      <c r="W5215" s="16">
        <f>V5215*N5215*O5215</f>
        <v/>
      </c>
      <c r="X5215" s="12">
        <f>IF(LEFT(I5215,2)="MV",2*N5215*IF(L5215="1/C",O5215,1),0)</f>
        <v/>
      </c>
      <c r="Y5215" s="12">
        <f>IF(OR(LEFT(K5215,4)="LVAX",LEFT(K5215,6)="MV15AX",LEFT(K5215,4)="CTAX",LEFT(K5215,2)="W|"),2*N5215*O5215,0)</f>
        <v/>
      </c>
      <c r="Z5215" s="12" t="inlineStr">
        <is>
          <t>VD 1.5 %</t>
        </is>
      </c>
      <c r="AA5215" s="12">
        <f>N5215*O5215</f>
        <v/>
      </c>
    </row>
    <row r="5216">
      <c r="A5216" s="12" t="inlineStr">
        <is>
          <t>I-P-0166</t>
        </is>
      </c>
      <c r="B5216" s="12" t="inlineStr">
        <is>
          <t>I</t>
        </is>
      </c>
      <c r="C5216" s="12" t="inlineStr">
        <is>
          <t>Modular / portable power</t>
        </is>
      </c>
      <c r="D5216" s="12" t="inlineStr">
        <is>
          <t>480 V welding receptacle 1</t>
        </is>
      </c>
      <c r="E5216" s="12" t="inlineStr"/>
      <c r="F5216" s="12" t="inlineStr">
        <is>
          <t>PCM: power control module</t>
        </is>
      </c>
      <c r="G5216" s="12" t="inlineStr">
        <is>
          <t>RICE-8</t>
        </is>
      </c>
      <c r="H5216" s="12" t="inlineStr">
        <is>
          <t>RICE engine-generator 8</t>
        </is>
      </c>
      <c r="I5216" s="12" t="inlineStr">
        <is>
          <t>LV 600 V</t>
        </is>
      </c>
      <c r="J5216" s="12" t="inlineStr">
        <is>
          <t>Type TC-ER 600 V 3/C Cu XHHW-2 + ground, PVC jacket</t>
        </is>
      </c>
      <c r="K5216" s="12" t="inlineStr">
        <is>
          <t>LV|3/C+G|2</t>
        </is>
      </c>
      <c r="L5216" s="12" t="inlineStr">
        <is>
          <t>3/C+G</t>
        </is>
      </c>
      <c r="M5216" s="12" t="inlineStr">
        <is>
          <t>2</t>
        </is>
      </c>
      <c r="N5216" s="12" t="n">
        <v>1</v>
      </c>
      <c r="O5216" s="12" t="n">
        <v>1</v>
      </c>
      <c r="P5216" s="12" t="n">
        <v>480</v>
      </c>
      <c r="Q5216" s="12" t="n">
        <v>60</v>
      </c>
      <c r="R5216" s="12" t="n">
        <v>76</v>
      </c>
      <c r="S5216" s="12" t="inlineStr">
        <is>
          <t>Tray</t>
        </is>
      </c>
      <c r="T5216" s="16" t="n">
        <v>0</v>
      </c>
      <c r="U5216" s="16" t="n">
        <v>161</v>
      </c>
      <c r="V5216" s="16">
        <f>ROUNDUP((T5216+U5216+2*'Read Me'!$B$13)*(1+'Read Me'!$B$12),-1)</f>
        <v/>
      </c>
      <c r="W5216" s="16">
        <f>V5216*N5216*O5216</f>
        <v/>
      </c>
      <c r="X5216" s="12">
        <f>IF(LEFT(I5216,2)="MV",2*N5216*IF(L5216="1/C",O5216,1),0)</f>
        <v/>
      </c>
      <c r="Y5216" s="12">
        <f>IF(OR(LEFT(K5216,4)="LVAX",LEFT(K5216,6)="MV15AX",LEFT(K5216,4)="CTAX",LEFT(K5216,2)="W|"),2*N5216*O5216,0)</f>
        <v/>
      </c>
      <c r="Z5216" s="12" t="inlineStr">
        <is>
          <t>VD 0.9 %</t>
        </is>
      </c>
      <c r="AA5216" s="12">
        <f>N5216*O5216</f>
        <v/>
      </c>
    </row>
    <row r="5217">
      <c r="A5217" s="12" t="inlineStr">
        <is>
          <t>I-P-0167</t>
        </is>
      </c>
      <c r="B5217" s="12" t="inlineStr">
        <is>
          <t>I</t>
        </is>
      </c>
      <c r="C5217" s="12" t="inlineStr">
        <is>
          <t>Modular / portable power</t>
        </is>
      </c>
      <c r="D5217" s="12" t="inlineStr">
        <is>
          <t>480 V welding receptacle 2</t>
        </is>
      </c>
      <c r="E5217" s="12" t="inlineStr"/>
      <c r="F5217" s="12" t="inlineStr">
        <is>
          <t>PCM: power control module</t>
        </is>
      </c>
      <c r="G5217" s="12" t="inlineStr">
        <is>
          <t>RICE-8</t>
        </is>
      </c>
      <c r="H5217" s="12" t="inlineStr">
        <is>
          <t>RICE engine-generator 8</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60</v>
      </c>
      <c r="R5217" s="12" t="n">
        <v>76</v>
      </c>
      <c r="S5217" s="12" t="inlineStr">
        <is>
          <t>Tray</t>
        </is>
      </c>
      <c r="T5217" s="16" t="n">
        <v>0</v>
      </c>
      <c r="U5217" s="16" t="n">
        <v>161</v>
      </c>
      <c r="V5217" s="16">
        <f>ROUNDUP((T5217+U5217+2*'Read Me'!$B$13)*(1+'Read Me'!$B$12),-1)</f>
        <v/>
      </c>
      <c r="W5217" s="16">
        <f>V5217*N5217*O5217</f>
        <v/>
      </c>
      <c r="X5217" s="12">
        <f>IF(LEFT(I5217,2)="MV",2*N5217*IF(L5217="1/C",O5217,1),0)</f>
        <v/>
      </c>
      <c r="Y5217" s="12">
        <f>IF(OR(LEFT(K5217,4)="LVAX",LEFT(K5217,6)="MV15AX",LEFT(K5217,4)="CTAX",LEFT(K5217,2)="W|"),2*N5217*O5217,0)</f>
        <v/>
      </c>
      <c r="Z5217" s="12" t="inlineStr">
        <is>
          <t>VD 0.9 %</t>
        </is>
      </c>
      <c r="AA5217" s="12">
        <f>N5217*O5217</f>
        <v/>
      </c>
    </row>
    <row r="5218">
      <c r="A5218" s="12" t="inlineStr">
        <is>
          <t>I-P-0168</t>
        </is>
      </c>
      <c r="B5218" s="12" t="inlineStr">
        <is>
          <t>I</t>
        </is>
      </c>
      <c r="C5218" s="12" t="inlineStr">
        <is>
          <t>Modular / portable power</t>
        </is>
      </c>
      <c r="D5218" s="12" t="inlineStr">
        <is>
          <t>480 V welding receptacle 3</t>
        </is>
      </c>
      <c r="E5218" s="12" t="inlineStr"/>
      <c r="F5218" s="12" t="inlineStr">
        <is>
          <t>PCM: power control module</t>
        </is>
      </c>
      <c r="G5218" s="12" t="inlineStr">
        <is>
          <t>RICE-8</t>
        </is>
      </c>
      <c r="H5218" s="12" t="inlineStr">
        <is>
          <t>RICE engine-generator 8</t>
        </is>
      </c>
      <c r="I5218" s="12" t="inlineStr">
        <is>
          <t>LV 600 V</t>
        </is>
      </c>
      <c r="J5218" s="12" t="inlineStr">
        <is>
          <t>Type TC-ER 600 V 3/C Cu XHHW-2 + ground, PVC jacket</t>
        </is>
      </c>
      <c r="K5218" s="12" t="inlineStr">
        <is>
          <t>LV|3/C+G|2</t>
        </is>
      </c>
      <c r="L5218" s="12" t="inlineStr">
        <is>
          <t>3/C+G</t>
        </is>
      </c>
      <c r="M5218" s="12" t="inlineStr">
        <is>
          <t>2</t>
        </is>
      </c>
      <c r="N5218" s="12" t="n">
        <v>1</v>
      </c>
      <c r="O5218" s="12" t="n">
        <v>1</v>
      </c>
      <c r="P5218" s="12" t="n">
        <v>480</v>
      </c>
      <c r="Q5218" s="12" t="n">
        <v>60</v>
      </c>
      <c r="R5218" s="12" t="n">
        <v>76</v>
      </c>
      <c r="S5218" s="12" t="inlineStr">
        <is>
          <t>Tray</t>
        </is>
      </c>
      <c r="T5218" s="16" t="n">
        <v>0</v>
      </c>
      <c r="U5218" s="16" t="n">
        <v>161</v>
      </c>
      <c r="V5218" s="16">
        <f>ROUNDUP((T5218+U5218+2*'Read Me'!$B$13)*(1+'Read Me'!$B$12),-1)</f>
        <v/>
      </c>
      <c r="W5218" s="16">
        <f>V5218*N5218*O5218</f>
        <v/>
      </c>
      <c r="X5218" s="12">
        <f>IF(LEFT(I5218,2)="MV",2*N5218*IF(L5218="1/C",O5218,1),0)</f>
        <v/>
      </c>
      <c r="Y5218" s="12">
        <f>IF(OR(LEFT(K5218,4)="LVAX",LEFT(K5218,6)="MV15AX",LEFT(K5218,4)="CTAX",LEFT(K5218,2)="W|"),2*N5218*O5218,0)</f>
        <v/>
      </c>
      <c r="Z5218" s="12" t="inlineStr">
        <is>
          <t>VD 0.9 %</t>
        </is>
      </c>
      <c r="AA5218" s="12">
        <f>N5218*O5218</f>
        <v/>
      </c>
    </row>
    <row r="5219">
      <c r="A5219" s="12" t="inlineStr">
        <is>
          <t>I-P-0169</t>
        </is>
      </c>
      <c r="B5219" s="12" t="inlineStr">
        <is>
          <t>I</t>
        </is>
      </c>
      <c r="C5219" s="12" t="inlineStr">
        <is>
          <t>Modular / portable power</t>
        </is>
      </c>
      <c r="D5219" s="12" t="inlineStr">
        <is>
          <t>480 V welding receptacle 4</t>
        </is>
      </c>
      <c r="E5219" s="12" t="inlineStr"/>
      <c r="F5219" s="12" t="inlineStr">
        <is>
          <t>PCM: power control module</t>
        </is>
      </c>
      <c r="G5219" s="12" t="inlineStr">
        <is>
          <t>RICE-8</t>
        </is>
      </c>
      <c r="H5219" s="12" t="inlineStr">
        <is>
          <t>RICE engine-generator 8</t>
        </is>
      </c>
      <c r="I5219" s="12" t="inlineStr">
        <is>
          <t>LV 600 V</t>
        </is>
      </c>
      <c r="J5219" s="12" t="inlineStr">
        <is>
          <t>Type TC-ER 600 V 3/C Cu XHHW-2 + ground, PVC jacket</t>
        </is>
      </c>
      <c r="K5219" s="12" t="inlineStr">
        <is>
          <t>LV|3/C+G|2</t>
        </is>
      </c>
      <c r="L5219" s="12" t="inlineStr">
        <is>
          <t>3/C+G</t>
        </is>
      </c>
      <c r="M5219" s="12" t="inlineStr">
        <is>
          <t>2</t>
        </is>
      </c>
      <c r="N5219" s="12" t="n">
        <v>1</v>
      </c>
      <c r="O5219" s="12" t="n">
        <v>1</v>
      </c>
      <c r="P5219" s="12" t="n">
        <v>480</v>
      </c>
      <c r="Q5219" s="12" t="n">
        <v>60</v>
      </c>
      <c r="R5219" s="12" t="n">
        <v>76</v>
      </c>
      <c r="S5219" s="12" t="inlineStr">
        <is>
          <t>Tray</t>
        </is>
      </c>
      <c r="T5219" s="16" t="n">
        <v>0</v>
      </c>
      <c r="U5219" s="16" t="n">
        <v>161</v>
      </c>
      <c r="V5219" s="16">
        <f>ROUNDUP((T5219+U5219+2*'Read Me'!$B$13)*(1+'Read Me'!$B$12),-1)</f>
        <v/>
      </c>
      <c r="W5219" s="16">
        <f>V5219*N5219*O5219</f>
        <v/>
      </c>
      <c r="X5219" s="12">
        <f>IF(LEFT(I5219,2)="MV",2*N5219*IF(L5219="1/C",O5219,1),0)</f>
        <v/>
      </c>
      <c r="Y5219" s="12">
        <f>IF(OR(LEFT(K5219,4)="LVAX",LEFT(K5219,6)="MV15AX",LEFT(K5219,4)="CTAX",LEFT(K5219,2)="W|"),2*N5219*O5219,0)</f>
        <v/>
      </c>
      <c r="Z5219" s="12" t="inlineStr">
        <is>
          <t>VD 0.9 %</t>
        </is>
      </c>
      <c r="AA5219" s="12">
        <f>N5219*O5219</f>
        <v/>
      </c>
    </row>
    <row r="5220">
      <c r="A5220" s="12" t="inlineStr">
        <is>
          <t>I-P-0170</t>
        </is>
      </c>
      <c r="B5220" s="12" t="inlineStr">
        <is>
          <t>I</t>
        </is>
      </c>
      <c r="C5220" s="12" t="inlineStr">
        <is>
          <t>Modular / portable power</t>
        </is>
      </c>
      <c r="D5220" s="12" t="inlineStr">
        <is>
          <t>LV power feeder</t>
        </is>
      </c>
      <c r="E5220" s="12" t="inlineStr"/>
      <c r="F5220" s="12" t="inlineStr">
        <is>
          <t>PCM: power control module</t>
        </is>
      </c>
      <c r="G5220" s="12" t="inlineStr"/>
      <c r="H5220" s="12" t="inlineStr">
        <is>
          <t>Reagent storage</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21.2</v>
      </c>
      <c r="S5220" s="12" t="inlineStr">
        <is>
          <t>Tray</t>
        </is>
      </c>
      <c r="T5220" s="16" t="n">
        <v>40</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is>
          <t>VD 0.7 %</t>
        </is>
      </c>
      <c r="AA5220" s="12">
        <f>N5220*O5220</f>
        <v/>
      </c>
    </row>
    <row r="5221">
      <c r="A5221" s="12" t="inlineStr">
        <is>
          <t>I-P-0171</t>
        </is>
      </c>
      <c r="B5221" s="12" t="inlineStr">
        <is>
          <t>I</t>
        </is>
      </c>
      <c r="C5221" s="12" t="inlineStr">
        <is>
          <t>Modular / portable power</t>
        </is>
      </c>
      <c r="D5221" s="12" t="inlineStr">
        <is>
          <t>SC-1 CEMS shelter panel: analysers, heated sample line, lighting</t>
        </is>
      </c>
      <c r="E5221" s="12" t="inlineStr"/>
      <c r="F5221" s="12" t="inlineStr">
        <is>
          <t>SC-1 PCM + 15 kV GCB</t>
        </is>
      </c>
      <c r="G5221" s="12" t="inlineStr"/>
      <c r="H5221" s="12" t="inlineStr">
        <is>
          <t>SC-1 CEMS shelter</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15</v>
      </c>
      <c r="R5221" s="12" t="n">
        <v>19</v>
      </c>
      <c r="S5221" s="12" t="inlineStr">
        <is>
          <t>Tray</t>
        </is>
      </c>
      <c r="T5221" s="16" t="n">
        <v>0</v>
      </c>
      <c r="U5221" s="16" t="n">
        <v>229</v>
      </c>
      <c r="V5221" s="16">
        <f>ROUNDUP((T5221+U5221+2*'Read Me'!$B$13)*(1+'Read Me'!$B$12),-1)</f>
        <v/>
      </c>
      <c r="W5221" s="16">
        <f>V5221*N5221*O5221</f>
        <v/>
      </c>
      <c r="X5221" s="12">
        <f>IF(LEFT(I5221,2)="MV",2*N5221*IF(L5221="1/C",O5221,1),0)</f>
        <v/>
      </c>
      <c r="Y5221" s="12">
        <f>IF(OR(LEFT(K5221,4)="LVAX",LEFT(K5221,6)="MV15AX",LEFT(K5221,4)="CTAX",LEFT(K5221,2)="W|"),2*N5221*O5221,0)</f>
        <v/>
      </c>
      <c r="Z5221" s="12" t="inlineStr">
        <is>
          <t>VD 2.1 %</t>
        </is>
      </c>
      <c r="AA5221" s="12">
        <f>N5221*O5221</f>
        <v/>
      </c>
    </row>
    <row r="5222">
      <c r="A5222" s="12" t="inlineStr">
        <is>
          <t>I-P-0172</t>
        </is>
      </c>
      <c r="B5222" s="12" t="inlineStr">
        <is>
          <t>I</t>
        </is>
      </c>
      <c r="C5222" s="12" t="inlineStr">
        <is>
          <t>Modular / portable power</t>
        </is>
      </c>
      <c r="D5222" s="12" t="inlineStr">
        <is>
          <t>Motor 1 of 2, 5 kW</t>
        </is>
      </c>
      <c r="E5222" s="12" t="inlineStr"/>
      <c r="F5222" s="12" t="inlineStr">
        <is>
          <t>SC-1 PCM + 15 kV GCB</t>
        </is>
      </c>
      <c r="G5222" s="12" t="inlineStr"/>
      <c r="H5222" s="12" t="inlineStr">
        <is>
          <t>SC-1 CEMS shelter</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5</v>
      </c>
      <c r="R5222" s="12" t="n">
        <v>7.1</v>
      </c>
      <c r="S5222" s="12" t="inlineStr">
        <is>
          <t>Tray</t>
        </is>
      </c>
      <c r="T5222" s="16" t="n">
        <v>0</v>
      </c>
      <c r="U5222" s="16" t="n">
        <v>229</v>
      </c>
      <c r="V5222" s="16">
        <f>ROUNDUP((T5222+U5222+2*'Read Me'!$B$13)*(1+'Read Me'!$B$12),-1)</f>
        <v/>
      </c>
      <c r="W5222" s="16">
        <f>V5222*N5222*O5222</f>
        <v/>
      </c>
      <c r="X5222" s="12">
        <f>IF(LEFT(I5222,2)="MV",2*N5222*IF(L5222="1/C",O5222,1),0)</f>
        <v/>
      </c>
      <c r="Y5222" s="12">
        <f>IF(OR(LEFT(K5222,4)="LVAX",LEFT(K5222,6)="MV15AX",LEFT(K5222,4)="CTAX",LEFT(K5222,2)="W|"),2*N5222*O5222,0)</f>
        <v/>
      </c>
      <c r="Z5222" s="12" t="inlineStr">
        <is>
          <t>VD 0.8 %</t>
        </is>
      </c>
      <c r="AA5222" s="12">
        <f>N5222*O5222</f>
        <v/>
      </c>
    </row>
    <row r="5223">
      <c r="A5223" s="12" t="inlineStr">
        <is>
          <t>I-P-0173</t>
        </is>
      </c>
      <c r="B5223" s="12" t="inlineStr">
        <is>
          <t>I</t>
        </is>
      </c>
      <c r="C5223" s="12" t="inlineStr">
        <is>
          <t>Modular / portable power</t>
        </is>
      </c>
      <c r="D5223" s="12" t="inlineStr">
        <is>
          <t>Motor 2 of 2, 5 kW</t>
        </is>
      </c>
      <c r="E5223" s="12" t="inlineStr"/>
      <c r="F5223" s="12" t="inlineStr">
        <is>
          <t>SC-1 PCM + 15 kV GCB</t>
        </is>
      </c>
      <c r="G5223" s="12" t="inlineStr"/>
      <c r="H5223" s="12" t="inlineStr">
        <is>
          <t>SC-1 CEMS shelter</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5</v>
      </c>
      <c r="R5223" s="12" t="n">
        <v>7.1</v>
      </c>
      <c r="S5223" s="12" t="inlineStr">
        <is>
          <t>Tray</t>
        </is>
      </c>
      <c r="T5223" s="16" t="n">
        <v>0</v>
      </c>
      <c r="U5223" s="16" t="n">
        <v>229</v>
      </c>
      <c r="V5223" s="16">
        <f>ROUNDUP((T5223+U5223+2*'Read Me'!$B$13)*(1+'Read Me'!$B$12),-1)</f>
        <v/>
      </c>
      <c r="W5223" s="16">
        <f>V5223*N5223*O5223</f>
        <v/>
      </c>
      <c r="X5223" s="12">
        <f>IF(LEFT(I5223,2)="MV",2*N5223*IF(L5223="1/C",O5223,1),0)</f>
        <v/>
      </c>
      <c r="Y5223" s="12">
        <f>IF(OR(LEFT(K5223,4)="LVAX",LEFT(K5223,6)="MV15AX",LEFT(K5223,4)="CTAX",LEFT(K5223,2)="W|"),2*N5223*O5223,0)</f>
        <v/>
      </c>
      <c r="Z5223" s="12" t="inlineStr">
        <is>
          <t>VD 0.8 %</t>
        </is>
      </c>
      <c r="AA5223" s="12">
        <f>N5223*O5223</f>
        <v/>
      </c>
    </row>
    <row r="5224">
      <c r="A5224" s="12" t="inlineStr">
        <is>
          <t>I-P-0174</t>
        </is>
      </c>
      <c r="B5224" s="12" t="inlineStr">
        <is>
          <t>I</t>
        </is>
      </c>
      <c r="C5224" s="12" t="inlineStr">
        <is>
          <t>Modular / portable power</t>
        </is>
      </c>
      <c r="D5224" s="12" t="inlineStr">
        <is>
          <t>SC-1 125 V DC battery to charger / DC panel</t>
        </is>
      </c>
      <c r="E5224" s="12" t="inlineStr"/>
      <c r="F5224" s="12" t="inlineStr">
        <is>
          <t>SC-1 PCM + 15 kV GCB</t>
        </is>
      </c>
      <c r="G5224" s="12" t="inlineStr"/>
      <c r="H5224" s="12" t="inlineStr">
        <is>
          <t>SC-1 PCM + 15 kV GCB</t>
        </is>
      </c>
      <c r="I5224" s="12" t="inlineStr">
        <is>
          <t>LV 600 V</t>
        </is>
      </c>
      <c r="J5224" s="12" t="inlineStr">
        <is>
          <t>XHHW-2 600 V 1/C Cu (feeder sets in tray / duct)</t>
        </is>
      </c>
      <c r="K5224" s="12" t="inlineStr">
        <is>
          <t>LV1C|1/C|4/0</t>
        </is>
      </c>
      <c r="L5224" s="12" t="inlineStr">
        <is>
          <t>1/C</t>
        </is>
      </c>
      <c r="M5224" s="12" t="inlineStr">
        <is>
          <t>4/0</t>
        </is>
      </c>
      <c r="N5224" s="12" t="n">
        <v>1</v>
      </c>
      <c r="O5224" s="12" t="n">
        <v>2</v>
      </c>
      <c r="P5224" s="12" t="n">
        <v>125</v>
      </c>
      <c r="Q5224" s="12" t="n"/>
      <c r="R5224" s="12" t="n"/>
      <c r="S5224" s="12" t="inlineStr">
        <is>
          <t>Tray</t>
        </is>
      </c>
      <c r="T5224" s="16" t="n">
        <v>15</v>
      </c>
      <c r="U5224" s="16" t="n">
        <v>5</v>
      </c>
      <c r="V5224" s="16">
        <f>ROUNDUP((T5224+U5224+2*'Read Me'!$B$13)*(1+'Read Me'!$B$12),-1)</f>
        <v/>
      </c>
      <c r="W5224" s="16">
        <f>V5224*N5224*O5224</f>
        <v/>
      </c>
      <c r="X5224" s="12">
        <f>IF(LEFT(I5224,2)="MV",2*N5224*IF(L5224="1/C",O5224,1),0)</f>
        <v/>
      </c>
      <c r="Y5224" s="12">
        <f>IF(OR(LEFT(K5224,4)="LVAX",LEFT(K5224,6)="MV15AX",LEFT(K5224,4)="CTAX",LEFT(K5224,2)="W|"),2*N5224*O5224,0)</f>
        <v/>
      </c>
      <c r="Z5224" s="12" t="inlineStr">
        <is>
          <t>battery rack inside the PCM</t>
        </is>
      </c>
      <c r="AA5224" s="12">
        <f>N5224*O5224</f>
        <v/>
      </c>
    </row>
    <row r="5225">
      <c r="A5225" s="12" t="inlineStr">
        <is>
          <t>I-P-0175</t>
        </is>
      </c>
      <c r="B5225" s="12" t="inlineStr">
        <is>
          <t>I</t>
        </is>
      </c>
      <c r="C5225" s="12" t="inlineStr">
        <is>
          <t>Modular / portable power</t>
        </is>
      </c>
      <c r="D5225" s="12" t="inlineStr">
        <is>
          <t>SC-1 PCM lighting, receptacles and HVAC (from its own 480 V board)</t>
        </is>
      </c>
      <c r="E5225" s="12" t="inlineStr"/>
      <c r="F5225" s="12" t="inlineStr">
        <is>
          <t>SC-1 PCM + 15 kV GCB</t>
        </is>
      </c>
      <c r="G5225" s="12" t="inlineStr"/>
      <c r="H5225" s="12" t="inlineStr">
        <is>
          <t>SC-1 PCM + 15 kV GCB</t>
        </is>
      </c>
      <c r="I5225" s="12" t="inlineStr">
        <is>
          <t>LV 600 V</t>
        </is>
      </c>
      <c r="J5225" s="12" t="inlineStr">
        <is>
          <t>Type TC-ER 600 V 3/C Cu XHHW-2 + ground, PVC jacket</t>
        </is>
      </c>
      <c r="K5225" s="12" t="inlineStr">
        <is>
          <t>LV|3/C+G|2</t>
        </is>
      </c>
      <c r="L5225" s="12" t="inlineStr">
        <is>
          <t>3/C+G</t>
        </is>
      </c>
      <c r="M5225" s="12" t="inlineStr">
        <is>
          <t>2</t>
        </is>
      </c>
      <c r="N5225" s="12" t="n">
        <v>1</v>
      </c>
      <c r="O5225" s="12" t="n">
        <v>1</v>
      </c>
      <c r="P5225" s="12" t="n">
        <v>480</v>
      </c>
      <c r="Q5225" s="12" t="n">
        <v>40</v>
      </c>
      <c r="R5225" s="12" t="n"/>
      <c r="S5225" s="12" t="inlineStr">
        <is>
          <t>Tray</t>
        </is>
      </c>
      <c r="T5225" s="16" t="n">
        <v>80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internal to the PCM; aux transformer 13.8 kV / 480 V inside</t>
        </is>
      </c>
      <c r="AA5225" s="12">
        <f>N5225*O5225</f>
        <v/>
      </c>
    </row>
    <row r="5226">
      <c r="A5226" s="12" t="inlineStr">
        <is>
          <t>I-P-0176</t>
        </is>
      </c>
      <c r="B5226" s="12" t="inlineStr">
        <is>
          <t>I</t>
        </is>
      </c>
      <c r="C5226" s="12" t="inlineStr">
        <is>
          <t>Modular / portable power</t>
        </is>
      </c>
      <c r="D5226" s="12" t="inlineStr">
        <is>
          <t>Area / platform lighting circuit 1 (10 fixtures)</t>
        </is>
      </c>
      <c r="E5226" s="12" t="inlineStr"/>
      <c r="F5226" s="12" t="inlineStr">
        <is>
          <t>SC-1 PCM + 15 kV GCB</t>
        </is>
      </c>
      <c r="G5226" s="12" t="inlineStr"/>
      <c r="H5226" s="12" t="inlineStr">
        <is>
          <t>SC-1 SCR / CO catalyst</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3</v>
      </c>
      <c r="R5226" s="12" t="n">
        <v>5</v>
      </c>
      <c r="S5226" s="12" t="inlineStr">
        <is>
          <t>Tray</t>
        </is>
      </c>
      <c r="T5226" s="16" t="n">
        <v>300</v>
      </c>
      <c r="U5226" s="16" t="n">
        <v>154</v>
      </c>
      <c r="V5226" s="16">
        <f>ROUNDUP((T5226+U5226+2*'Read Me'!$B$13)*(1+'Read Me'!$B$12),-1)</f>
        <v/>
      </c>
      <c r="W5226" s="16">
        <f>V5226*N5226*O5226</f>
        <v/>
      </c>
      <c r="X5226" s="12">
        <f>IF(LEFT(I5226,2)="MV",2*N5226*IF(L5226="1/C",O5226,1),0)</f>
        <v/>
      </c>
      <c r="Y5226" s="12">
        <f>IF(OR(LEFT(K5226,4)="LVAX",LEFT(K5226,6)="MV15AX",LEFT(K5226,4)="CTAX",LEFT(K5226,2)="W|"),2*N5226*O5226,0)</f>
        <v/>
      </c>
      <c r="Z5226" s="12" t="inlineStr">
        <is>
          <t>fixture-to-fixture run included</t>
        </is>
      </c>
      <c r="AA5226" s="12">
        <f>N5226*O5226</f>
        <v/>
      </c>
    </row>
    <row r="5227">
      <c r="A5227" s="12" t="inlineStr">
        <is>
          <t>I-P-0177</t>
        </is>
      </c>
      <c r="B5227" s="12" t="inlineStr">
        <is>
          <t>I</t>
        </is>
      </c>
      <c r="C5227" s="12" t="inlineStr">
        <is>
          <t>Modular / portable power</t>
        </is>
      </c>
      <c r="D5227" s="12" t="inlineStr">
        <is>
          <t>SC-1 ammonia vaporiser electric heater</t>
        </is>
      </c>
      <c r="E5227" s="12" t="inlineStr"/>
      <c r="F5227" s="12" t="inlineStr">
        <is>
          <t>SC-1 PCM + 15 kV GCB</t>
        </is>
      </c>
      <c r="G5227" s="12" t="inlineStr"/>
      <c r="H5227" s="12" t="inlineStr">
        <is>
          <t>SC-1 ammonia flow-control unit</t>
        </is>
      </c>
      <c r="I5227" s="12" t="inlineStr">
        <is>
          <t>LV 600 V</t>
        </is>
      </c>
      <c r="J5227" s="12" t="inlineStr">
        <is>
          <t>Type TC-ER 600 V 3/C Cu XHHW-2 + ground, PVC jacket</t>
        </is>
      </c>
      <c r="K5227" s="12" t="inlineStr">
        <is>
          <t>LV|3/C+G|4</t>
        </is>
      </c>
      <c r="L5227" s="12" t="inlineStr">
        <is>
          <t>3/C+G</t>
        </is>
      </c>
      <c r="M5227" s="12" t="inlineStr">
        <is>
          <t>4</t>
        </is>
      </c>
      <c r="N5227" s="12" t="n">
        <v>1</v>
      </c>
      <c r="O5227" s="12" t="n">
        <v>1</v>
      </c>
      <c r="P5227" s="12" t="n">
        <v>480</v>
      </c>
      <c r="Q5227" s="12" t="n">
        <v>45</v>
      </c>
      <c r="R5227" s="12" t="n">
        <v>57</v>
      </c>
      <c r="S5227" s="12" t="inlineStr">
        <is>
          <t>Tray</t>
        </is>
      </c>
      <c r="T5227" s="16" t="n">
        <v>0</v>
      </c>
      <c r="U5227" s="16" t="n">
        <v>152</v>
      </c>
      <c r="V5227" s="16">
        <f>ROUNDUP((T5227+U5227+2*'Read Me'!$B$13)*(1+'Read Me'!$B$12),-1)</f>
        <v/>
      </c>
      <c r="W5227" s="16">
        <f>V5227*N5227*O5227</f>
        <v/>
      </c>
      <c r="X5227" s="12">
        <f>IF(LEFT(I5227,2)="MV",2*N5227*IF(L5227="1/C",O5227,1),0)</f>
        <v/>
      </c>
      <c r="Y5227" s="12">
        <f>IF(OR(LEFT(K5227,4)="LVAX",LEFT(K5227,6)="MV15AX",LEFT(K5227,4)="CTAX",LEFT(K5227,2)="W|"),2*N5227*O5227,0)</f>
        <v/>
      </c>
      <c r="Z5227" s="12" t="inlineStr">
        <is>
          <t>VD 1.1 %</t>
        </is>
      </c>
      <c r="AA5227" s="12">
        <f>N5227*O5227</f>
        <v/>
      </c>
    </row>
    <row r="5228">
      <c r="A5228" s="12" t="inlineStr">
        <is>
          <t>I-P-0178</t>
        </is>
      </c>
      <c r="B5228" s="12" t="inlineStr">
        <is>
          <t>I</t>
        </is>
      </c>
      <c r="C5228" s="12" t="inlineStr">
        <is>
          <t>Modular / portable power</t>
        </is>
      </c>
      <c r="D5228" s="12" t="inlineStr">
        <is>
          <t>Motor 1 of 2, 7.5 kW</t>
        </is>
      </c>
      <c r="E5228" s="12" t="inlineStr"/>
      <c r="F5228" s="12" t="inlineStr">
        <is>
          <t>SC-1 PCM + 15 kV GCB</t>
        </is>
      </c>
      <c r="G5228" s="12" t="inlineStr"/>
      <c r="H5228" s="12" t="inlineStr">
        <is>
          <t>SC-1 ammonia flow-control unit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7.5</v>
      </c>
      <c r="R5228" s="12" t="n">
        <v>10.6</v>
      </c>
      <c r="S5228" s="12" t="inlineStr">
        <is>
          <t>Tray</t>
        </is>
      </c>
      <c r="T5228" s="16" t="n">
        <v>0</v>
      </c>
      <c r="U5228" s="16" t="n">
        <v>152</v>
      </c>
      <c r="V5228" s="16">
        <f>ROUNDUP((T5228+U5228+2*'Read Me'!$B$13)*(1+'Read Me'!$B$12),-1)</f>
        <v/>
      </c>
      <c r="W5228" s="16">
        <f>V5228*N5228*O5228</f>
        <v/>
      </c>
      <c r="X5228" s="12">
        <f>IF(LEFT(I5228,2)="MV",2*N5228*IF(L5228="1/C",O5228,1),0)</f>
        <v/>
      </c>
      <c r="Y5228" s="12">
        <f>IF(OR(LEFT(K5228,4)="LVAX",LEFT(K5228,6)="MV15AX",LEFT(K5228,4)="CTAX",LEFT(K5228,2)="W|"),2*N5228*O5228,0)</f>
        <v/>
      </c>
      <c r="Z5228" s="12" t="inlineStr">
        <is>
          <t>VD 0.8 %</t>
        </is>
      </c>
      <c r="AA5228" s="12">
        <f>N5228*O5228</f>
        <v/>
      </c>
    </row>
    <row r="5229">
      <c r="A5229" s="12" t="inlineStr">
        <is>
          <t>I-P-0179</t>
        </is>
      </c>
      <c r="B5229" s="12" t="inlineStr">
        <is>
          <t>I</t>
        </is>
      </c>
      <c r="C5229" s="12" t="inlineStr">
        <is>
          <t>Modular / portable power</t>
        </is>
      </c>
      <c r="D5229" s="12" t="inlineStr">
        <is>
          <t>Motor 2 of 2, 7.5 kW</t>
        </is>
      </c>
      <c r="E5229" s="12" t="inlineStr"/>
      <c r="F5229" s="12" t="inlineStr">
        <is>
          <t>SC-1 PCM + 15 kV GCB</t>
        </is>
      </c>
      <c r="G5229" s="12" t="inlineStr"/>
      <c r="H5229" s="12" t="inlineStr">
        <is>
          <t>SC-1 ammonia flow-control unit</t>
        </is>
      </c>
      <c r="I5229" s="12" t="inlineStr">
        <is>
          <t>LV 600 V</t>
        </is>
      </c>
      <c r="J5229" s="12" t="inlineStr">
        <is>
          <t>Type TC-ER 600 V 3/C Cu XHHW-2 + ground, PVC jacket</t>
        </is>
      </c>
      <c r="K5229" s="12" t="inlineStr">
        <is>
          <t>LV|3/C+G|10</t>
        </is>
      </c>
      <c r="L5229" s="12" t="inlineStr">
        <is>
          <t>3/C+G</t>
        </is>
      </c>
      <c r="M5229" s="12" t="inlineStr">
        <is>
          <t>10</t>
        </is>
      </c>
      <c r="N5229" s="12" t="n">
        <v>1</v>
      </c>
      <c r="O5229" s="12" t="n">
        <v>1</v>
      </c>
      <c r="P5229" s="12" t="n">
        <v>480</v>
      </c>
      <c r="Q5229" s="12" t="n">
        <v>7.5</v>
      </c>
      <c r="R5229" s="12" t="n">
        <v>10.6</v>
      </c>
      <c r="S5229" s="12" t="inlineStr">
        <is>
          <t>Tray</t>
        </is>
      </c>
      <c r="T5229" s="16" t="n">
        <v>0</v>
      </c>
      <c r="U5229" s="16" t="n">
        <v>152</v>
      </c>
      <c r="V5229" s="16">
        <f>ROUNDUP((T5229+U5229+2*'Read Me'!$B$13)*(1+'Read Me'!$B$12),-1)</f>
        <v/>
      </c>
      <c r="W5229" s="16">
        <f>V5229*N5229*O5229</f>
        <v/>
      </c>
      <c r="X5229" s="12">
        <f>IF(LEFT(I5229,2)="MV",2*N5229*IF(L5229="1/C",O5229,1),0)</f>
        <v/>
      </c>
      <c r="Y5229" s="12">
        <f>IF(OR(LEFT(K5229,4)="LVAX",LEFT(K5229,6)="MV15AX",LEFT(K5229,4)="CTAX",LEFT(K5229,2)="W|"),2*N5229*O5229,0)</f>
        <v/>
      </c>
      <c r="Z5229" s="12" t="inlineStr">
        <is>
          <t>VD 0.8 %</t>
        </is>
      </c>
      <c r="AA5229" s="12">
        <f>N5229*O5229</f>
        <v/>
      </c>
    </row>
    <row r="5230">
      <c r="A5230" s="12" t="inlineStr">
        <is>
          <t>I-P-0180</t>
        </is>
      </c>
      <c r="B5230" s="12" t="inlineStr">
        <is>
          <t>I</t>
        </is>
      </c>
      <c r="C5230" s="12" t="inlineStr">
        <is>
          <t>Modular / portable power</t>
        </is>
      </c>
      <c r="D5230" s="12" t="inlineStr">
        <is>
          <t>SC-1 water-wash tank heater</t>
        </is>
      </c>
      <c r="E5230" s="12" t="inlineStr"/>
      <c r="F5230" s="12" t="inlineStr">
        <is>
          <t>SC-1 PCM + 15 kV GCB</t>
        </is>
      </c>
      <c r="G5230" s="12" t="inlineStr"/>
      <c r="H5230" s="12" t="inlineStr">
        <is>
          <t>SC-1 auxiliary skids: fuel-gas module, water-wash skid</t>
        </is>
      </c>
      <c r="I5230" s="12" t="inlineStr">
        <is>
          <t>LV 600 V</t>
        </is>
      </c>
      <c r="J5230" s="12" t="inlineStr">
        <is>
          <t>ARMOR-X MC-HL 600 V 3/C Cu XHHW-2 + ground, CWA, black PVC (Class I Div 2)</t>
        </is>
      </c>
      <c r="K5230" s="12" t="inlineStr">
        <is>
          <t>LVAX|3/C+G|10</t>
        </is>
      </c>
      <c r="L5230" s="12" t="inlineStr">
        <is>
          <t>3/C+G</t>
        </is>
      </c>
      <c r="M5230" s="12" t="inlineStr">
        <is>
          <t>10</t>
        </is>
      </c>
      <c r="N5230" s="12" t="n">
        <v>1</v>
      </c>
      <c r="O5230" s="12" t="n">
        <v>1</v>
      </c>
      <c r="P5230" s="12" t="n">
        <v>480</v>
      </c>
      <c r="Q5230" s="12" t="n">
        <v>6</v>
      </c>
      <c r="R5230" s="12" t="n">
        <v>7.6</v>
      </c>
      <c r="S5230" s="12" t="inlineStr">
        <is>
          <t>Tray</t>
        </is>
      </c>
      <c r="T5230" s="16" t="n">
        <v>0</v>
      </c>
      <c r="U5230" s="16" t="n">
        <v>77</v>
      </c>
      <c r="V5230" s="16">
        <f>ROUNDUP((T5230+U5230+2*'Read Me'!$B$13)*(1+'Read Me'!$B$12),-1)</f>
        <v/>
      </c>
      <c r="W5230" s="16">
        <f>V5230*N5230*O5230</f>
        <v/>
      </c>
      <c r="X5230" s="12">
        <f>IF(LEFT(I5230,2)="MV",2*N5230*IF(L5230="1/C",O5230,1),0)</f>
        <v/>
      </c>
      <c r="Y5230" s="12">
        <f>IF(OR(LEFT(K5230,4)="LVAX",LEFT(K5230,6)="MV15AX",LEFT(K5230,4)="CTAX",LEFT(K5230,2)="W|"),2*N5230*O5230,0)</f>
        <v/>
      </c>
      <c r="Z5230" s="12" t="inlineStr">
        <is>
          <t>VD 0.3 %</t>
        </is>
      </c>
      <c r="AA5230" s="12">
        <f>N5230*O5230</f>
        <v/>
      </c>
    </row>
    <row r="5231">
      <c r="A5231" s="12" t="inlineStr">
        <is>
          <t>I-P-0181</t>
        </is>
      </c>
      <c r="B5231" s="12" t="inlineStr">
        <is>
          <t>I</t>
        </is>
      </c>
      <c r="C5231" s="12" t="inlineStr">
        <is>
          <t>Modular / portable power</t>
        </is>
      </c>
      <c r="D5231" s="12" t="inlineStr">
        <is>
          <t>Motor 1 of 1, 7.5 kW</t>
        </is>
      </c>
      <c r="E5231" s="12" t="inlineStr"/>
      <c r="F5231" s="12" t="inlineStr">
        <is>
          <t>SC-1 PCM + 15 kV GCB</t>
        </is>
      </c>
      <c r="G5231" s="12" t="inlineStr"/>
      <c r="H5231" s="12" t="inlineStr">
        <is>
          <t>SC-1 auxiliary skids: fuel-gas module, water-wash skid</t>
        </is>
      </c>
      <c r="I5231" s="12" t="inlineStr">
        <is>
          <t>LV 600 V</t>
        </is>
      </c>
      <c r="J5231" s="12" t="inlineStr">
        <is>
          <t>ARMOR-X MC-HL 600 V 3/C Cu XHHW-2 + ground, CWA, black PVC (Class I Div 2)</t>
        </is>
      </c>
      <c r="K5231" s="12" t="inlineStr">
        <is>
          <t>LVAX|3/C+G|10</t>
        </is>
      </c>
      <c r="L5231" s="12" t="inlineStr">
        <is>
          <t>3/C+G</t>
        </is>
      </c>
      <c r="M5231" s="12" t="inlineStr">
        <is>
          <t>10</t>
        </is>
      </c>
      <c r="N5231" s="12" t="n">
        <v>1</v>
      </c>
      <c r="O5231" s="12" t="n">
        <v>1</v>
      </c>
      <c r="P5231" s="12" t="n">
        <v>480</v>
      </c>
      <c r="Q5231" s="12" t="n">
        <v>7.5</v>
      </c>
      <c r="R5231" s="12" t="n">
        <v>10.6</v>
      </c>
      <c r="S5231" s="12" t="inlineStr">
        <is>
          <t>Tray</t>
        </is>
      </c>
      <c r="T5231" s="16" t="n">
        <v>0</v>
      </c>
      <c r="U5231" s="16" t="n">
        <v>77</v>
      </c>
      <c r="V5231" s="16">
        <f>ROUNDUP((T5231+U5231+2*'Read Me'!$B$13)*(1+'Read Me'!$B$12),-1)</f>
        <v/>
      </c>
      <c r="W5231" s="16">
        <f>V5231*N5231*O5231</f>
        <v/>
      </c>
      <c r="X5231" s="12">
        <f>IF(LEFT(I5231,2)="MV",2*N5231*IF(L5231="1/C",O5231,1),0)</f>
        <v/>
      </c>
      <c r="Y5231" s="12">
        <f>IF(OR(LEFT(K5231,4)="LVAX",LEFT(K5231,6)="MV15AX",LEFT(K5231,4)="CTAX",LEFT(K5231,2)="W|"),2*N5231*O5231,0)</f>
        <v/>
      </c>
      <c r="Z5231" s="12" t="inlineStr">
        <is>
          <t>VD 0.4 %</t>
        </is>
      </c>
      <c r="AA5231" s="12">
        <f>N5231*O5231</f>
        <v/>
      </c>
    </row>
    <row r="5232">
      <c r="A5232" s="12" t="inlineStr">
        <is>
          <t>I-P-0182</t>
        </is>
      </c>
      <c r="B5232" s="12" t="inlineStr">
        <is>
          <t>I</t>
        </is>
      </c>
      <c r="C5232" s="12" t="inlineStr">
        <is>
          <t>Modular / portable power</t>
        </is>
      </c>
      <c r="D5232" s="12" t="inlineStr">
        <is>
          <t>Motor 1 of 4, 15 kW</t>
        </is>
      </c>
      <c r="E5232" s="12" t="inlineStr"/>
      <c r="F5232" s="12" t="inlineStr">
        <is>
          <t>SC-1 PCM + 15 kV GCB</t>
        </is>
      </c>
      <c r="G5232" s="12" t="inlineStr"/>
      <c r="H5232" s="12" t="inlineStr">
        <is>
          <t>SC-1 lube-oil fin-fan cooler</t>
        </is>
      </c>
      <c r="I5232" s="12" t="inlineStr">
        <is>
          <t>LV 600 V</t>
        </is>
      </c>
      <c r="J5232" s="12" t="inlineStr">
        <is>
          <t>Type TC-ER 600 V 3/C Cu XHHW-2 + ground, PVC jacket</t>
        </is>
      </c>
      <c r="K5232" s="12" t="inlineStr">
        <is>
          <t>LV|3/C+G|10</t>
        </is>
      </c>
      <c r="L5232" s="12" t="inlineStr">
        <is>
          <t>3/C+G</t>
        </is>
      </c>
      <c r="M5232" s="12" t="inlineStr">
        <is>
          <t>10</t>
        </is>
      </c>
      <c r="N5232" s="12" t="n">
        <v>1</v>
      </c>
      <c r="O5232" s="12" t="n">
        <v>1</v>
      </c>
      <c r="P5232" s="12" t="n">
        <v>480</v>
      </c>
      <c r="Q5232" s="12" t="n">
        <v>15</v>
      </c>
      <c r="R5232" s="12" t="n">
        <v>21.2</v>
      </c>
      <c r="S5232" s="12" t="inlineStr">
        <is>
          <t>Tray</t>
        </is>
      </c>
      <c r="T5232" s="16" t="n">
        <v>0</v>
      </c>
      <c r="U5232" s="16" t="n">
        <v>82</v>
      </c>
      <c r="V5232" s="16">
        <f>ROUNDUP((T5232+U5232+2*'Read Me'!$B$13)*(1+'Read Me'!$B$12),-1)</f>
        <v/>
      </c>
      <c r="W5232" s="16">
        <f>V5232*N5232*O5232</f>
        <v/>
      </c>
      <c r="X5232" s="12">
        <f>IF(LEFT(I5232,2)="MV",2*N5232*IF(L5232="1/C",O5232,1),0)</f>
        <v/>
      </c>
      <c r="Y5232" s="12">
        <f>IF(OR(LEFT(K5232,4)="LVAX",LEFT(K5232,6)="MV15AX",LEFT(K5232,4)="CTAX",LEFT(K5232,2)="W|"),2*N5232*O5232,0)</f>
        <v/>
      </c>
      <c r="Z5232" s="12" t="inlineStr">
        <is>
          <t>VD 0.8 %</t>
        </is>
      </c>
      <c r="AA5232" s="12">
        <f>N5232*O5232</f>
        <v/>
      </c>
    </row>
    <row r="5233">
      <c r="A5233" s="12" t="inlineStr">
        <is>
          <t>I-P-0183</t>
        </is>
      </c>
      <c r="B5233" s="12" t="inlineStr">
        <is>
          <t>I</t>
        </is>
      </c>
      <c r="C5233" s="12" t="inlineStr">
        <is>
          <t>Modular / portable power</t>
        </is>
      </c>
      <c r="D5233" s="12" t="inlineStr">
        <is>
          <t>Motor 2 of 4, 15 kW</t>
        </is>
      </c>
      <c r="E5233" s="12" t="inlineStr"/>
      <c r="F5233" s="12" t="inlineStr">
        <is>
          <t>SC-1 PCM + 15 kV GCB</t>
        </is>
      </c>
      <c r="G5233" s="12" t="inlineStr"/>
      <c r="H5233" s="12" t="inlineStr">
        <is>
          <t>SC-1 lube-oil fin-fan cooler</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15</v>
      </c>
      <c r="R5233" s="12" t="n">
        <v>21.2</v>
      </c>
      <c r="S5233" s="12" t="inlineStr">
        <is>
          <t>Tray</t>
        </is>
      </c>
      <c r="T5233" s="16" t="n">
        <v>0</v>
      </c>
      <c r="U5233" s="16" t="n">
        <v>82</v>
      </c>
      <c r="V5233" s="16">
        <f>ROUNDUP((T5233+U5233+2*'Read Me'!$B$13)*(1+'Read Me'!$B$12),-1)</f>
        <v/>
      </c>
      <c r="W5233" s="16">
        <f>V5233*N5233*O5233</f>
        <v/>
      </c>
      <c r="X5233" s="12">
        <f>IF(LEFT(I5233,2)="MV",2*N5233*IF(L5233="1/C",O5233,1),0)</f>
        <v/>
      </c>
      <c r="Y5233" s="12">
        <f>IF(OR(LEFT(K5233,4)="LVAX",LEFT(K5233,6)="MV15AX",LEFT(K5233,4)="CTAX",LEFT(K5233,2)="W|"),2*N5233*O5233,0)</f>
        <v/>
      </c>
      <c r="Z5233" s="12" t="inlineStr">
        <is>
          <t>VD 0.8 %</t>
        </is>
      </c>
      <c r="AA5233" s="12">
        <f>N5233*O5233</f>
        <v/>
      </c>
    </row>
    <row r="5234">
      <c r="A5234" s="12" t="inlineStr">
        <is>
          <t>I-P-0184</t>
        </is>
      </c>
      <c r="B5234" s="12" t="inlineStr">
        <is>
          <t>I</t>
        </is>
      </c>
      <c r="C5234" s="12" t="inlineStr">
        <is>
          <t>Modular / portable power</t>
        </is>
      </c>
      <c r="D5234" s="12" t="inlineStr">
        <is>
          <t>Motor 3 of 4, 15 kW</t>
        </is>
      </c>
      <c r="E5234" s="12" t="inlineStr"/>
      <c r="F5234" s="12" t="inlineStr">
        <is>
          <t>SC-1 PCM + 15 kV GCB</t>
        </is>
      </c>
      <c r="G5234" s="12" t="inlineStr"/>
      <c r="H5234" s="12" t="inlineStr">
        <is>
          <t>SC-1 lube-oil fin-fan cooler</t>
        </is>
      </c>
      <c r="I5234" s="12" t="inlineStr">
        <is>
          <t>LV 600 V</t>
        </is>
      </c>
      <c r="J5234" s="12" t="inlineStr">
        <is>
          <t>Type TC-ER 600 V 3/C Cu XHHW-2 + ground, PVC jacket</t>
        </is>
      </c>
      <c r="K5234" s="12" t="inlineStr">
        <is>
          <t>LV|3/C+G|10</t>
        </is>
      </c>
      <c r="L5234" s="12" t="inlineStr">
        <is>
          <t>3/C+G</t>
        </is>
      </c>
      <c r="M5234" s="12" t="inlineStr">
        <is>
          <t>10</t>
        </is>
      </c>
      <c r="N5234" s="12" t="n">
        <v>1</v>
      </c>
      <c r="O5234" s="12" t="n">
        <v>1</v>
      </c>
      <c r="P5234" s="12" t="n">
        <v>480</v>
      </c>
      <c r="Q5234" s="12" t="n">
        <v>15</v>
      </c>
      <c r="R5234" s="12" t="n">
        <v>21.2</v>
      </c>
      <c r="S5234" s="12" t="inlineStr">
        <is>
          <t>Tray</t>
        </is>
      </c>
      <c r="T5234" s="16" t="n">
        <v>0</v>
      </c>
      <c r="U5234" s="16" t="n">
        <v>82</v>
      </c>
      <c r="V5234" s="16">
        <f>ROUNDUP((T5234+U5234+2*'Read Me'!$B$13)*(1+'Read Me'!$B$12),-1)</f>
        <v/>
      </c>
      <c r="W5234" s="16">
        <f>V5234*N5234*O5234</f>
        <v/>
      </c>
      <c r="X5234" s="12">
        <f>IF(LEFT(I5234,2)="MV",2*N5234*IF(L5234="1/C",O5234,1),0)</f>
        <v/>
      </c>
      <c r="Y5234" s="12">
        <f>IF(OR(LEFT(K5234,4)="LVAX",LEFT(K5234,6)="MV15AX",LEFT(K5234,4)="CTAX",LEFT(K5234,2)="W|"),2*N5234*O5234,0)</f>
        <v/>
      </c>
      <c r="Z5234" s="12" t="inlineStr">
        <is>
          <t>VD 0.8 %</t>
        </is>
      </c>
      <c r="AA5234" s="12">
        <f>N5234*O5234</f>
        <v/>
      </c>
    </row>
    <row r="5235">
      <c r="A5235" s="12" t="inlineStr">
        <is>
          <t>I-P-0185</t>
        </is>
      </c>
      <c r="B5235" s="12" t="inlineStr">
        <is>
          <t>I</t>
        </is>
      </c>
      <c r="C5235" s="12" t="inlineStr">
        <is>
          <t>Modular / portable power</t>
        </is>
      </c>
      <c r="D5235" s="12" t="inlineStr">
        <is>
          <t>Motor 4 of 4, 15 kW</t>
        </is>
      </c>
      <c r="E5235" s="12" t="inlineStr"/>
      <c r="F5235" s="12" t="inlineStr">
        <is>
          <t>SC-1 PCM + 15 kV GCB</t>
        </is>
      </c>
      <c r="G5235" s="12" t="inlineStr"/>
      <c r="H5235" s="12" t="inlineStr">
        <is>
          <t>SC-1 lube-oil fin-fan cooler</t>
        </is>
      </c>
      <c r="I5235" s="12" t="inlineStr">
        <is>
          <t>LV 600 V</t>
        </is>
      </c>
      <c r="J5235" s="12" t="inlineStr">
        <is>
          <t>Type TC-ER 600 V 3/C Cu XHHW-2 + ground, PVC jacket</t>
        </is>
      </c>
      <c r="K5235" s="12" t="inlineStr">
        <is>
          <t>LV|3/C+G|10</t>
        </is>
      </c>
      <c r="L5235" s="12" t="inlineStr">
        <is>
          <t>3/C+G</t>
        </is>
      </c>
      <c r="M5235" s="12" t="inlineStr">
        <is>
          <t>10</t>
        </is>
      </c>
      <c r="N5235" s="12" t="n">
        <v>1</v>
      </c>
      <c r="O5235" s="12" t="n">
        <v>1</v>
      </c>
      <c r="P5235" s="12" t="n">
        <v>480</v>
      </c>
      <c r="Q5235" s="12" t="n">
        <v>15</v>
      </c>
      <c r="R5235" s="12" t="n">
        <v>21.2</v>
      </c>
      <c r="S5235" s="12" t="inlineStr">
        <is>
          <t>Tray</t>
        </is>
      </c>
      <c r="T5235" s="16" t="n">
        <v>0</v>
      </c>
      <c r="U5235" s="16" t="n">
        <v>82</v>
      </c>
      <c r="V5235" s="16">
        <f>ROUNDUP((T5235+U5235+2*'Read Me'!$B$13)*(1+'Read Me'!$B$12),-1)</f>
        <v/>
      </c>
      <c r="W5235" s="16">
        <f>V5235*N5235*O5235</f>
        <v/>
      </c>
      <c r="X5235" s="12">
        <f>IF(LEFT(I5235,2)="MV",2*N5235*IF(L5235="1/C",O5235,1),0)</f>
        <v/>
      </c>
      <c r="Y5235" s="12">
        <f>IF(OR(LEFT(K5235,4)="LVAX",LEFT(K5235,6)="MV15AX",LEFT(K5235,4)="CTAX",LEFT(K5235,2)="W|"),2*N5235*O5235,0)</f>
        <v/>
      </c>
      <c r="Z5235" s="12" t="inlineStr">
        <is>
          <t>VD 0.8 %</t>
        </is>
      </c>
      <c r="AA5235" s="12">
        <f>N5235*O5235</f>
        <v/>
      </c>
    </row>
    <row r="5236">
      <c r="A5236" s="12" t="inlineStr">
        <is>
          <t>I-P-0186</t>
        </is>
      </c>
      <c r="B5236" s="12" t="inlineStr">
        <is>
          <t>I</t>
        </is>
      </c>
      <c r="C5236" s="12" t="inlineStr">
        <is>
          <t>Modular / portable power</t>
        </is>
      </c>
      <c r="D5236" s="12" t="inlineStr">
        <is>
          <t>Area / platform lighting circuit 1 (4 fixtures)</t>
        </is>
      </c>
      <c r="E5236" s="12" t="inlineStr"/>
      <c r="F5236" s="12" t="inlineStr">
        <is>
          <t>SC-1 PCM + 15 kV GCB</t>
        </is>
      </c>
      <c r="G5236" s="12" t="inlineStr"/>
      <c r="H5236" s="12" t="inlineStr">
        <is>
          <t>SC-1 stack (80 ft)</t>
        </is>
      </c>
      <c r="I5236" s="12" t="inlineStr">
        <is>
          <t>LV 600 V</t>
        </is>
      </c>
      <c r="J5236" s="12" t="inlineStr">
        <is>
          <t>Type TC-ER 600 V 3/C Cu XHHW-2 + ground, PVC jacket</t>
        </is>
      </c>
      <c r="K5236" s="12" t="inlineStr">
        <is>
          <t>LV|3/C+G|10</t>
        </is>
      </c>
      <c r="L5236" s="12" t="inlineStr">
        <is>
          <t>3/C+G</t>
        </is>
      </c>
      <c r="M5236" s="12" t="inlineStr">
        <is>
          <t>10</t>
        </is>
      </c>
      <c r="N5236" s="12" t="n">
        <v>1</v>
      </c>
      <c r="O5236" s="12" t="n">
        <v>1</v>
      </c>
      <c r="P5236" s="12" t="n">
        <v>480</v>
      </c>
      <c r="Q5236" s="12" t="n">
        <v>3</v>
      </c>
      <c r="R5236" s="12" t="n">
        <v>5</v>
      </c>
      <c r="S5236" s="12" t="inlineStr">
        <is>
          <t>Tray</t>
        </is>
      </c>
      <c r="T5236" s="16" t="n">
        <v>300</v>
      </c>
      <c r="U5236" s="16" t="n">
        <v>208</v>
      </c>
      <c r="V5236" s="16">
        <f>ROUNDUP((T5236+U5236+2*'Read Me'!$B$13)*(1+'Read Me'!$B$12),-1)</f>
        <v/>
      </c>
      <c r="W5236" s="16">
        <f>V5236*N5236*O5236</f>
        <v/>
      </c>
      <c r="X5236" s="12">
        <f>IF(LEFT(I5236,2)="MV",2*N5236*IF(L5236="1/C",O5236,1),0)</f>
        <v/>
      </c>
      <c r="Y5236" s="12">
        <f>IF(OR(LEFT(K5236,4)="LVAX",LEFT(K5236,6)="MV15AX",LEFT(K5236,4)="CTAX",LEFT(K5236,2)="W|"),2*N5236*O5236,0)</f>
        <v/>
      </c>
      <c r="Z5236" s="12" t="inlineStr">
        <is>
          <t>fixture-to-fixture run included</t>
        </is>
      </c>
      <c r="AA5236" s="12">
        <f>N5236*O5236</f>
        <v/>
      </c>
    </row>
    <row r="5237">
      <c r="A5237" s="12" t="inlineStr">
        <is>
          <t>I-P-0187</t>
        </is>
      </c>
      <c r="B5237" s="12" t="inlineStr">
        <is>
          <t>I</t>
        </is>
      </c>
      <c r="C5237" s="12" t="inlineStr">
        <is>
          <t>Modular / portable power</t>
        </is>
      </c>
      <c r="D5237" s="12" t="inlineStr">
        <is>
          <t>Motor 1 of 2, 185 kW</t>
        </is>
      </c>
      <c r="E5237" s="12" t="inlineStr"/>
      <c r="F5237" s="12" t="inlineStr">
        <is>
          <t>SC-1 PCM + 15 kV GCB</t>
        </is>
      </c>
      <c r="G5237" s="12" t="inlineStr"/>
      <c r="H5237" s="12" t="inlineStr">
        <is>
          <t>SC-1 tempering-air fans (2 x 100 %)</t>
        </is>
      </c>
      <c r="I5237" s="12" t="inlineStr">
        <is>
          <t>LV 600 V</t>
        </is>
      </c>
      <c r="J5237" s="12" t="inlineStr">
        <is>
          <t>Type TC-ER 600 V 3/C Cu XHHW-2 + ground, PVC jacket</t>
        </is>
      </c>
      <c r="K5237" s="12" t="inlineStr">
        <is>
          <t>LV|3/C+G|500</t>
        </is>
      </c>
      <c r="L5237" s="12" t="inlineStr">
        <is>
          <t>3/C+G</t>
        </is>
      </c>
      <c r="M5237" s="12" t="inlineStr">
        <is>
          <t>500 kcmil</t>
        </is>
      </c>
      <c r="N5237" s="12" t="n">
        <v>1</v>
      </c>
      <c r="O5237" s="12" t="n">
        <v>1</v>
      </c>
      <c r="P5237" s="12" t="n">
        <v>480</v>
      </c>
      <c r="Q5237" s="12" t="n">
        <v>185</v>
      </c>
      <c r="R5237" s="12" t="n">
        <v>261.8</v>
      </c>
      <c r="S5237" s="12" t="inlineStr">
        <is>
          <t>Tray</t>
        </is>
      </c>
      <c r="T5237" s="16" t="n">
        <v>0</v>
      </c>
      <c r="U5237" s="16" t="n">
        <v>156</v>
      </c>
      <c r="V5237" s="16">
        <f>ROUNDUP((T5237+U5237+2*'Read Me'!$B$13)*(1+'Read Me'!$B$12),-1)</f>
        <v/>
      </c>
      <c r="W5237" s="16">
        <f>V5237*N5237*O5237</f>
        <v/>
      </c>
      <c r="X5237" s="12">
        <f>IF(LEFT(I5237,2)="MV",2*N5237*IF(L5237="1/C",O5237,1),0)</f>
        <v/>
      </c>
      <c r="Y5237" s="12">
        <f>IF(OR(LEFT(K5237,4)="LVAX",LEFT(K5237,6)="MV15AX",LEFT(K5237,4)="CTAX",LEFT(K5237,2)="W|"),2*N5237*O5237,0)</f>
        <v/>
      </c>
      <c r="Z5237" s="12" t="inlineStr">
        <is>
          <t>VD 0.4 %</t>
        </is>
      </c>
      <c r="AA5237" s="12">
        <f>N5237*O5237</f>
        <v/>
      </c>
    </row>
    <row r="5238">
      <c r="A5238" s="12" t="inlineStr">
        <is>
          <t>I-P-0188</t>
        </is>
      </c>
      <c r="B5238" s="12" t="inlineStr">
        <is>
          <t>I</t>
        </is>
      </c>
      <c r="C5238" s="12" t="inlineStr">
        <is>
          <t>Modular / portable power</t>
        </is>
      </c>
      <c r="D5238" s="12" t="inlineStr">
        <is>
          <t>Motor 2 of 2, 185 kW</t>
        </is>
      </c>
      <c r="E5238" s="12" t="inlineStr"/>
      <c r="F5238" s="12" t="inlineStr">
        <is>
          <t>SC-1 PCM + 15 kV GCB</t>
        </is>
      </c>
      <c r="G5238" s="12" t="inlineStr"/>
      <c r="H5238" s="12" t="inlineStr">
        <is>
          <t>SC-1 tempering-air fans (2 x 100 %)</t>
        </is>
      </c>
      <c r="I5238" s="12" t="inlineStr">
        <is>
          <t>LV 600 V</t>
        </is>
      </c>
      <c r="J5238" s="12" t="inlineStr">
        <is>
          <t>Type TC-ER 600 V 3/C Cu XHHW-2 + ground, PVC jacket</t>
        </is>
      </c>
      <c r="K5238" s="12" t="inlineStr">
        <is>
          <t>LV|3/C+G|500</t>
        </is>
      </c>
      <c r="L5238" s="12" t="inlineStr">
        <is>
          <t>3/C+G</t>
        </is>
      </c>
      <c r="M5238" s="12" t="inlineStr">
        <is>
          <t>500 kcmil</t>
        </is>
      </c>
      <c r="N5238" s="12" t="n">
        <v>1</v>
      </c>
      <c r="O5238" s="12" t="n">
        <v>1</v>
      </c>
      <c r="P5238" s="12" t="n">
        <v>480</v>
      </c>
      <c r="Q5238" s="12" t="n">
        <v>185</v>
      </c>
      <c r="R5238" s="12" t="n">
        <v>261.8</v>
      </c>
      <c r="S5238" s="12" t="inlineStr">
        <is>
          <t>Tray</t>
        </is>
      </c>
      <c r="T5238" s="16" t="n">
        <v>0</v>
      </c>
      <c r="U5238" s="16" t="n">
        <v>156</v>
      </c>
      <c r="V5238" s="16">
        <f>ROUNDUP((T5238+U5238+2*'Read Me'!$B$13)*(1+'Read Me'!$B$12),-1)</f>
        <v/>
      </c>
      <c r="W5238" s="16">
        <f>V5238*N5238*O5238</f>
        <v/>
      </c>
      <c r="X5238" s="12">
        <f>IF(LEFT(I5238,2)="MV",2*N5238*IF(L5238="1/C",O5238,1),0)</f>
        <v/>
      </c>
      <c r="Y5238" s="12">
        <f>IF(OR(LEFT(K5238,4)="LVAX",LEFT(K5238,6)="MV15AX",LEFT(K5238,4)="CTAX",LEFT(K5238,2)="W|"),2*N5238*O5238,0)</f>
        <v/>
      </c>
      <c r="Z5238" s="12" t="inlineStr">
        <is>
          <t>VD 0.4 %</t>
        </is>
      </c>
      <c r="AA5238" s="12">
        <f>N5238*O5238</f>
        <v/>
      </c>
    </row>
    <row r="5239">
      <c r="A5239" s="12" t="inlineStr">
        <is>
          <t>I-P-0189</t>
        </is>
      </c>
      <c r="B5239" s="12" t="inlineStr">
        <is>
          <t>I</t>
        </is>
      </c>
      <c r="C5239" s="12" t="inlineStr">
        <is>
          <t>Modular / portable power</t>
        </is>
      </c>
      <c r="D5239" s="12" t="inlineStr">
        <is>
          <t>Area / platform lighting circuit 1 (4 fixtures)</t>
        </is>
      </c>
      <c r="E5239" s="12" t="inlineStr"/>
      <c r="F5239" s="12" t="inlineStr">
        <is>
          <t>SC-1 PCM + 15 kV GCB</t>
        </is>
      </c>
      <c r="G5239" s="12" t="inlineStr"/>
      <c r="H5239" s="12" t="inlineStr">
        <is>
          <t>SC-1 tempering-air fans (2 x 100 %)</t>
        </is>
      </c>
      <c r="I5239" s="12" t="inlineStr">
        <is>
          <t>LV 600 V</t>
        </is>
      </c>
      <c r="J5239" s="12" t="inlineStr">
        <is>
          <t>Type TC-ER 600 V 3/C Cu XHHW-2 + ground, PVC jacket</t>
        </is>
      </c>
      <c r="K5239" s="12" t="inlineStr">
        <is>
          <t>LV|3/C+G|10</t>
        </is>
      </c>
      <c r="L5239" s="12" t="inlineStr">
        <is>
          <t>3/C+G</t>
        </is>
      </c>
      <c r="M5239" s="12" t="inlineStr">
        <is>
          <t>10</t>
        </is>
      </c>
      <c r="N5239" s="12" t="n">
        <v>1</v>
      </c>
      <c r="O5239" s="12" t="n">
        <v>1</v>
      </c>
      <c r="P5239" s="12" t="n">
        <v>480</v>
      </c>
      <c r="Q5239" s="12" t="n">
        <v>3</v>
      </c>
      <c r="R5239" s="12" t="n">
        <v>5</v>
      </c>
      <c r="S5239" s="12" t="inlineStr">
        <is>
          <t>Tray</t>
        </is>
      </c>
      <c r="T5239" s="16" t="n">
        <v>300</v>
      </c>
      <c r="U5239" s="16" t="n">
        <v>156</v>
      </c>
      <c r="V5239" s="16">
        <f>ROUNDUP((T5239+U5239+2*'Read Me'!$B$13)*(1+'Read Me'!$B$12),-1)</f>
        <v/>
      </c>
      <c r="W5239" s="16">
        <f>V5239*N5239*O5239</f>
        <v/>
      </c>
      <c r="X5239" s="12">
        <f>IF(LEFT(I5239,2)="MV",2*N5239*IF(L5239="1/C",O5239,1),0)</f>
        <v/>
      </c>
      <c r="Y5239" s="12">
        <f>IF(OR(LEFT(K5239,4)="LVAX",LEFT(K5239,6)="MV15AX",LEFT(K5239,4)="CTAX",LEFT(K5239,2)="W|"),2*N5239*O5239,0)</f>
        <v/>
      </c>
      <c r="Z5239" s="12" t="inlineStr">
        <is>
          <t>fixture-to-fixture run included</t>
        </is>
      </c>
      <c r="AA5239" s="12">
        <f>N5239*O5239</f>
        <v/>
      </c>
    </row>
    <row r="5240">
      <c r="A5240" s="12" t="inlineStr">
        <is>
          <t>I-P-0190</t>
        </is>
      </c>
      <c r="B5240" s="12" t="inlineStr">
        <is>
          <t>I</t>
        </is>
      </c>
      <c r="C5240" s="12" t="inlineStr">
        <is>
          <t>Modular / portable power</t>
        </is>
      </c>
      <c r="D5240" s="12" t="inlineStr">
        <is>
          <t>SC-1 emergency DC lube-oil pump (125 V DC, coast-down)</t>
        </is>
      </c>
      <c r="E5240" s="12" t="inlineStr"/>
      <c r="F5240" s="12" t="inlineStr">
        <is>
          <t>SC-1 PCM + 15 kV GCB</t>
        </is>
      </c>
      <c r="G5240" s="12" t="inlineStr">
        <is>
          <t>SC-1</t>
        </is>
      </c>
      <c r="H5240" s="12" t="inlineStr">
        <is>
          <t>SC-1: aeroderivative simple-cycle unit (LM6000 class)</t>
        </is>
      </c>
      <c r="I5240" s="12" t="inlineStr">
        <is>
          <t>LV 600 V</t>
        </is>
      </c>
      <c r="J5240" s="12" t="inlineStr">
        <is>
          <t>XHHW-2 600 V 1/C Cu (feeder sets in tray / duct)</t>
        </is>
      </c>
      <c r="K5240" s="12" t="inlineStr">
        <is>
          <t>LV1C|1/C|2</t>
        </is>
      </c>
      <c r="L5240" s="12" t="inlineStr">
        <is>
          <t>1/C</t>
        </is>
      </c>
      <c r="M5240" s="12" t="inlineStr">
        <is>
          <t>2</t>
        </is>
      </c>
      <c r="N5240" s="12" t="n">
        <v>1</v>
      </c>
      <c r="O5240" s="12" t="n">
        <v>2</v>
      </c>
      <c r="P5240" s="12" t="n">
        <v>125</v>
      </c>
      <c r="Q5240" s="12" t="n">
        <v>7.5</v>
      </c>
      <c r="R5240" s="12" t="n">
        <v>65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LM6000 class: DC pump keeps the bearings fed on loss of AC</t>
        </is>
      </c>
      <c r="AA5240" s="12">
        <f>N5240*O5240</f>
        <v/>
      </c>
    </row>
    <row r="5241">
      <c r="A5241" s="12" t="inlineStr">
        <is>
          <t>I-P-0191</t>
        </is>
      </c>
      <c r="B5241" s="12" t="inlineStr">
        <is>
          <t>I</t>
        </is>
      </c>
      <c r="C5241" s="12" t="inlineStr">
        <is>
          <t>Modular / portable power</t>
        </is>
      </c>
      <c r="D5241" s="12" t="inlineStr">
        <is>
          <t>SC-1 120 V AC UPS to the unit control and protection</t>
        </is>
      </c>
      <c r="E5241" s="12" t="inlineStr"/>
      <c r="F5241" s="12" t="inlineStr">
        <is>
          <t>SC-1 PCM + 15 kV GCB</t>
        </is>
      </c>
      <c r="G5241" s="12" t="inlineStr">
        <is>
          <t>SC-1</t>
        </is>
      </c>
      <c r="H5241" s="12" t="inlineStr">
        <is>
          <t>SC-1: aeroderivative simple-cycle unit (LM6000 class)</t>
        </is>
      </c>
      <c r="I5241" s="12" t="inlineStr">
        <is>
          <t>LV 600 V</t>
        </is>
      </c>
      <c r="J5241" s="12" t="inlineStr">
        <is>
          <t>XHHW-2 600 V 1/C Cu (feeder sets in tray / duct)</t>
        </is>
      </c>
      <c r="K5241" s="12" t="inlineStr">
        <is>
          <t>LV1C|1/C|6</t>
        </is>
      </c>
      <c r="L5241" s="12" t="inlineStr">
        <is>
          <t>1/C</t>
        </is>
      </c>
      <c r="M5241" s="12" t="inlineStr">
        <is>
          <t>6</t>
        </is>
      </c>
      <c r="N5241" s="12" t="n">
        <v>1</v>
      </c>
      <c r="O5241" s="12" t="n">
        <v>2</v>
      </c>
      <c r="P5241" s="12" t="n">
        <v>120</v>
      </c>
      <c r="Q5241" s="12" t="n">
        <v>5</v>
      </c>
      <c r="R5241" s="12" t="n"/>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c r="AA5241" s="12">
        <f>N5241*O5241</f>
        <v/>
      </c>
    </row>
    <row r="5242">
      <c r="A5242" s="12" t="inlineStr">
        <is>
          <t>I-P-0192</t>
        </is>
      </c>
      <c r="B5242" s="12" t="inlineStr">
        <is>
          <t>I</t>
        </is>
      </c>
      <c r="C5242" s="12" t="inlineStr">
        <is>
          <t>Modular / portable power</t>
        </is>
      </c>
      <c r="D5242" s="12" t="inlineStr">
        <is>
          <t>SC-1 hydraulic starter pump motor (start sequence only)</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LV|3/C+G|3/0</t>
        </is>
      </c>
      <c r="L5242" s="12" t="inlineStr">
        <is>
          <t>3/C+G</t>
        </is>
      </c>
      <c r="M5242" s="12" t="inlineStr">
        <is>
          <t>3/0</t>
        </is>
      </c>
      <c r="N5242" s="12" t="n">
        <v>2</v>
      </c>
      <c r="O5242" s="12" t="n">
        <v>1</v>
      </c>
      <c r="P5242" s="12" t="n">
        <v>480</v>
      </c>
      <c r="Q5242" s="12" t="n">
        <v>225</v>
      </c>
      <c r="R5242" s="12" t="n">
        <v>318.4</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typical LM6000 hydraulic start; verify starter type / rating with the OEM</t>
        </is>
      </c>
      <c r="AA5242" s="12">
        <f>N5242*O5242</f>
        <v/>
      </c>
    </row>
    <row r="5243">
      <c r="A5243" s="12" t="inlineStr">
        <is>
          <t>I-P-0193</t>
        </is>
      </c>
      <c r="B5243" s="12" t="inlineStr">
        <is>
          <t>I</t>
        </is>
      </c>
      <c r="C5243" s="12" t="inlineStr">
        <is>
          <t>Modular / portable power</t>
        </is>
      </c>
      <c r="D5243" s="12" t="inlineStr">
        <is>
          <t>SC-1 480 V welding receptacle 1</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LV|3/C+G|2</t>
        </is>
      </c>
      <c r="L5243" s="12" t="inlineStr">
        <is>
          <t>3/C+G</t>
        </is>
      </c>
      <c r="M5243" s="12" t="inlineStr">
        <is>
          <t>2</t>
        </is>
      </c>
      <c r="N5243" s="12" t="n">
        <v>1</v>
      </c>
      <c r="O5243" s="12" t="n">
        <v>1</v>
      </c>
      <c r="P5243" s="12" t="n">
        <v>480</v>
      </c>
      <c r="Q5243" s="12" t="n">
        <v>60</v>
      </c>
      <c r="R5243" s="12" t="n">
        <v>76</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0.4 %</t>
        </is>
      </c>
      <c r="AA5243" s="12">
        <f>N5243*O5243</f>
        <v/>
      </c>
    </row>
    <row r="5244">
      <c r="A5244" s="12" t="inlineStr">
        <is>
          <t>I-P-0194</t>
        </is>
      </c>
      <c r="B5244" s="12" t="inlineStr">
        <is>
          <t>I</t>
        </is>
      </c>
      <c r="C5244" s="12" t="inlineStr">
        <is>
          <t>Modular / portable power</t>
        </is>
      </c>
      <c r="D5244" s="12" t="inlineStr">
        <is>
          <t>SC-1 480 V welding receptacle 2</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LV|3/C+G|2</t>
        </is>
      </c>
      <c r="L5244" s="12" t="inlineStr">
        <is>
          <t>3/C+G</t>
        </is>
      </c>
      <c r="M5244" s="12" t="inlineStr">
        <is>
          <t>2</t>
        </is>
      </c>
      <c r="N5244" s="12" t="n">
        <v>1</v>
      </c>
      <c r="O5244" s="12" t="n">
        <v>1</v>
      </c>
      <c r="P5244" s="12" t="n">
        <v>480</v>
      </c>
      <c r="Q5244" s="12" t="n">
        <v>60</v>
      </c>
      <c r="R5244" s="12" t="n">
        <v>76</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0.4 %</t>
        </is>
      </c>
      <c r="AA5244" s="12">
        <f>N5244*O5244</f>
        <v/>
      </c>
    </row>
    <row r="5245">
      <c r="A5245" s="12" t="inlineStr">
        <is>
          <t>I-P-0195</t>
        </is>
      </c>
      <c r="B5245" s="12" t="inlineStr">
        <is>
          <t>I</t>
        </is>
      </c>
      <c r="C5245" s="12" t="inlineStr">
        <is>
          <t>Modular / portable power</t>
        </is>
      </c>
      <c r="D5245" s="12" t="inlineStr">
        <is>
          <t>Motor 1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I-P-0196</t>
        </is>
      </c>
      <c r="B5246" s="12" t="inlineStr">
        <is>
          <t>I</t>
        </is>
      </c>
      <c r="C5246" s="12" t="inlineStr">
        <is>
          <t>Modular / portable power</t>
        </is>
      </c>
      <c r="D5246" s="12" t="inlineStr">
        <is>
          <t>Motor 2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I-P-0197</t>
        </is>
      </c>
      <c r="B5247" s="12" t="inlineStr">
        <is>
          <t>I</t>
        </is>
      </c>
      <c r="C5247" s="12" t="inlineStr">
        <is>
          <t>Modular / portable power</t>
        </is>
      </c>
      <c r="D5247" s="12" t="inlineStr">
        <is>
          <t>Motor 3 of 10, 30 kW</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LV|3/C+G|6</t>
        </is>
      </c>
      <c r="L5247" s="12" t="inlineStr">
        <is>
          <t>3/C+G</t>
        </is>
      </c>
      <c r="M5247" s="12" t="inlineStr">
        <is>
          <t>6</t>
        </is>
      </c>
      <c r="N5247" s="12" t="n">
        <v>1</v>
      </c>
      <c r="O5247" s="12" t="n">
        <v>1</v>
      </c>
      <c r="P5247" s="12" t="n">
        <v>480</v>
      </c>
      <c r="Q5247" s="12" t="n">
        <v>30</v>
      </c>
      <c r="R5247" s="12" t="n">
        <v>42.5</v>
      </c>
      <c r="S5247" s="12" t="inlineStr">
        <is>
          <t>Tray</t>
        </is>
      </c>
      <c r="T5247" s="16" t="n">
        <v>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VD 0.5 %</t>
        </is>
      </c>
      <c r="AA5247" s="12">
        <f>N5247*O5247</f>
        <v/>
      </c>
    </row>
    <row r="5248">
      <c r="A5248" s="12" t="inlineStr">
        <is>
          <t>I-P-0198</t>
        </is>
      </c>
      <c r="B5248" s="12" t="inlineStr">
        <is>
          <t>I</t>
        </is>
      </c>
      <c r="C5248" s="12" t="inlineStr">
        <is>
          <t>Modular / portable power</t>
        </is>
      </c>
      <c r="D5248" s="12" t="inlineStr">
        <is>
          <t>Motor 4 of 10, 30 kW</t>
        </is>
      </c>
      <c r="E5248" s="12" t="inlineStr"/>
      <c r="F5248" s="12" t="inlineStr">
        <is>
          <t>SC-1 PCM + 15 kV GCB</t>
        </is>
      </c>
      <c r="G5248" s="12" t="inlineStr">
        <is>
          <t>SC-1</t>
        </is>
      </c>
      <c r="H5248" s="12" t="inlineStr">
        <is>
          <t>SC-1: aeroderivative simple-cycle unit (LM6000 class)</t>
        </is>
      </c>
      <c r="I5248" s="12" t="inlineStr">
        <is>
          <t>LV 600 V</t>
        </is>
      </c>
      <c r="J5248" s="12" t="inlineStr">
        <is>
          <t>Type TC-ER 600 V 3/C Cu XHHW-2 + ground, PVC jacket</t>
        </is>
      </c>
      <c r="K5248" s="12" t="inlineStr">
        <is>
          <t>LV|3/C+G|6</t>
        </is>
      </c>
      <c r="L5248" s="12" t="inlineStr">
        <is>
          <t>3/C+G</t>
        </is>
      </c>
      <c r="M5248" s="12" t="inlineStr">
        <is>
          <t>6</t>
        </is>
      </c>
      <c r="N5248" s="12" t="n">
        <v>1</v>
      </c>
      <c r="O5248" s="12" t="n">
        <v>1</v>
      </c>
      <c r="P5248" s="12" t="n">
        <v>480</v>
      </c>
      <c r="Q5248" s="12" t="n">
        <v>30</v>
      </c>
      <c r="R5248" s="12" t="n">
        <v>42.5</v>
      </c>
      <c r="S5248" s="12" t="inlineStr">
        <is>
          <t>Tray</t>
        </is>
      </c>
      <c r="T5248" s="16" t="n">
        <v>0</v>
      </c>
      <c r="U5248" s="16" t="n">
        <v>64</v>
      </c>
      <c r="V5248" s="16">
        <f>ROUNDUP((T5248+U5248+2*'Read Me'!$B$13)*(1+'Read Me'!$B$12),-1)</f>
        <v/>
      </c>
      <c r="W5248" s="16">
        <f>V5248*N5248*O5248</f>
        <v/>
      </c>
      <c r="X5248" s="12">
        <f>IF(LEFT(I5248,2)="MV",2*N5248*IF(L5248="1/C",O5248,1),0)</f>
        <v/>
      </c>
      <c r="Y5248" s="12">
        <f>IF(OR(LEFT(K5248,4)="LVAX",LEFT(K5248,6)="MV15AX",LEFT(K5248,4)="CTAX",LEFT(K5248,2)="W|"),2*N5248*O5248,0)</f>
        <v/>
      </c>
      <c r="Z5248" s="12" t="inlineStr">
        <is>
          <t>VD 0.5 %</t>
        </is>
      </c>
      <c r="AA5248" s="12">
        <f>N5248*O5248</f>
        <v/>
      </c>
    </row>
    <row r="5249">
      <c r="A5249" s="12" t="inlineStr">
        <is>
          <t>I-P-0199</t>
        </is>
      </c>
      <c r="B5249" s="12" t="inlineStr">
        <is>
          <t>I</t>
        </is>
      </c>
      <c r="C5249" s="12" t="inlineStr">
        <is>
          <t>Modular / portable power</t>
        </is>
      </c>
      <c r="D5249" s="12" t="inlineStr">
        <is>
          <t>Motor 5 of 10, 30 kW</t>
        </is>
      </c>
      <c r="E5249" s="12" t="inlineStr"/>
      <c r="F5249" s="12" t="inlineStr">
        <is>
          <t>SC-1 PCM + 15 kV GCB</t>
        </is>
      </c>
      <c r="G5249" s="12" t="inlineStr">
        <is>
          <t>SC-1</t>
        </is>
      </c>
      <c r="H5249" s="12" t="inlineStr">
        <is>
          <t>SC-1: aeroderivative simple-cycle unit (LM6000 class)</t>
        </is>
      </c>
      <c r="I5249" s="12" t="inlineStr">
        <is>
          <t>LV 600 V</t>
        </is>
      </c>
      <c r="J5249" s="12" t="inlineStr">
        <is>
          <t>Type TC-ER 600 V 3/C Cu XHHW-2 + ground, PVC jacket</t>
        </is>
      </c>
      <c r="K5249" s="12" t="inlineStr">
        <is>
          <t>LV|3/C+G|6</t>
        </is>
      </c>
      <c r="L5249" s="12" t="inlineStr">
        <is>
          <t>3/C+G</t>
        </is>
      </c>
      <c r="M5249" s="12" t="inlineStr">
        <is>
          <t>6</t>
        </is>
      </c>
      <c r="N5249" s="12" t="n">
        <v>1</v>
      </c>
      <c r="O5249" s="12" t="n">
        <v>1</v>
      </c>
      <c r="P5249" s="12" t="n">
        <v>480</v>
      </c>
      <c r="Q5249" s="12" t="n">
        <v>30</v>
      </c>
      <c r="R5249" s="12" t="n">
        <v>42.5</v>
      </c>
      <c r="S5249" s="12" t="inlineStr">
        <is>
          <t>Tray</t>
        </is>
      </c>
      <c r="T5249" s="16" t="n">
        <v>0</v>
      </c>
      <c r="U5249" s="16" t="n">
        <v>64</v>
      </c>
      <c r="V5249" s="16">
        <f>ROUNDUP((T5249+U5249+2*'Read Me'!$B$13)*(1+'Read Me'!$B$12),-1)</f>
        <v/>
      </c>
      <c r="W5249" s="16">
        <f>V5249*N5249*O5249</f>
        <v/>
      </c>
      <c r="X5249" s="12">
        <f>IF(LEFT(I5249,2)="MV",2*N5249*IF(L5249="1/C",O5249,1),0)</f>
        <v/>
      </c>
      <c r="Y5249" s="12">
        <f>IF(OR(LEFT(K5249,4)="LVAX",LEFT(K5249,6)="MV15AX",LEFT(K5249,4)="CTAX",LEFT(K5249,2)="W|"),2*N5249*O5249,0)</f>
        <v/>
      </c>
      <c r="Z5249" s="12" t="inlineStr">
        <is>
          <t>VD 0.5 %</t>
        </is>
      </c>
      <c r="AA5249" s="12">
        <f>N5249*O5249</f>
        <v/>
      </c>
    </row>
    <row r="5250">
      <c r="A5250" s="12" t="inlineStr">
        <is>
          <t>I-P-0200</t>
        </is>
      </c>
      <c r="B5250" s="12" t="inlineStr">
        <is>
          <t>I</t>
        </is>
      </c>
      <c r="C5250" s="12" t="inlineStr">
        <is>
          <t>Modular / portable power</t>
        </is>
      </c>
      <c r="D5250" s="12" t="inlineStr">
        <is>
          <t>Motor 6 of 10, 30 kW</t>
        </is>
      </c>
      <c r="E5250" s="12" t="inlineStr"/>
      <c r="F5250" s="12" t="inlineStr">
        <is>
          <t>SC-1 PCM + 15 kV GCB</t>
        </is>
      </c>
      <c r="G5250" s="12" t="inlineStr">
        <is>
          <t>SC-1</t>
        </is>
      </c>
      <c r="H5250" s="12" t="inlineStr">
        <is>
          <t>SC-1: aeroderivative simple-cycle unit (LM6000 class)</t>
        </is>
      </c>
      <c r="I5250" s="12" t="inlineStr">
        <is>
          <t>LV 600 V</t>
        </is>
      </c>
      <c r="J5250" s="12" t="inlineStr">
        <is>
          <t>Type TC-ER 600 V 3/C Cu XHHW-2 + ground, PVC jacket</t>
        </is>
      </c>
      <c r="K5250" s="12" t="inlineStr">
        <is>
          <t>LV|3/C+G|6</t>
        </is>
      </c>
      <c r="L5250" s="12" t="inlineStr">
        <is>
          <t>3/C+G</t>
        </is>
      </c>
      <c r="M5250" s="12" t="inlineStr">
        <is>
          <t>6</t>
        </is>
      </c>
      <c r="N5250" s="12" t="n">
        <v>1</v>
      </c>
      <c r="O5250" s="12" t="n">
        <v>1</v>
      </c>
      <c r="P5250" s="12" t="n">
        <v>480</v>
      </c>
      <c r="Q5250" s="12" t="n">
        <v>30</v>
      </c>
      <c r="R5250" s="12" t="n">
        <v>42.5</v>
      </c>
      <c r="S5250" s="12" t="inlineStr">
        <is>
          <t>Tray</t>
        </is>
      </c>
      <c r="T5250" s="16" t="n">
        <v>0</v>
      </c>
      <c r="U5250" s="16" t="n">
        <v>64</v>
      </c>
      <c r="V5250" s="16">
        <f>ROUNDUP((T5250+U5250+2*'Read Me'!$B$13)*(1+'Read Me'!$B$12),-1)</f>
        <v/>
      </c>
      <c r="W5250" s="16">
        <f>V5250*N5250*O5250</f>
        <v/>
      </c>
      <c r="X5250" s="12">
        <f>IF(LEFT(I5250,2)="MV",2*N5250*IF(L5250="1/C",O5250,1),0)</f>
        <v/>
      </c>
      <c r="Y5250" s="12">
        <f>IF(OR(LEFT(K5250,4)="LVAX",LEFT(K5250,6)="MV15AX",LEFT(K5250,4)="CTAX",LEFT(K5250,2)="W|"),2*N5250*O5250,0)</f>
        <v/>
      </c>
      <c r="Z5250" s="12" t="inlineStr">
        <is>
          <t>VD 0.5 %</t>
        </is>
      </c>
      <c r="AA5250" s="12">
        <f>N5250*O5250</f>
        <v/>
      </c>
    </row>
    <row r="5251">
      <c r="A5251" s="12" t="inlineStr">
        <is>
          <t>I-P-0201</t>
        </is>
      </c>
      <c r="B5251" s="12" t="inlineStr">
        <is>
          <t>I</t>
        </is>
      </c>
      <c r="C5251" s="12" t="inlineStr">
        <is>
          <t>Modular / portable power</t>
        </is>
      </c>
      <c r="D5251" s="12" t="inlineStr">
        <is>
          <t>Motor 7 of 10, 30 kW</t>
        </is>
      </c>
      <c r="E5251" s="12" t="inlineStr"/>
      <c r="F5251" s="12" t="inlineStr">
        <is>
          <t>SC-1 PCM + 15 kV GCB</t>
        </is>
      </c>
      <c r="G5251" s="12" t="inlineStr">
        <is>
          <t>SC-1</t>
        </is>
      </c>
      <c r="H5251" s="12" t="inlineStr">
        <is>
          <t>SC-1: aeroderivative simple-cycle unit (LM6000 class)</t>
        </is>
      </c>
      <c r="I5251" s="12" t="inlineStr">
        <is>
          <t>LV 600 V</t>
        </is>
      </c>
      <c r="J5251" s="12" t="inlineStr">
        <is>
          <t>Type TC-ER 600 V 3/C Cu XHHW-2 + ground, PVC jacket</t>
        </is>
      </c>
      <c r="K5251" s="12" t="inlineStr">
        <is>
          <t>LV|3/C+G|6</t>
        </is>
      </c>
      <c r="L5251" s="12" t="inlineStr">
        <is>
          <t>3/C+G</t>
        </is>
      </c>
      <c r="M5251" s="12" t="inlineStr">
        <is>
          <t>6</t>
        </is>
      </c>
      <c r="N5251" s="12" t="n">
        <v>1</v>
      </c>
      <c r="O5251" s="12" t="n">
        <v>1</v>
      </c>
      <c r="P5251" s="12" t="n">
        <v>480</v>
      </c>
      <c r="Q5251" s="12" t="n">
        <v>30</v>
      </c>
      <c r="R5251" s="12" t="n">
        <v>42.5</v>
      </c>
      <c r="S5251" s="12" t="inlineStr">
        <is>
          <t>Tray</t>
        </is>
      </c>
      <c r="T5251" s="16" t="n">
        <v>0</v>
      </c>
      <c r="U5251" s="16" t="n">
        <v>64</v>
      </c>
      <c r="V5251" s="16">
        <f>ROUNDUP((T5251+U5251+2*'Read Me'!$B$13)*(1+'Read Me'!$B$12),-1)</f>
        <v/>
      </c>
      <c r="W5251" s="16">
        <f>V5251*N5251*O5251</f>
        <v/>
      </c>
      <c r="X5251" s="12">
        <f>IF(LEFT(I5251,2)="MV",2*N5251*IF(L5251="1/C",O5251,1),0)</f>
        <v/>
      </c>
      <c r="Y5251" s="12">
        <f>IF(OR(LEFT(K5251,4)="LVAX",LEFT(K5251,6)="MV15AX",LEFT(K5251,4)="CTAX",LEFT(K5251,2)="W|"),2*N5251*O5251,0)</f>
        <v/>
      </c>
      <c r="Z5251" s="12" t="inlineStr">
        <is>
          <t>VD 0.5 %</t>
        </is>
      </c>
      <c r="AA5251" s="12">
        <f>N5251*O5251</f>
        <v/>
      </c>
    </row>
    <row r="5252">
      <c r="A5252" s="12" t="inlineStr">
        <is>
          <t>I-P-0202</t>
        </is>
      </c>
      <c r="B5252" s="12" t="inlineStr">
        <is>
          <t>I</t>
        </is>
      </c>
      <c r="C5252" s="12" t="inlineStr">
        <is>
          <t>Modular / portable power</t>
        </is>
      </c>
      <c r="D5252" s="12" t="inlineStr">
        <is>
          <t>Motor 8 of 10, 30 kW</t>
        </is>
      </c>
      <c r="E5252" s="12" t="inlineStr"/>
      <c r="F5252" s="12" t="inlineStr">
        <is>
          <t>SC-1 PCM + 15 kV GCB</t>
        </is>
      </c>
      <c r="G5252" s="12" t="inlineStr">
        <is>
          <t>SC-1</t>
        </is>
      </c>
      <c r="H5252" s="12" t="inlineStr">
        <is>
          <t>SC-1: aeroderivative simple-cycle unit (LM6000 class)</t>
        </is>
      </c>
      <c r="I5252" s="12" t="inlineStr">
        <is>
          <t>LV 600 V</t>
        </is>
      </c>
      <c r="J5252" s="12" t="inlineStr">
        <is>
          <t>Type TC-ER 600 V 3/C Cu XHHW-2 + ground, PVC jacket</t>
        </is>
      </c>
      <c r="K5252" s="12" t="inlineStr">
        <is>
          <t>LV|3/C+G|6</t>
        </is>
      </c>
      <c r="L5252" s="12" t="inlineStr">
        <is>
          <t>3/C+G</t>
        </is>
      </c>
      <c r="M5252" s="12" t="inlineStr">
        <is>
          <t>6</t>
        </is>
      </c>
      <c r="N5252" s="12" t="n">
        <v>1</v>
      </c>
      <c r="O5252" s="12" t="n">
        <v>1</v>
      </c>
      <c r="P5252" s="12" t="n">
        <v>480</v>
      </c>
      <c r="Q5252" s="12" t="n">
        <v>30</v>
      </c>
      <c r="R5252" s="12" t="n">
        <v>42.5</v>
      </c>
      <c r="S5252" s="12" t="inlineStr">
        <is>
          <t>Tray</t>
        </is>
      </c>
      <c r="T5252" s="16" t="n">
        <v>0</v>
      </c>
      <c r="U5252" s="16" t="n">
        <v>64</v>
      </c>
      <c r="V5252" s="16">
        <f>ROUNDUP((T5252+U5252+2*'Read Me'!$B$13)*(1+'Read Me'!$B$12),-1)</f>
        <v/>
      </c>
      <c r="W5252" s="16">
        <f>V5252*N5252*O5252</f>
        <v/>
      </c>
      <c r="X5252" s="12">
        <f>IF(LEFT(I5252,2)="MV",2*N5252*IF(L5252="1/C",O5252,1),0)</f>
        <v/>
      </c>
      <c r="Y5252" s="12">
        <f>IF(OR(LEFT(K5252,4)="LVAX",LEFT(K5252,6)="MV15AX",LEFT(K5252,4)="CTAX",LEFT(K5252,2)="W|"),2*N5252*O5252,0)</f>
        <v/>
      </c>
      <c r="Z5252" s="12" t="inlineStr">
        <is>
          <t>VD 0.5 %</t>
        </is>
      </c>
      <c r="AA5252" s="12">
        <f>N5252*O5252</f>
        <v/>
      </c>
    </row>
    <row r="5253">
      <c r="A5253" s="12" t="inlineStr">
        <is>
          <t>I-P-0203</t>
        </is>
      </c>
      <c r="B5253" s="12" t="inlineStr">
        <is>
          <t>I</t>
        </is>
      </c>
      <c r="C5253" s="12" t="inlineStr">
        <is>
          <t>Modular / portable power</t>
        </is>
      </c>
      <c r="D5253" s="12" t="inlineStr">
        <is>
          <t>Motor 9 of 10, 30 kW</t>
        </is>
      </c>
      <c r="E5253" s="12" t="inlineStr"/>
      <c r="F5253" s="12" t="inlineStr">
        <is>
          <t>SC-1 PCM + 15 kV GCB</t>
        </is>
      </c>
      <c r="G5253" s="12" t="inlineStr">
        <is>
          <t>SC-1</t>
        </is>
      </c>
      <c r="H5253" s="12" t="inlineStr">
        <is>
          <t>SC-1: aeroderivative simple-cycle unit (LM6000 class)</t>
        </is>
      </c>
      <c r="I5253" s="12" t="inlineStr">
        <is>
          <t>LV 600 V</t>
        </is>
      </c>
      <c r="J5253" s="12" t="inlineStr">
        <is>
          <t>Type TC-ER 600 V 3/C Cu XHHW-2 + ground, PVC jacket</t>
        </is>
      </c>
      <c r="K5253" s="12" t="inlineStr">
        <is>
          <t>LV|3/C+G|6</t>
        </is>
      </c>
      <c r="L5253" s="12" t="inlineStr">
        <is>
          <t>3/C+G</t>
        </is>
      </c>
      <c r="M5253" s="12" t="inlineStr">
        <is>
          <t>6</t>
        </is>
      </c>
      <c r="N5253" s="12" t="n">
        <v>1</v>
      </c>
      <c r="O5253" s="12" t="n">
        <v>1</v>
      </c>
      <c r="P5253" s="12" t="n">
        <v>480</v>
      </c>
      <c r="Q5253" s="12" t="n">
        <v>30</v>
      </c>
      <c r="R5253" s="12" t="n">
        <v>42.5</v>
      </c>
      <c r="S5253" s="12" t="inlineStr">
        <is>
          <t>Tray</t>
        </is>
      </c>
      <c r="T5253" s="16" t="n">
        <v>0</v>
      </c>
      <c r="U5253" s="16" t="n">
        <v>64</v>
      </c>
      <c r="V5253" s="16">
        <f>ROUNDUP((T5253+U5253+2*'Read Me'!$B$13)*(1+'Read Me'!$B$12),-1)</f>
        <v/>
      </c>
      <c r="W5253" s="16">
        <f>V5253*N5253*O5253</f>
        <v/>
      </c>
      <c r="X5253" s="12">
        <f>IF(LEFT(I5253,2)="MV",2*N5253*IF(L5253="1/C",O5253,1),0)</f>
        <v/>
      </c>
      <c r="Y5253" s="12">
        <f>IF(OR(LEFT(K5253,4)="LVAX",LEFT(K5253,6)="MV15AX",LEFT(K5253,4)="CTAX",LEFT(K5253,2)="W|"),2*N5253*O5253,0)</f>
        <v/>
      </c>
      <c r="Z5253" s="12" t="inlineStr">
        <is>
          <t>VD 0.5 %</t>
        </is>
      </c>
      <c r="AA5253" s="12">
        <f>N5253*O5253</f>
        <v/>
      </c>
    </row>
    <row r="5254">
      <c r="A5254" s="12" t="inlineStr">
        <is>
          <t>I-P-0204</t>
        </is>
      </c>
      <c r="B5254" s="12" t="inlineStr">
        <is>
          <t>I</t>
        </is>
      </c>
      <c r="C5254" s="12" t="inlineStr">
        <is>
          <t>Modular / portable power</t>
        </is>
      </c>
      <c r="D5254" s="12" t="inlineStr">
        <is>
          <t>Motor 10 of 10, 30 kW</t>
        </is>
      </c>
      <c r="E5254" s="12" t="inlineStr"/>
      <c r="F5254" s="12" t="inlineStr">
        <is>
          <t>SC-1 PCM + 15 kV GCB</t>
        </is>
      </c>
      <c r="G5254" s="12" t="inlineStr">
        <is>
          <t>SC-1</t>
        </is>
      </c>
      <c r="H5254" s="12" t="inlineStr">
        <is>
          <t>SC-1: aeroderivative simple-cycle unit (LM6000 class)</t>
        </is>
      </c>
      <c r="I5254" s="12" t="inlineStr">
        <is>
          <t>LV 600 V</t>
        </is>
      </c>
      <c r="J5254" s="12" t="inlineStr">
        <is>
          <t>Type TC-ER 600 V 3/C Cu XHHW-2 + ground, PVC jacket</t>
        </is>
      </c>
      <c r="K5254" s="12" t="inlineStr">
        <is>
          <t>LV|3/C+G|6</t>
        </is>
      </c>
      <c r="L5254" s="12" t="inlineStr">
        <is>
          <t>3/C+G</t>
        </is>
      </c>
      <c r="M5254" s="12" t="inlineStr">
        <is>
          <t>6</t>
        </is>
      </c>
      <c r="N5254" s="12" t="n">
        <v>1</v>
      </c>
      <c r="O5254" s="12" t="n">
        <v>1</v>
      </c>
      <c r="P5254" s="12" t="n">
        <v>480</v>
      </c>
      <c r="Q5254" s="12" t="n">
        <v>30</v>
      </c>
      <c r="R5254" s="12" t="n">
        <v>42.5</v>
      </c>
      <c r="S5254" s="12" t="inlineStr">
        <is>
          <t>Tray</t>
        </is>
      </c>
      <c r="T5254" s="16" t="n">
        <v>0</v>
      </c>
      <c r="U5254" s="16" t="n">
        <v>64</v>
      </c>
      <c r="V5254" s="16">
        <f>ROUNDUP((T5254+U5254+2*'Read Me'!$B$13)*(1+'Read Me'!$B$12),-1)</f>
        <v/>
      </c>
      <c r="W5254" s="16">
        <f>V5254*N5254*O5254</f>
        <v/>
      </c>
      <c r="X5254" s="12">
        <f>IF(LEFT(I5254,2)="MV",2*N5254*IF(L5254="1/C",O5254,1),0)</f>
        <v/>
      </c>
      <c r="Y5254" s="12">
        <f>IF(OR(LEFT(K5254,4)="LVAX",LEFT(K5254,6)="MV15AX",LEFT(K5254,4)="CTAX",LEFT(K5254,2)="W|"),2*N5254*O5254,0)</f>
        <v/>
      </c>
      <c r="Z5254" s="12" t="inlineStr">
        <is>
          <t>VD 0.5 %</t>
        </is>
      </c>
      <c r="AA5254" s="12">
        <f>N5254*O5254</f>
        <v/>
      </c>
    </row>
    <row r="5255">
      <c r="A5255" s="12" t="inlineStr">
        <is>
          <t>I-P-0205</t>
        </is>
      </c>
      <c r="B5255" s="12" t="inlineStr">
        <is>
          <t>I</t>
        </is>
      </c>
      <c r="C5255" s="12" t="inlineStr">
        <is>
          <t>Modular / portable power</t>
        </is>
      </c>
      <c r="D5255" s="12" t="inlineStr">
        <is>
          <t>Area / platform lighting circuit 1 (8 fixtures)</t>
        </is>
      </c>
      <c r="E5255" s="12" t="inlineStr"/>
      <c r="F5255" s="12" t="inlineStr">
        <is>
          <t>SC-1 PCM + 15 kV GCB</t>
        </is>
      </c>
      <c r="G5255" s="12" t="inlineStr">
        <is>
          <t>SC-1</t>
        </is>
      </c>
      <c r="H5255" s="12" t="inlineStr">
        <is>
          <t>SC-1: aeroderivative simple-cycle unit (LM6000 class)</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3</v>
      </c>
      <c r="R5255" s="12" t="n">
        <v>5</v>
      </c>
      <c r="S5255" s="12" t="inlineStr">
        <is>
          <t>Tray</t>
        </is>
      </c>
      <c r="T5255" s="16" t="n">
        <v>300</v>
      </c>
      <c r="U5255" s="16" t="n">
        <v>64</v>
      </c>
      <c r="V5255" s="16">
        <f>ROUNDUP((T5255+U5255+2*'Read Me'!$B$13)*(1+'Read Me'!$B$12),-1)</f>
        <v/>
      </c>
      <c r="W5255" s="16">
        <f>V5255*N5255*O5255</f>
        <v/>
      </c>
      <c r="X5255" s="12">
        <f>IF(LEFT(I5255,2)="MV",2*N5255*IF(L5255="1/C",O5255,1),0)</f>
        <v/>
      </c>
      <c r="Y5255" s="12">
        <f>IF(OR(LEFT(K5255,4)="LVAX",LEFT(K5255,6)="MV15AX",LEFT(K5255,4)="CTAX",LEFT(K5255,2)="W|"),2*N5255*O5255,0)</f>
        <v/>
      </c>
      <c r="Z5255" s="12" t="inlineStr">
        <is>
          <t>fixture-to-fixture run included</t>
        </is>
      </c>
      <c r="AA5255" s="12">
        <f>N5255*O5255</f>
        <v/>
      </c>
    </row>
    <row r="5256">
      <c r="A5256" s="12" t="inlineStr">
        <is>
          <t>I-P-0206</t>
        </is>
      </c>
      <c r="B5256" s="12" t="inlineStr">
        <is>
          <t>I</t>
        </is>
      </c>
      <c r="C5256" s="12" t="inlineStr">
        <is>
          <t>Modular / portable power</t>
        </is>
      </c>
      <c r="D5256" s="12" t="inlineStr">
        <is>
          <t>SC-2 CEMS shelter panel: analysers, heated sample line, lighting</t>
        </is>
      </c>
      <c r="E5256" s="12" t="inlineStr"/>
      <c r="F5256" s="12" t="inlineStr">
        <is>
          <t>SC-2 PCM + 15 kV GCB</t>
        </is>
      </c>
      <c r="G5256" s="12" t="inlineStr"/>
      <c r="H5256" s="12" t="inlineStr">
        <is>
          <t>SC-2 CEMS shelter</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15</v>
      </c>
      <c r="R5256" s="12" t="n">
        <v>19</v>
      </c>
      <c r="S5256" s="12" t="inlineStr">
        <is>
          <t>Duct bank</t>
        </is>
      </c>
      <c r="T5256" s="16" t="n">
        <v>25</v>
      </c>
      <c r="U5256" s="16" t="n">
        <v>197</v>
      </c>
      <c r="V5256" s="16">
        <f>ROUNDUP((T5256+U5256+2*'Read Me'!$B$13)*(1+'Read Me'!$B$12),-1)</f>
        <v/>
      </c>
      <c r="W5256" s="16">
        <f>V5256*N5256*O5256</f>
        <v/>
      </c>
      <c r="X5256" s="12">
        <f>IF(LEFT(I5256,2)="MV",2*N5256*IF(L5256="1/C",O5256,1),0)</f>
        <v/>
      </c>
      <c r="Y5256" s="12">
        <f>IF(OR(LEFT(K5256,4)="LVAX",LEFT(K5256,6)="MV15AX",LEFT(K5256,4)="CTAX",LEFT(K5256,2)="W|"),2*N5256*O5256,0)</f>
        <v/>
      </c>
      <c r="Z5256" s="12" t="inlineStr">
        <is>
          <t>VD 2.0 %</t>
        </is>
      </c>
      <c r="AA5256" s="12">
        <f>N5256*O5256</f>
        <v/>
      </c>
    </row>
    <row r="5257">
      <c r="A5257" s="12" t="inlineStr">
        <is>
          <t>I-P-0207</t>
        </is>
      </c>
      <c r="B5257" s="12" t="inlineStr">
        <is>
          <t>I</t>
        </is>
      </c>
      <c r="C5257" s="12" t="inlineStr">
        <is>
          <t>Modular / portable power</t>
        </is>
      </c>
      <c r="D5257" s="12" t="inlineStr">
        <is>
          <t>Motor 1 of 2, 5 kW</t>
        </is>
      </c>
      <c r="E5257" s="12" t="inlineStr"/>
      <c r="F5257" s="12" t="inlineStr">
        <is>
          <t>SC-2 PCM + 15 kV GCB</t>
        </is>
      </c>
      <c r="G5257" s="12" t="inlineStr"/>
      <c r="H5257" s="12" t="inlineStr">
        <is>
          <t>SC-2 CEMS shelter</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5</v>
      </c>
      <c r="R5257" s="12" t="n">
        <v>7.1</v>
      </c>
      <c r="S5257" s="12" t="inlineStr">
        <is>
          <t>Duct bank</t>
        </is>
      </c>
      <c r="T5257" s="16" t="n">
        <v>25</v>
      </c>
      <c r="U5257" s="16" t="n">
        <v>197</v>
      </c>
      <c r="V5257" s="16">
        <f>ROUNDUP((T5257+U5257+2*'Read Me'!$B$13)*(1+'Read Me'!$B$12),-1)</f>
        <v/>
      </c>
      <c r="W5257" s="16">
        <f>V5257*N5257*O5257</f>
        <v/>
      </c>
      <c r="X5257" s="12">
        <f>IF(LEFT(I5257,2)="MV",2*N5257*IF(L5257="1/C",O5257,1),0)</f>
        <v/>
      </c>
      <c r="Y5257" s="12">
        <f>IF(OR(LEFT(K5257,4)="LVAX",LEFT(K5257,6)="MV15AX",LEFT(K5257,4)="CTAX",LEFT(K5257,2)="W|"),2*N5257*O5257,0)</f>
        <v/>
      </c>
      <c r="Z5257" s="12" t="inlineStr">
        <is>
          <t>VD 0.8 %</t>
        </is>
      </c>
      <c r="AA5257" s="12">
        <f>N5257*O5257</f>
        <v/>
      </c>
    </row>
    <row r="5258">
      <c r="A5258" s="12" t="inlineStr">
        <is>
          <t>I-P-0208</t>
        </is>
      </c>
      <c r="B5258" s="12" t="inlineStr">
        <is>
          <t>I</t>
        </is>
      </c>
      <c r="C5258" s="12" t="inlineStr">
        <is>
          <t>Modular / portable power</t>
        </is>
      </c>
      <c r="D5258" s="12" t="inlineStr">
        <is>
          <t>Motor 2 of 2, 5 kW</t>
        </is>
      </c>
      <c r="E5258" s="12" t="inlineStr"/>
      <c r="F5258" s="12" t="inlineStr">
        <is>
          <t>SC-2 PCM + 15 kV GCB</t>
        </is>
      </c>
      <c r="G5258" s="12" t="inlineStr"/>
      <c r="H5258" s="12" t="inlineStr">
        <is>
          <t>SC-2 CEMS shelter</t>
        </is>
      </c>
      <c r="I5258" s="12" t="inlineStr">
        <is>
          <t>LV 600 V</t>
        </is>
      </c>
      <c r="J5258" s="12" t="inlineStr">
        <is>
          <t>Type TC-ER 600 V 3/C Cu XHHW-2 + ground, PVC jacket</t>
        </is>
      </c>
      <c r="K5258" s="12" t="inlineStr">
        <is>
          <t>LV|3/C+G|10</t>
        </is>
      </c>
      <c r="L5258" s="12" t="inlineStr">
        <is>
          <t>3/C+G</t>
        </is>
      </c>
      <c r="M5258" s="12" t="inlineStr">
        <is>
          <t>10</t>
        </is>
      </c>
      <c r="N5258" s="12" t="n">
        <v>1</v>
      </c>
      <c r="O5258" s="12" t="n">
        <v>1</v>
      </c>
      <c r="P5258" s="12" t="n">
        <v>480</v>
      </c>
      <c r="Q5258" s="12" t="n">
        <v>5</v>
      </c>
      <c r="R5258" s="12" t="n">
        <v>7.1</v>
      </c>
      <c r="S5258" s="12" t="inlineStr">
        <is>
          <t>Duct bank</t>
        </is>
      </c>
      <c r="T5258" s="16" t="n">
        <v>25</v>
      </c>
      <c r="U5258" s="16" t="n">
        <v>197</v>
      </c>
      <c r="V5258" s="16">
        <f>ROUNDUP((T5258+U5258+2*'Read Me'!$B$13)*(1+'Read Me'!$B$12),-1)</f>
        <v/>
      </c>
      <c r="W5258" s="16">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I-P-0209</t>
        </is>
      </c>
      <c r="B5259" s="12" t="inlineStr">
        <is>
          <t>I</t>
        </is>
      </c>
      <c r="C5259" s="12" t="inlineStr">
        <is>
          <t>Modular / portable power</t>
        </is>
      </c>
      <c r="D5259" s="12" t="inlineStr">
        <is>
          <t>SC-2 125 V DC battery to charger / DC panel</t>
        </is>
      </c>
      <c r="E5259" s="12" t="inlineStr"/>
      <c r="F5259" s="12" t="inlineStr">
        <is>
          <t>SC-2 PCM + 15 kV GCB</t>
        </is>
      </c>
      <c r="G5259" s="12" t="inlineStr"/>
      <c r="H5259" s="12" t="inlineStr">
        <is>
          <t>SC-2 PCM + 15 kV GCB</t>
        </is>
      </c>
      <c r="I5259" s="12" t="inlineStr">
        <is>
          <t>LV 600 V</t>
        </is>
      </c>
      <c r="J5259" s="12" t="inlineStr">
        <is>
          <t>XHHW-2 600 V 1/C Cu (feeder sets in tray / duct)</t>
        </is>
      </c>
      <c r="K5259" s="12" t="inlineStr">
        <is>
          <t>LV1C|1/C|4/0</t>
        </is>
      </c>
      <c r="L5259" s="12" t="inlineStr">
        <is>
          <t>1/C</t>
        </is>
      </c>
      <c r="M5259" s="12" t="inlineStr">
        <is>
          <t>4/0</t>
        </is>
      </c>
      <c r="N5259" s="12" t="n">
        <v>1</v>
      </c>
      <c r="O5259" s="12" t="n">
        <v>2</v>
      </c>
      <c r="P5259" s="12" t="n">
        <v>125</v>
      </c>
      <c r="Q5259" s="12" t="n"/>
      <c r="R5259" s="12" t="n"/>
      <c r="S5259" s="12" t="inlineStr">
        <is>
          <t>Tray</t>
        </is>
      </c>
      <c r="T5259" s="16" t="n">
        <v>15</v>
      </c>
      <c r="U5259" s="16" t="n">
        <v>5</v>
      </c>
      <c r="V5259" s="16">
        <f>ROUNDUP((T5259+U5259+2*'Read Me'!$B$13)*(1+'Read Me'!$B$12),-1)</f>
        <v/>
      </c>
      <c r="W5259" s="16">
        <f>V5259*N5259*O5259</f>
        <v/>
      </c>
      <c r="X5259" s="12">
        <f>IF(LEFT(I5259,2)="MV",2*N5259*IF(L5259="1/C",O5259,1),0)</f>
        <v/>
      </c>
      <c r="Y5259" s="12">
        <f>IF(OR(LEFT(K5259,4)="LVAX",LEFT(K5259,6)="MV15AX",LEFT(K5259,4)="CTAX",LEFT(K5259,2)="W|"),2*N5259*O5259,0)</f>
        <v/>
      </c>
      <c r="Z5259" s="12" t="inlineStr">
        <is>
          <t>battery rack inside the PCM</t>
        </is>
      </c>
      <c r="AA5259" s="12">
        <f>N5259*O5259</f>
        <v/>
      </c>
    </row>
    <row r="5260">
      <c r="A5260" s="12" t="inlineStr">
        <is>
          <t>I-P-0210</t>
        </is>
      </c>
      <c r="B5260" s="12" t="inlineStr">
        <is>
          <t>I</t>
        </is>
      </c>
      <c r="C5260" s="12" t="inlineStr">
        <is>
          <t>Modular / portable power</t>
        </is>
      </c>
      <c r="D5260" s="12" t="inlineStr">
        <is>
          <t>SC-2 PCM lighting, receptacles and HVAC (from its own 480 V board)</t>
        </is>
      </c>
      <c r="E5260" s="12" t="inlineStr"/>
      <c r="F5260" s="12" t="inlineStr">
        <is>
          <t>SC-2 PCM + 15 kV GCB</t>
        </is>
      </c>
      <c r="G5260" s="12" t="inlineStr"/>
      <c r="H5260" s="12" t="inlineStr">
        <is>
          <t>SC-2 PCM + 15 kV GCB</t>
        </is>
      </c>
      <c r="I5260" s="12" t="inlineStr">
        <is>
          <t>LV 600 V</t>
        </is>
      </c>
      <c r="J5260" s="12" t="inlineStr">
        <is>
          <t>Type TC-ER 600 V 3/C Cu XHHW-2 + ground, PVC jacket</t>
        </is>
      </c>
      <c r="K5260" s="12" t="inlineStr">
        <is>
          <t>LV|3/C+G|2</t>
        </is>
      </c>
      <c r="L5260" s="12" t="inlineStr">
        <is>
          <t>3/C+G</t>
        </is>
      </c>
      <c r="M5260" s="12" t="inlineStr">
        <is>
          <t>2</t>
        </is>
      </c>
      <c r="N5260" s="12" t="n">
        <v>1</v>
      </c>
      <c r="O5260" s="12" t="n">
        <v>1</v>
      </c>
      <c r="P5260" s="12" t="n">
        <v>480</v>
      </c>
      <c r="Q5260" s="12" t="n">
        <v>40</v>
      </c>
      <c r="R5260" s="12" t="n"/>
      <c r="S5260" s="12" t="inlineStr">
        <is>
          <t>Tray</t>
        </is>
      </c>
      <c r="T5260" s="16" t="n">
        <v>80</v>
      </c>
      <c r="U5260" s="16" t="n">
        <v>10</v>
      </c>
      <c r="V5260" s="16">
        <f>ROUNDUP((T5260+U5260+2*'Read Me'!$B$13)*(1+'Read Me'!$B$12),-1)</f>
        <v/>
      </c>
      <c r="W5260" s="16">
        <f>V5260*N5260*O5260</f>
        <v/>
      </c>
      <c r="X5260" s="12">
        <f>IF(LEFT(I5260,2)="MV",2*N5260*IF(L5260="1/C",O5260,1),0)</f>
        <v/>
      </c>
      <c r="Y5260" s="12">
        <f>IF(OR(LEFT(K5260,4)="LVAX",LEFT(K5260,6)="MV15AX",LEFT(K5260,4)="CTAX",LEFT(K5260,2)="W|"),2*N5260*O5260,0)</f>
        <v/>
      </c>
      <c r="Z5260" s="12" t="inlineStr">
        <is>
          <t>internal to the PCM; aux transformer 13.8 kV / 480 V inside</t>
        </is>
      </c>
      <c r="AA5260" s="12">
        <f>N5260*O5260</f>
        <v/>
      </c>
    </row>
    <row r="5261">
      <c r="A5261" s="12" t="inlineStr">
        <is>
          <t>I-P-0211</t>
        </is>
      </c>
      <c r="B5261" s="12" t="inlineStr">
        <is>
          <t>I</t>
        </is>
      </c>
      <c r="C5261" s="12" t="inlineStr">
        <is>
          <t>Modular / portable power</t>
        </is>
      </c>
      <c r="D5261" s="12" t="inlineStr">
        <is>
          <t>Area / platform lighting circuit 1 (10 fixtures)</t>
        </is>
      </c>
      <c r="E5261" s="12" t="inlineStr"/>
      <c r="F5261" s="12" t="inlineStr">
        <is>
          <t>SC-2 PCM + 15 kV GCB</t>
        </is>
      </c>
      <c r="G5261" s="12" t="inlineStr"/>
      <c r="H5261" s="12" t="inlineStr">
        <is>
          <t>SC-2 SCR / CO catalyst</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3</v>
      </c>
      <c r="R5261" s="12" t="n">
        <v>5</v>
      </c>
      <c r="S5261" s="12" t="inlineStr">
        <is>
          <t>Duct bank</t>
        </is>
      </c>
      <c r="T5261" s="16" t="n">
        <v>325</v>
      </c>
      <c r="U5261" s="16" t="n">
        <v>122</v>
      </c>
      <c r="V5261" s="16">
        <f>ROUNDUP((T5261+U5261+2*'Read Me'!$B$13)*(1+'Read Me'!$B$12),-1)</f>
        <v/>
      </c>
      <c r="W5261" s="16">
        <f>V5261*N5261*O5261</f>
        <v/>
      </c>
      <c r="X5261" s="12">
        <f>IF(LEFT(I5261,2)="MV",2*N5261*IF(L5261="1/C",O5261,1),0)</f>
        <v/>
      </c>
      <c r="Y5261" s="12">
        <f>IF(OR(LEFT(K5261,4)="LVAX",LEFT(K5261,6)="MV15AX",LEFT(K5261,4)="CTAX",LEFT(K5261,2)="W|"),2*N5261*O5261,0)</f>
        <v/>
      </c>
      <c r="Z5261" s="12" t="inlineStr">
        <is>
          <t>fixture-to-fixture run included</t>
        </is>
      </c>
      <c r="AA5261" s="12">
        <f>N5261*O5261</f>
        <v/>
      </c>
    </row>
    <row r="5262">
      <c r="A5262" s="12" t="inlineStr">
        <is>
          <t>I-P-0212</t>
        </is>
      </c>
      <c r="B5262" s="12" t="inlineStr">
        <is>
          <t>I</t>
        </is>
      </c>
      <c r="C5262" s="12" t="inlineStr">
        <is>
          <t>Modular / portable power</t>
        </is>
      </c>
      <c r="D5262" s="12" t="inlineStr">
        <is>
          <t>SC-2 ammonia vaporiser electric heater</t>
        </is>
      </c>
      <c r="E5262" s="12" t="inlineStr"/>
      <c r="F5262" s="12" t="inlineStr">
        <is>
          <t>SC-2 PCM + 15 kV GCB</t>
        </is>
      </c>
      <c r="G5262" s="12" t="inlineStr"/>
      <c r="H5262" s="12" t="inlineStr">
        <is>
          <t>SC-2 ammonia flow-control unit</t>
        </is>
      </c>
      <c r="I5262" s="12" t="inlineStr">
        <is>
          <t>LV 600 V</t>
        </is>
      </c>
      <c r="J5262" s="12" t="inlineStr">
        <is>
          <t>Type TC-ER 600 V 3/C Cu XHHW-2 + ground, PVC jacket</t>
        </is>
      </c>
      <c r="K5262" s="12" t="inlineStr">
        <is>
          <t>LV|3/C+G|4</t>
        </is>
      </c>
      <c r="L5262" s="12" t="inlineStr">
        <is>
          <t>3/C+G</t>
        </is>
      </c>
      <c r="M5262" s="12" t="inlineStr">
        <is>
          <t>4</t>
        </is>
      </c>
      <c r="N5262" s="12" t="n">
        <v>1</v>
      </c>
      <c r="O5262" s="12" t="n">
        <v>1</v>
      </c>
      <c r="P5262" s="12" t="n">
        <v>480</v>
      </c>
      <c r="Q5262" s="12" t="n">
        <v>45</v>
      </c>
      <c r="R5262" s="12" t="n">
        <v>57</v>
      </c>
      <c r="S5262" s="12" t="inlineStr">
        <is>
          <t>Tray</t>
        </is>
      </c>
      <c r="T5262" s="16" t="n">
        <v>0</v>
      </c>
      <c r="U5262" s="16" t="n">
        <v>152</v>
      </c>
      <c r="V5262" s="16">
        <f>ROUNDUP((T5262+U5262+2*'Read Me'!$B$13)*(1+'Read Me'!$B$12),-1)</f>
        <v/>
      </c>
      <c r="W5262" s="16">
        <f>V5262*N5262*O5262</f>
        <v/>
      </c>
      <c r="X5262" s="12">
        <f>IF(LEFT(I5262,2)="MV",2*N5262*IF(L5262="1/C",O5262,1),0)</f>
        <v/>
      </c>
      <c r="Y5262" s="12">
        <f>IF(OR(LEFT(K5262,4)="LVAX",LEFT(K5262,6)="MV15AX",LEFT(K5262,4)="CTAX",LEFT(K5262,2)="W|"),2*N5262*O5262,0)</f>
        <v/>
      </c>
      <c r="Z5262" s="12" t="inlineStr">
        <is>
          <t>VD 1.1 %</t>
        </is>
      </c>
      <c r="AA5262" s="12">
        <f>N5262*O5262</f>
        <v/>
      </c>
    </row>
    <row r="5263">
      <c r="A5263" s="12" t="inlineStr">
        <is>
          <t>I-P-0213</t>
        </is>
      </c>
      <c r="B5263" s="12" t="inlineStr">
        <is>
          <t>I</t>
        </is>
      </c>
      <c r="C5263" s="12" t="inlineStr">
        <is>
          <t>Modular / portable power</t>
        </is>
      </c>
      <c r="D5263" s="12" t="inlineStr">
        <is>
          <t>Motor 1 of 2, 7.5 kW</t>
        </is>
      </c>
      <c r="E5263" s="12" t="inlineStr"/>
      <c r="F5263" s="12" t="inlineStr">
        <is>
          <t>SC-2 PCM + 15 kV GCB</t>
        </is>
      </c>
      <c r="G5263" s="12" t="inlineStr"/>
      <c r="H5263" s="12" t="inlineStr">
        <is>
          <t>SC-2 ammonia flow-control unit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7.5</v>
      </c>
      <c r="R5263" s="12" t="n">
        <v>10.6</v>
      </c>
      <c r="S5263" s="12" t="inlineStr">
        <is>
          <t>Tray</t>
        </is>
      </c>
      <c r="T5263" s="16" t="n">
        <v>0</v>
      </c>
      <c r="U5263" s="16" t="n">
        <v>152</v>
      </c>
      <c r="V5263" s="16">
        <f>ROUNDUP((T5263+U5263+2*'Read Me'!$B$13)*(1+'Read Me'!$B$12),-1)</f>
        <v/>
      </c>
      <c r="W5263" s="16">
        <f>V5263*N5263*O5263</f>
        <v/>
      </c>
      <c r="X5263" s="12">
        <f>IF(LEFT(I5263,2)="MV",2*N5263*IF(L5263="1/C",O5263,1),0)</f>
        <v/>
      </c>
      <c r="Y5263" s="12">
        <f>IF(OR(LEFT(K5263,4)="LVAX",LEFT(K5263,6)="MV15AX",LEFT(K5263,4)="CTAX",LEFT(K5263,2)="W|"),2*N5263*O5263,0)</f>
        <v/>
      </c>
      <c r="Z5263" s="12" t="inlineStr">
        <is>
          <t>VD 0.8 %</t>
        </is>
      </c>
      <c r="AA5263" s="12">
        <f>N5263*O5263</f>
        <v/>
      </c>
    </row>
    <row r="5264">
      <c r="A5264" s="12" t="inlineStr">
        <is>
          <t>I-P-0214</t>
        </is>
      </c>
      <c r="B5264" s="12" t="inlineStr">
        <is>
          <t>I</t>
        </is>
      </c>
      <c r="C5264" s="12" t="inlineStr">
        <is>
          <t>Modular / portable power</t>
        </is>
      </c>
      <c r="D5264" s="12" t="inlineStr">
        <is>
          <t>Motor 2 of 2, 7.5 kW</t>
        </is>
      </c>
      <c r="E5264" s="12" t="inlineStr"/>
      <c r="F5264" s="12" t="inlineStr">
        <is>
          <t>SC-2 PCM + 15 kV GCB</t>
        </is>
      </c>
      <c r="G5264" s="12" t="inlineStr"/>
      <c r="H5264" s="12" t="inlineStr">
        <is>
          <t>SC-2 ammonia flow-control unit</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7.5</v>
      </c>
      <c r="R5264" s="12" t="n">
        <v>10.6</v>
      </c>
      <c r="S5264" s="12" t="inlineStr">
        <is>
          <t>Tray</t>
        </is>
      </c>
      <c r="T5264" s="16" t="n">
        <v>0</v>
      </c>
      <c r="U5264" s="16" t="n">
        <v>152</v>
      </c>
      <c r="V5264" s="16">
        <f>ROUNDUP((T5264+U5264+2*'Read Me'!$B$13)*(1+'Read Me'!$B$12),-1)</f>
        <v/>
      </c>
      <c r="W5264" s="16">
        <f>V5264*N5264*O5264</f>
        <v/>
      </c>
      <c r="X5264" s="12">
        <f>IF(LEFT(I5264,2)="MV",2*N5264*IF(L5264="1/C",O5264,1),0)</f>
        <v/>
      </c>
      <c r="Y5264" s="12">
        <f>IF(OR(LEFT(K5264,4)="LVAX",LEFT(K5264,6)="MV15AX",LEFT(K5264,4)="CTAX",LEFT(K5264,2)="W|"),2*N5264*O5264,0)</f>
        <v/>
      </c>
      <c r="Z5264" s="12" t="inlineStr">
        <is>
          <t>VD 0.8 %</t>
        </is>
      </c>
      <c r="AA5264" s="12">
        <f>N5264*O5264</f>
        <v/>
      </c>
    </row>
    <row r="5265">
      <c r="A5265" s="12" t="inlineStr">
        <is>
          <t>I-P-0215</t>
        </is>
      </c>
      <c r="B5265" s="12" t="inlineStr">
        <is>
          <t>I</t>
        </is>
      </c>
      <c r="C5265" s="12" t="inlineStr">
        <is>
          <t>Modular / portable power</t>
        </is>
      </c>
      <c r="D5265" s="12" t="inlineStr">
        <is>
          <t>SC-2 water-wash tank heater</t>
        </is>
      </c>
      <c r="E5265" s="12" t="inlineStr"/>
      <c r="F5265" s="12" t="inlineStr">
        <is>
          <t>SC-2 PCM + 15 kV GCB</t>
        </is>
      </c>
      <c r="G5265" s="12" t="inlineStr"/>
      <c r="H5265" s="12" t="inlineStr">
        <is>
          <t>SC-2 auxiliary skids: fuel-gas module, water-wash skid</t>
        </is>
      </c>
      <c r="I5265" s="12" t="inlineStr">
        <is>
          <t>LV 600 V</t>
        </is>
      </c>
      <c r="J5265" s="12" t="inlineStr">
        <is>
          <t>ARMOR-X MC-HL 600 V 3/C Cu XHHW-2 + ground, CWA, black PVC (Class I Div 2)</t>
        </is>
      </c>
      <c r="K5265" s="12" t="inlineStr">
        <is>
          <t>LVAX|3/C+G|10</t>
        </is>
      </c>
      <c r="L5265" s="12" t="inlineStr">
        <is>
          <t>3/C+G</t>
        </is>
      </c>
      <c r="M5265" s="12" t="inlineStr">
        <is>
          <t>10</t>
        </is>
      </c>
      <c r="N5265" s="12" t="n">
        <v>1</v>
      </c>
      <c r="O5265" s="12" t="n">
        <v>1</v>
      </c>
      <c r="P5265" s="12" t="n">
        <v>480</v>
      </c>
      <c r="Q5265" s="12" t="n">
        <v>6</v>
      </c>
      <c r="R5265" s="12" t="n">
        <v>7.6</v>
      </c>
      <c r="S5265" s="12" t="inlineStr">
        <is>
          <t>Tray</t>
        </is>
      </c>
      <c r="T5265" s="16" t="n">
        <v>0</v>
      </c>
      <c r="U5265" s="16" t="n">
        <v>77</v>
      </c>
      <c r="V5265" s="16">
        <f>ROUNDUP((T5265+U5265+2*'Read Me'!$B$13)*(1+'Read Me'!$B$12),-1)</f>
        <v/>
      </c>
      <c r="W5265" s="16">
        <f>V5265*N5265*O5265</f>
        <v/>
      </c>
      <c r="X5265" s="12">
        <f>IF(LEFT(I5265,2)="MV",2*N5265*IF(L5265="1/C",O5265,1),0)</f>
        <v/>
      </c>
      <c r="Y5265" s="12">
        <f>IF(OR(LEFT(K5265,4)="LVAX",LEFT(K5265,6)="MV15AX",LEFT(K5265,4)="CTAX",LEFT(K5265,2)="W|"),2*N5265*O5265,0)</f>
        <v/>
      </c>
      <c r="Z5265" s="12" t="inlineStr">
        <is>
          <t>VD 0.3 %</t>
        </is>
      </c>
      <c r="AA5265" s="12">
        <f>N5265*O5265</f>
        <v/>
      </c>
    </row>
    <row r="5266">
      <c r="A5266" s="12" t="inlineStr">
        <is>
          <t>I-P-0216</t>
        </is>
      </c>
      <c r="B5266" s="12" t="inlineStr">
        <is>
          <t>I</t>
        </is>
      </c>
      <c r="C5266" s="12" t="inlineStr">
        <is>
          <t>Modular / portable power</t>
        </is>
      </c>
      <c r="D5266" s="12" t="inlineStr">
        <is>
          <t>Motor 1 of 1, 7.5 kW</t>
        </is>
      </c>
      <c r="E5266" s="12" t="inlineStr"/>
      <c r="F5266" s="12" t="inlineStr">
        <is>
          <t>SC-2 PCM + 15 kV GCB</t>
        </is>
      </c>
      <c r="G5266" s="12" t="inlineStr"/>
      <c r="H5266" s="12" t="inlineStr">
        <is>
          <t>SC-2 auxiliary skids: fuel-gas module, water-wash skid</t>
        </is>
      </c>
      <c r="I5266" s="12" t="inlineStr">
        <is>
          <t>LV 600 V</t>
        </is>
      </c>
      <c r="J5266" s="12" t="inlineStr">
        <is>
          <t>ARMOR-X MC-HL 600 V 3/C Cu XHHW-2 + ground, CWA, black PVC (Class I Div 2)</t>
        </is>
      </c>
      <c r="K5266" s="12" t="inlineStr">
        <is>
          <t>LVAX|3/C+G|10</t>
        </is>
      </c>
      <c r="L5266" s="12" t="inlineStr">
        <is>
          <t>3/C+G</t>
        </is>
      </c>
      <c r="M5266" s="12" t="inlineStr">
        <is>
          <t>10</t>
        </is>
      </c>
      <c r="N5266" s="12" t="n">
        <v>1</v>
      </c>
      <c r="O5266" s="12" t="n">
        <v>1</v>
      </c>
      <c r="P5266" s="12" t="n">
        <v>480</v>
      </c>
      <c r="Q5266" s="12" t="n">
        <v>7.5</v>
      </c>
      <c r="R5266" s="12" t="n">
        <v>10.6</v>
      </c>
      <c r="S5266" s="12" t="inlineStr">
        <is>
          <t>Tray</t>
        </is>
      </c>
      <c r="T5266" s="16" t="n">
        <v>0</v>
      </c>
      <c r="U5266" s="16" t="n">
        <v>77</v>
      </c>
      <c r="V5266" s="16">
        <f>ROUNDUP((T5266+U5266+2*'Read Me'!$B$13)*(1+'Read Me'!$B$12),-1)</f>
        <v/>
      </c>
      <c r="W5266" s="16">
        <f>V5266*N5266*O5266</f>
        <v/>
      </c>
      <c r="X5266" s="12">
        <f>IF(LEFT(I5266,2)="MV",2*N5266*IF(L5266="1/C",O5266,1),0)</f>
        <v/>
      </c>
      <c r="Y5266" s="12">
        <f>IF(OR(LEFT(K5266,4)="LVAX",LEFT(K5266,6)="MV15AX",LEFT(K5266,4)="CTAX",LEFT(K5266,2)="W|"),2*N5266*O5266,0)</f>
        <v/>
      </c>
      <c r="Z5266" s="12" t="inlineStr">
        <is>
          <t>VD 0.4 %</t>
        </is>
      </c>
      <c r="AA5266" s="12">
        <f>N5266*O5266</f>
        <v/>
      </c>
    </row>
    <row r="5267">
      <c r="A5267" s="12" t="inlineStr">
        <is>
          <t>I-P-0217</t>
        </is>
      </c>
      <c r="B5267" s="12" t="inlineStr">
        <is>
          <t>I</t>
        </is>
      </c>
      <c r="C5267" s="12" t="inlineStr">
        <is>
          <t>Modular / portable power</t>
        </is>
      </c>
      <c r="D5267" s="12" t="inlineStr">
        <is>
          <t>Motor 1 of 4, 15 kW</t>
        </is>
      </c>
      <c r="E5267" s="12" t="inlineStr"/>
      <c r="F5267" s="12" t="inlineStr">
        <is>
          <t>SC-2 PCM + 15 kV GCB</t>
        </is>
      </c>
      <c r="G5267" s="12" t="inlineStr"/>
      <c r="H5267" s="12" t="inlineStr">
        <is>
          <t>SC-2 lube-oil fin-fan cooler</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15</v>
      </c>
      <c r="R5267" s="12" t="n">
        <v>21.2</v>
      </c>
      <c r="S5267" s="12" t="inlineStr">
        <is>
          <t>Tray</t>
        </is>
      </c>
      <c r="T5267" s="16" t="n">
        <v>0</v>
      </c>
      <c r="U5267" s="16" t="n">
        <v>82</v>
      </c>
      <c r="V5267" s="16">
        <f>ROUNDUP((T5267+U5267+2*'Read Me'!$B$13)*(1+'Read Me'!$B$12),-1)</f>
        <v/>
      </c>
      <c r="W5267" s="16">
        <f>V5267*N5267*O5267</f>
        <v/>
      </c>
      <c r="X5267" s="12">
        <f>IF(LEFT(I5267,2)="MV",2*N5267*IF(L5267="1/C",O5267,1),0)</f>
        <v/>
      </c>
      <c r="Y5267" s="12">
        <f>IF(OR(LEFT(K5267,4)="LVAX",LEFT(K5267,6)="MV15AX",LEFT(K5267,4)="CTAX",LEFT(K5267,2)="W|"),2*N5267*O5267,0)</f>
        <v/>
      </c>
      <c r="Z5267" s="12" t="inlineStr">
        <is>
          <t>VD 0.8 %</t>
        </is>
      </c>
      <c r="AA5267" s="12">
        <f>N5267*O5267</f>
        <v/>
      </c>
    </row>
    <row r="5268">
      <c r="A5268" s="12" t="inlineStr">
        <is>
          <t>I-P-0218</t>
        </is>
      </c>
      <c r="B5268" s="12" t="inlineStr">
        <is>
          <t>I</t>
        </is>
      </c>
      <c r="C5268" s="12" t="inlineStr">
        <is>
          <t>Modular / portable power</t>
        </is>
      </c>
      <c r="D5268" s="12" t="inlineStr">
        <is>
          <t>Motor 2 of 4, 15 kW</t>
        </is>
      </c>
      <c r="E5268" s="12" t="inlineStr"/>
      <c r="F5268" s="12" t="inlineStr">
        <is>
          <t>SC-2 PCM + 15 kV GCB</t>
        </is>
      </c>
      <c r="G5268" s="12" t="inlineStr"/>
      <c r="H5268" s="12" t="inlineStr">
        <is>
          <t>SC-2 lube-oil fin-fan cooler</t>
        </is>
      </c>
      <c r="I5268" s="12" t="inlineStr">
        <is>
          <t>LV 600 V</t>
        </is>
      </c>
      <c r="J5268" s="12" t="inlineStr">
        <is>
          <t>Type TC-ER 600 V 3/C Cu XHHW-2 + ground, PVC jacket</t>
        </is>
      </c>
      <c r="K5268" s="12" t="inlineStr">
        <is>
          <t>LV|3/C+G|10</t>
        </is>
      </c>
      <c r="L5268" s="12" t="inlineStr">
        <is>
          <t>3/C+G</t>
        </is>
      </c>
      <c r="M5268" s="12" t="inlineStr">
        <is>
          <t>10</t>
        </is>
      </c>
      <c r="N5268" s="12" t="n">
        <v>1</v>
      </c>
      <c r="O5268" s="12" t="n">
        <v>1</v>
      </c>
      <c r="P5268" s="12" t="n">
        <v>480</v>
      </c>
      <c r="Q5268" s="12" t="n">
        <v>15</v>
      </c>
      <c r="R5268" s="12" t="n">
        <v>21.2</v>
      </c>
      <c r="S5268" s="12" t="inlineStr">
        <is>
          <t>Tray</t>
        </is>
      </c>
      <c r="T5268" s="16" t="n">
        <v>0</v>
      </c>
      <c r="U5268" s="16" t="n">
        <v>82</v>
      </c>
      <c r="V5268" s="16">
        <f>ROUNDUP((T5268+U5268+2*'Read Me'!$B$13)*(1+'Read Me'!$B$12),-1)</f>
        <v/>
      </c>
      <c r="W5268" s="16">
        <f>V5268*N5268*O5268</f>
        <v/>
      </c>
      <c r="X5268" s="12">
        <f>IF(LEFT(I5268,2)="MV",2*N5268*IF(L5268="1/C",O5268,1),0)</f>
        <v/>
      </c>
      <c r="Y5268" s="12">
        <f>IF(OR(LEFT(K5268,4)="LVAX",LEFT(K5268,6)="MV15AX",LEFT(K5268,4)="CTAX",LEFT(K5268,2)="W|"),2*N5268*O5268,0)</f>
        <v/>
      </c>
      <c r="Z5268" s="12" t="inlineStr">
        <is>
          <t>VD 0.8 %</t>
        </is>
      </c>
      <c r="AA5268" s="12">
        <f>N5268*O5268</f>
        <v/>
      </c>
    </row>
    <row r="5269">
      <c r="A5269" s="12" t="inlineStr">
        <is>
          <t>I-P-0219</t>
        </is>
      </c>
      <c r="B5269" s="12" t="inlineStr">
        <is>
          <t>I</t>
        </is>
      </c>
      <c r="C5269" s="12" t="inlineStr">
        <is>
          <t>Modular / portable power</t>
        </is>
      </c>
      <c r="D5269" s="12" t="inlineStr">
        <is>
          <t>Motor 3 of 4, 15 kW</t>
        </is>
      </c>
      <c r="E5269" s="12" t="inlineStr"/>
      <c r="F5269" s="12" t="inlineStr">
        <is>
          <t>SC-2 PCM + 15 kV GCB</t>
        </is>
      </c>
      <c r="G5269" s="12" t="inlineStr"/>
      <c r="H5269" s="12" t="inlineStr">
        <is>
          <t>SC-2 lube-oil fin-fan cooler</t>
        </is>
      </c>
      <c r="I5269" s="12" t="inlineStr">
        <is>
          <t>LV 600 V</t>
        </is>
      </c>
      <c r="J5269" s="12" t="inlineStr">
        <is>
          <t>Type TC-ER 600 V 3/C Cu XHHW-2 + ground, PVC jacket</t>
        </is>
      </c>
      <c r="K5269" s="12" t="inlineStr">
        <is>
          <t>LV|3/C+G|10</t>
        </is>
      </c>
      <c r="L5269" s="12" t="inlineStr">
        <is>
          <t>3/C+G</t>
        </is>
      </c>
      <c r="M5269" s="12" t="inlineStr">
        <is>
          <t>10</t>
        </is>
      </c>
      <c r="N5269" s="12" t="n">
        <v>1</v>
      </c>
      <c r="O5269" s="12" t="n">
        <v>1</v>
      </c>
      <c r="P5269" s="12" t="n">
        <v>480</v>
      </c>
      <c r="Q5269" s="12" t="n">
        <v>15</v>
      </c>
      <c r="R5269" s="12" t="n">
        <v>21.2</v>
      </c>
      <c r="S5269" s="12" t="inlineStr">
        <is>
          <t>Tray</t>
        </is>
      </c>
      <c r="T5269" s="16" t="n">
        <v>0</v>
      </c>
      <c r="U5269" s="16" t="n">
        <v>82</v>
      </c>
      <c r="V5269" s="16">
        <f>ROUNDUP((T5269+U5269+2*'Read Me'!$B$13)*(1+'Read Me'!$B$12),-1)</f>
        <v/>
      </c>
      <c r="W5269" s="16">
        <f>V5269*N5269*O5269</f>
        <v/>
      </c>
      <c r="X5269" s="12">
        <f>IF(LEFT(I5269,2)="MV",2*N5269*IF(L5269="1/C",O5269,1),0)</f>
        <v/>
      </c>
      <c r="Y5269" s="12">
        <f>IF(OR(LEFT(K5269,4)="LVAX",LEFT(K5269,6)="MV15AX",LEFT(K5269,4)="CTAX",LEFT(K5269,2)="W|"),2*N5269*O5269,0)</f>
        <v/>
      </c>
      <c r="Z5269" s="12" t="inlineStr">
        <is>
          <t>VD 0.8 %</t>
        </is>
      </c>
      <c r="AA5269" s="12">
        <f>N5269*O5269</f>
        <v/>
      </c>
    </row>
    <row r="5270">
      <c r="A5270" s="12" t="inlineStr">
        <is>
          <t>I-P-0220</t>
        </is>
      </c>
      <c r="B5270" s="12" t="inlineStr">
        <is>
          <t>I</t>
        </is>
      </c>
      <c r="C5270" s="12" t="inlineStr">
        <is>
          <t>Modular / portable power</t>
        </is>
      </c>
      <c r="D5270" s="12" t="inlineStr">
        <is>
          <t>Motor 4 of 4, 15 kW</t>
        </is>
      </c>
      <c r="E5270" s="12" t="inlineStr"/>
      <c r="F5270" s="12" t="inlineStr">
        <is>
          <t>SC-2 PCM + 15 kV GCB</t>
        </is>
      </c>
      <c r="G5270" s="12" t="inlineStr"/>
      <c r="H5270" s="12" t="inlineStr">
        <is>
          <t>SC-2 lube-oil fin-fan cooler</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15</v>
      </c>
      <c r="R5270" s="12" t="n">
        <v>21.2</v>
      </c>
      <c r="S5270" s="12" t="inlineStr">
        <is>
          <t>Tray</t>
        </is>
      </c>
      <c r="T5270" s="16" t="n">
        <v>0</v>
      </c>
      <c r="U5270" s="16" t="n">
        <v>82</v>
      </c>
      <c r="V5270" s="16">
        <f>ROUNDUP((T5270+U5270+2*'Read Me'!$B$13)*(1+'Read Me'!$B$12),-1)</f>
        <v/>
      </c>
      <c r="W5270" s="16">
        <f>V5270*N5270*O5270</f>
        <v/>
      </c>
      <c r="X5270" s="12">
        <f>IF(LEFT(I5270,2)="MV",2*N5270*IF(L5270="1/C",O5270,1),0)</f>
        <v/>
      </c>
      <c r="Y5270" s="12">
        <f>IF(OR(LEFT(K5270,4)="LVAX",LEFT(K5270,6)="MV15AX",LEFT(K5270,4)="CTAX",LEFT(K5270,2)="W|"),2*N5270*O5270,0)</f>
        <v/>
      </c>
      <c r="Z5270" s="12" t="inlineStr">
        <is>
          <t>VD 0.8 %</t>
        </is>
      </c>
      <c r="AA5270" s="12">
        <f>N5270*O5270</f>
        <v/>
      </c>
    </row>
    <row r="5271">
      <c r="A5271" s="12" t="inlineStr">
        <is>
          <t>I-P-0221</t>
        </is>
      </c>
      <c r="B5271" s="12" t="inlineStr">
        <is>
          <t>I</t>
        </is>
      </c>
      <c r="C5271" s="12" t="inlineStr">
        <is>
          <t>Modular / portable power</t>
        </is>
      </c>
      <c r="D5271" s="12" t="inlineStr">
        <is>
          <t>Area / platform lighting circuit 1 (4 fixtures)</t>
        </is>
      </c>
      <c r="E5271" s="12" t="inlineStr"/>
      <c r="F5271" s="12" t="inlineStr">
        <is>
          <t>SC-2 PCM + 15 kV GCB</t>
        </is>
      </c>
      <c r="G5271" s="12" t="inlineStr"/>
      <c r="H5271" s="12" t="inlineStr">
        <is>
          <t>SC-2 stack (80 ft)</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3</v>
      </c>
      <c r="R5271" s="12" t="n">
        <v>5</v>
      </c>
      <c r="S5271" s="12" t="inlineStr">
        <is>
          <t>Duct bank</t>
        </is>
      </c>
      <c r="T5271" s="16" t="n">
        <v>325</v>
      </c>
      <c r="U5271" s="16" t="n">
        <v>176</v>
      </c>
      <c r="V5271" s="16">
        <f>ROUNDUP((T5271+U5271+2*'Read Me'!$B$13)*(1+'Read Me'!$B$12),-1)</f>
        <v/>
      </c>
      <c r="W5271" s="16">
        <f>V5271*N5271*O5271</f>
        <v/>
      </c>
      <c r="X5271" s="12">
        <f>IF(LEFT(I5271,2)="MV",2*N5271*IF(L5271="1/C",O5271,1),0)</f>
        <v/>
      </c>
      <c r="Y5271" s="12">
        <f>IF(OR(LEFT(K5271,4)="LVAX",LEFT(K5271,6)="MV15AX",LEFT(K5271,4)="CTAX",LEFT(K5271,2)="W|"),2*N5271*O5271,0)</f>
        <v/>
      </c>
      <c r="Z5271" s="12" t="inlineStr">
        <is>
          <t>fixture-to-fixture run included</t>
        </is>
      </c>
      <c r="AA5271" s="12">
        <f>N5271*O5271</f>
        <v/>
      </c>
    </row>
    <row r="5272">
      <c r="A5272" s="12" t="inlineStr">
        <is>
          <t>I-P-0222</t>
        </is>
      </c>
      <c r="B5272" s="12" t="inlineStr">
        <is>
          <t>I</t>
        </is>
      </c>
      <c r="C5272" s="12" t="inlineStr">
        <is>
          <t>Modular / portable power</t>
        </is>
      </c>
      <c r="D5272" s="12" t="inlineStr">
        <is>
          <t>Motor 1 of 2, 185 kW</t>
        </is>
      </c>
      <c r="E5272" s="12" t="inlineStr"/>
      <c r="F5272" s="12" t="inlineStr">
        <is>
          <t>SC-2 PCM + 15 kV GCB</t>
        </is>
      </c>
      <c r="G5272" s="12" t="inlineStr"/>
      <c r="H5272" s="12" t="inlineStr">
        <is>
          <t>SC-2 tempering-air fans (2 x 100 %)</t>
        </is>
      </c>
      <c r="I5272" s="12" t="inlineStr">
        <is>
          <t>LV 600 V</t>
        </is>
      </c>
      <c r="J5272" s="12" t="inlineStr">
        <is>
          <t>Type TC-ER 600 V 3/C Cu XHHW-2 + ground, PVC jacket</t>
        </is>
      </c>
      <c r="K5272" s="12" t="inlineStr">
        <is>
          <t>LV|3/C+G|500</t>
        </is>
      </c>
      <c r="L5272" s="12" t="inlineStr">
        <is>
          <t>3/C+G</t>
        </is>
      </c>
      <c r="M5272" s="12" t="inlineStr">
        <is>
          <t>500 kcmil</t>
        </is>
      </c>
      <c r="N5272" s="12" t="n">
        <v>1</v>
      </c>
      <c r="O5272" s="12" t="n">
        <v>1</v>
      </c>
      <c r="P5272" s="12" t="n">
        <v>480</v>
      </c>
      <c r="Q5272" s="12" t="n">
        <v>185</v>
      </c>
      <c r="R5272" s="12" t="n">
        <v>261.8</v>
      </c>
      <c r="S5272" s="12" t="inlineStr">
        <is>
          <t>Duct bank</t>
        </is>
      </c>
      <c r="T5272" s="16" t="n">
        <v>25</v>
      </c>
      <c r="U5272" s="16" t="n">
        <v>124</v>
      </c>
      <c r="V5272" s="16">
        <f>ROUNDUP((T5272+U5272+2*'Read Me'!$B$13)*(1+'Read Me'!$B$12),-1)</f>
        <v/>
      </c>
      <c r="W5272" s="16">
        <f>V5272*N5272*O5272</f>
        <v/>
      </c>
      <c r="X5272" s="12">
        <f>IF(LEFT(I5272,2)="MV",2*N5272*IF(L5272="1/C",O5272,1),0)</f>
        <v/>
      </c>
      <c r="Y5272" s="12">
        <f>IF(OR(LEFT(K5272,4)="LVAX",LEFT(K5272,6)="MV15AX",LEFT(K5272,4)="CTAX",LEFT(K5272,2)="W|"),2*N5272*O5272,0)</f>
        <v/>
      </c>
      <c r="Z5272" s="12" t="inlineStr">
        <is>
          <t>VD 0.4 %</t>
        </is>
      </c>
      <c r="AA5272" s="12">
        <f>N5272*O5272</f>
        <v/>
      </c>
    </row>
    <row r="5273">
      <c r="A5273" s="12" t="inlineStr">
        <is>
          <t>I-P-0223</t>
        </is>
      </c>
      <c r="B5273" s="12" t="inlineStr">
        <is>
          <t>I</t>
        </is>
      </c>
      <c r="C5273" s="12" t="inlineStr">
        <is>
          <t>Modular / portable power</t>
        </is>
      </c>
      <c r="D5273" s="12" t="inlineStr">
        <is>
          <t>Motor 2 of 2, 185 kW</t>
        </is>
      </c>
      <c r="E5273" s="12" t="inlineStr"/>
      <c r="F5273" s="12" t="inlineStr">
        <is>
          <t>SC-2 PCM + 15 kV GCB</t>
        </is>
      </c>
      <c r="G5273" s="12" t="inlineStr"/>
      <c r="H5273" s="12" t="inlineStr">
        <is>
          <t>SC-2 tempering-air fans (2 x 100 %)</t>
        </is>
      </c>
      <c r="I5273" s="12" t="inlineStr">
        <is>
          <t>LV 600 V</t>
        </is>
      </c>
      <c r="J5273" s="12" t="inlineStr">
        <is>
          <t>Type TC-ER 600 V 3/C Cu XHHW-2 + ground, PVC jacket</t>
        </is>
      </c>
      <c r="K5273" s="12" t="inlineStr">
        <is>
          <t>LV|3/C+G|500</t>
        </is>
      </c>
      <c r="L5273" s="12" t="inlineStr">
        <is>
          <t>3/C+G</t>
        </is>
      </c>
      <c r="M5273" s="12" t="inlineStr">
        <is>
          <t>500 kcmil</t>
        </is>
      </c>
      <c r="N5273" s="12" t="n">
        <v>1</v>
      </c>
      <c r="O5273" s="12" t="n">
        <v>1</v>
      </c>
      <c r="P5273" s="12" t="n">
        <v>480</v>
      </c>
      <c r="Q5273" s="12" t="n">
        <v>185</v>
      </c>
      <c r="R5273" s="12" t="n">
        <v>261.8</v>
      </c>
      <c r="S5273" s="12" t="inlineStr">
        <is>
          <t>Duct bank</t>
        </is>
      </c>
      <c r="T5273" s="16" t="n">
        <v>25</v>
      </c>
      <c r="U5273" s="16" t="n">
        <v>124</v>
      </c>
      <c r="V5273" s="16">
        <f>ROUNDUP((T5273+U5273+2*'Read Me'!$B$13)*(1+'Read Me'!$B$12),-1)</f>
        <v/>
      </c>
      <c r="W5273" s="16">
        <f>V5273*N5273*O5273</f>
        <v/>
      </c>
      <c r="X5273" s="12">
        <f>IF(LEFT(I5273,2)="MV",2*N5273*IF(L5273="1/C",O5273,1),0)</f>
        <v/>
      </c>
      <c r="Y5273" s="12">
        <f>IF(OR(LEFT(K5273,4)="LVAX",LEFT(K5273,6)="MV15AX",LEFT(K5273,4)="CTAX",LEFT(K5273,2)="W|"),2*N5273*O5273,0)</f>
        <v/>
      </c>
      <c r="Z5273" s="12" t="inlineStr">
        <is>
          <t>VD 0.4 %</t>
        </is>
      </c>
      <c r="AA5273" s="12">
        <f>N5273*O5273</f>
        <v/>
      </c>
    </row>
    <row r="5274">
      <c r="A5274" s="12" t="inlineStr">
        <is>
          <t>I-P-0224</t>
        </is>
      </c>
      <c r="B5274" s="12" t="inlineStr">
        <is>
          <t>I</t>
        </is>
      </c>
      <c r="C5274" s="12" t="inlineStr">
        <is>
          <t>Modular / portable power</t>
        </is>
      </c>
      <c r="D5274" s="12" t="inlineStr">
        <is>
          <t>Area / platform lighting circuit 1 (4 fixtures)</t>
        </is>
      </c>
      <c r="E5274" s="12" t="inlineStr"/>
      <c r="F5274" s="12" t="inlineStr">
        <is>
          <t>SC-2 PCM + 15 kV GCB</t>
        </is>
      </c>
      <c r="G5274" s="12" t="inlineStr"/>
      <c r="H5274" s="12" t="inlineStr">
        <is>
          <t>SC-2 tempering-air fans (2 x 100 %)</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3</v>
      </c>
      <c r="R5274" s="12" t="n">
        <v>5</v>
      </c>
      <c r="S5274" s="12" t="inlineStr">
        <is>
          <t>Duct bank</t>
        </is>
      </c>
      <c r="T5274" s="16" t="n">
        <v>325</v>
      </c>
      <c r="U5274" s="16" t="n">
        <v>124</v>
      </c>
      <c r="V5274" s="16">
        <f>ROUNDUP((T5274+U5274+2*'Read Me'!$B$13)*(1+'Read Me'!$B$12),-1)</f>
        <v/>
      </c>
      <c r="W5274" s="16">
        <f>V5274*N5274*O5274</f>
        <v/>
      </c>
      <c r="X5274" s="12">
        <f>IF(LEFT(I5274,2)="MV",2*N5274*IF(L5274="1/C",O5274,1),0)</f>
        <v/>
      </c>
      <c r="Y5274" s="12">
        <f>IF(OR(LEFT(K5274,4)="LVAX",LEFT(K5274,6)="MV15AX",LEFT(K5274,4)="CTAX",LEFT(K5274,2)="W|"),2*N5274*O5274,0)</f>
        <v/>
      </c>
      <c r="Z5274" s="12" t="inlineStr">
        <is>
          <t>fixture-to-fixture run included</t>
        </is>
      </c>
      <c r="AA5274" s="12">
        <f>N5274*O5274</f>
        <v/>
      </c>
    </row>
    <row r="5275">
      <c r="A5275" s="12" t="inlineStr">
        <is>
          <t>I-P-0225</t>
        </is>
      </c>
      <c r="B5275" s="12" t="inlineStr">
        <is>
          <t>I</t>
        </is>
      </c>
      <c r="C5275" s="12" t="inlineStr">
        <is>
          <t>Modular / portable power</t>
        </is>
      </c>
      <c r="D5275" s="12" t="inlineStr">
        <is>
          <t>SC-2 emergency DC lube-oil pump (125 V DC, coast-down)</t>
        </is>
      </c>
      <c r="E5275" s="12" t="inlineStr"/>
      <c r="F5275" s="12" t="inlineStr">
        <is>
          <t>SC-2 PCM + 15 kV GCB</t>
        </is>
      </c>
      <c r="G5275" s="12" t="inlineStr">
        <is>
          <t>SC-2</t>
        </is>
      </c>
      <c r="H5275" s="12" t="inlineStr">
        <is>
          <t>SC-2: aeroderivative simple-cycle unit (LM6000 class)</t>
        </is>
      </c>
      <c r="I5275" s="12" t="inlineStr">
        <is>
          <t>LV 600 V</t>
        </is>
      </c>
      <c r="J5275" s="12" t="inlineStr">
        <is>
          <t>XHHW-2 600 V 1/C Cu (feeder sets in tray / duct)</t>
        </is>
      </c>
      <c r="K5275" s="12" t="inlineStr">
        <is>
          <t>LV1C|1/C|2</t>
        </is>
      </c>
      <c r="L5275" s="12" t="inlineStr">
        <is>
          <t>1/C</t>
        </is>
      </c>
      <c r="M5275" s="12" t="inlineStr">
        <is>
          <t>2</t>
        </is>
      </c>
      <c r="N5275" s="12" t="n">
        <v>1</v>
      </c>
      <c r="O5275" s="12" t="n">
        <v>2</v>
      </c>
      <c r="P5275" s="12" t="n">
        <v>125</v>
      </c>
      <c r="Q5275" s="12" t="n">
        <v>7.5</v>
      </c>
      <c r="R5275" s="12" t="n">
        <v>65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LM6000 class: DC pump keeps the bearings fed on loss of AC</t>
        </is>
      </c>
      <c r="AA5275" s="12">
        <f>N5275*O5275</f>
        <v/>
      </c>
    </row>
    <row r="5276">
      <c r="A5276" s="12" t="inlineStr">
        <is>
          <t>I-P-0226</t>
        </is>
      </c>
      <c r="B5276" s="12" t="inlineStr">
        <is>
          <t>I</t>
        </is>
      </c>
      <c r="C5276" s="12" t="inlineStr">
        <is>
          <t>Modular / portable power</t>
        </is>
      </c>
      <c r="D5276" s="12" t="inlineStr">
        <is>
          <t>SC-2 120 V AC UPS to the unit control and protection</t>
        </is>
      </c>
      <c r="E5276" s="12" t="inlineStr"/>
      <c r="F5276" s="12" t="inlineStr">
        <is>
          <t>SC-2 PCM + 15 kV GCB</t>
        </is>
      </c>
      <c r="G5276" s="12" t="inlineStr">
        <is>
          <t>SC-2</t>
        </is>
      </c>
      <c r="H5276" s="12" t="inlineStr">
        <is>
          <t>SC-2: aeroderivative simple-cycle unit (LM6000 class)</t>
        </is>
      </c>
      <c r="I5276" s="12" t="inlineStr">
        <is>
          <t>LV 600 V</t>
        </is>
      </c>
      <c r="J5276" s="12" t="inlineStr">
        <is>
          <t>XHHW-2 600 V 1/C Cu (feeder sets in tray / duct)</t>
        </is>
      </c>
      <c r="K5276" s="12" t="inlineStr">
        <is>
          <t>LV1C|1/C|6</t>
        </is>
      </c>
      <c r="L5276" s="12" t="inlineStr">
        <is>
          <t>1/C</t>
        </is>
      </c>
      <c r="M5276" s="12" t="inlineStr">
        <is>
          <t>6</t>
        </is>
      </c>
      <c r="N5276" s="12" t="n">
        <v>1</v>
      </c>
      <c r="O5276" s="12" t="n">
        <v>2</v>
      </c>
      <c r="P5276" s="12" t="n">
        <v>120</v>
      </c>
      <c r="Q5276" s="12" t="n">
        <v>5</v>
      </c>
      <c r="R5276" s="12" t="n"/>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c r="AA5276" s="12">
        <f>N5276*O5276</f>
        <v/>
      </c>
    </row>
    <row r="5277">
      <c r="A5277" s="12" t="inlineStr">
        <is>
          <t>I-P-0227</t>
        </is>
      </c>
      <c r="B5277" s="12" t="inlineStr">
        <is>
          <t>I</t>
        </is>
      </c>
      <c r="C5277" s="12" t="inlineStr">
        <is>
          <t>Modular / portable power</t>
        </is>
      </c>
      <c r="D5277" s="12" t="inlineStr">
        <is>
          <t>SC-2 hydraulic starter pump motor (start sequence only)</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LV|3/C+G|3/0</t>
        </is>
      </c>
      <c r="L5277" s="12" t="inlineStr">
        <is>
          <t>3/C+G</t>
        </is>
      </c>
      <c r="M5277" s="12" t="inlineStr">
        <is>
          <t>3/0</t>
        </is>
      </c>
      <c r="N5277" s="12" t="n">
        <v>2</v>
      </c>
      <c r="O5277" s="12" t="n">
        <v>1</v>
      </c>
      <c r="P5277" s="12" t="n">
        <v>480</v>
      </c>
      <c r="Q5277" s="12" t="n">
        <v>225</v>
      </c>
      <c r="R5277" s="12" t="n">
        <v>318.4</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typical LM6000 hydraulic start; verify starter type / rating with the OEM</t>
        </is>
      </c>
      <c r="AA5277" s="12">
        <f>N5277*O5277</f>
        <v/>
      </c>
    </row>
    <row r="5278">
      <c r="A5278" s="12" t="inlineStr">
        <is>
          <t>I-P-0228</t>
        </is>
      </c>
      <c r="B5278" s="12" t="inlineStr">
        <is>
          <t>I</t>
        </is>
      </c>
      <c r="C5278" s="12" t="inlineStr">
        <is>
          <t>Modular / portable power</t>
        </is>
      </c>
      <c r="D5278" s="12" t="inlineStr">
        <is>
          <t>SC-2 480 V welding receptacle 1</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LV|3/C+G|2</t>
        </is>
      </c>
      <c r="L5278" s="12" t="inlineStr">
        <is>
          <t>3/C+G</t>
        </is>
      </c>
      <c r="M5278" s="12" t="inlineStr">
        <is>
          <t>2</t>
        </is>
      </c>
      <c r="N5278" s="12" t="n">
        <v>1</v>
      </c>
      <c r="O5278" s="12" t="n">
        <v>1</v>
      </c>
      <c r="P5278" s="12" t="n">
        <v>480</v>
      </c>
      <c r="Q5278" s="12" t="n">
        <v>60</v>
      </c>
      <c r="R5278" s="12" t="n">
        <v>76</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0.3 %</t>
        </is>
      </c>
      <c r="AA5278" s="12">
        <f>N5278*O5278</f>
        <v/>
      </c>
    </row>
    <row r="5279">
      <c r="A5279" s="12" t="inlineStr">
        <is>
          <t>I-P-0229</t>
        </is>
      </c>
      <c r="B5279" s="12" t="inlineStr">
        <is>
          <t>I</t>
        </is>
      </c>
      <c r="C5279" s="12" t="inlineStr">
        <is>
          <t>Modular / portable power</t>
        </is>
      </c>
      <c r="D5279" s="12" t="inlineStr">
        <is>
          <t>SC-2 480 V welding receptacle 2</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LV|3/C+G|2</t>
        </is>
      </c>
      <c r="L5279" s="12" t="inlineStr">
        <is>
          <t>3/C+G</t>
        </is>
      </c>
      <c r="M5279" s="12" t="inlineStr">
        <is>
          <t>2</t>
        </is>
      </c>
      <c r="N5279" s="12" t="n">
        <v>1</v>
      </c>
      <c r="O5279" s="12" t="n">
        <v>1</v>
      </c>
      <c r="P5279" s="12" t="n">
        <v>480</v>
      </c>
      <c r="Q5279" s="12" t="n">
        <v>60</v>
      </c>
      <c r="R5279" s="12" t="n">
        <v>76</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0.3 %</t>
        </is>
      </c>
      <c r="AA5279" s="12">
        <f>N5279*O5279</f>
        <v/>
      </c>
    </row>
    <row r="5280">
      <c r="A5280" s="12" t="inlineStr">
        <is>
          <t>I-P-0230</t>
        </is>
      </c>
      <c r="B5280" s="12" t="inlineStr">
        <is>
          <t>I</t>
        </is>
      </c>
      <c r="C5280" s="12" t="inlineStr">
        <is>
          <t>Modular / portable power</t>
        </is>
      </c>
      <c r="D5280" s="12" t="inlineStr">
        <is>
          <t>Motor 1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I-P-0231</t>
        </is>
      </c>
      <c r="B5281" s="12" t="inlineStr">
        <is>
          <t>I</t>
        </is>
      </c>
      <c r="C5281" s="12" t="inlineStr">
        <is>
          <t>Modular / portable power</t>
        </is>
      </c>
      <c r="D5281" s="12" t="inlineStr">
        <is>
          <t>Motor 2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I-P-0232</t>
        </is>
      </c>
      <c r="B5282" s="12" t="inlineStr">
        <is>
          <t>I</t>
        </is>
      </c>
      <c r="C5282" s="12" t="inlineStr">
        <is>
          <t>Modular / portable power</t>
        </is>
      </c>
      <c r="D5282" s="12" t="inlineStr">
        <is>
          <t>Motor 3 of 10, 30 kW</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LV|3/C+G|6</t>
        </is>
      </c>
      <c r="L5282" s="12" t="inlineStr">
        <is>
          <t>3/C+G</t>
        </is>
      </c>
      <c r="M5282" s="12" t="inlineStr">
        <is>
          <t>6</t>
        </is>
      </c>
      <c r="N5282" s="12" t="n">
        <v>1</v>
      </c>
      <c r="O5282" s="12" t="n">
        <v>1</v>
      </c>
      <c r="P5282" s="12" t="n">
        <v>480</v>
      </c>
      <c r="Q5282" s="12" t="n">
        <v>30</v>
      </c>
      <c r="R5282" s="12" t="n">
        <v>42.5</v>
      </c>
      <c r="S5282" s="12" t="inlineStr">
        <is>
          <t>Duct bank</t>
        </is>
      </c>
      <c r="T5282" s="16" t="n">
        <v>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VD 0.5 %</t>
        </is>
      </c>
      <c r="AA5282" s="12">
        <f>N5282*O5282</f>
        <v/>
      </c>
    </row>
    <row r="5283">
      <c r="A5283" s="12" t="inlineStr">
        <is>
          <t>I-P-0233</t>
        </is>
      </c>
      <c r="B5283" s="12" t="inlineStr">
        <is>
          <t>I</t>
        </is>
      </c>
      <c r="C5283" s="12" t="inlineStr">
        <is>
          <t>Modular / portable power</t>
        </is>
      </c>
      <c r="D5283" s="12" t="inlineStr">
        <is>
          <t>Motor 4 of 10, 30 kW</t>
        </is>
      </c>
      <c r="E5283" s="12" t="inlineStr"/>
      <c r="F5283" s="12" t="inlineStr">
        <is>
          <t>SC-2 PCM + 15 kV GCB</t>
        </is>
      </c>
      <c r="G5283" s="12" t="inlineStr">
        <is>
          <t>SC-2</t>
        </is>
      </c>
      <c r="H5283" s="12" t="inlineStr">
        <is>
          <t>SC-2: aeroderivative simple-cycle unit (LM6000 class)</t>
        </is>
      </c>
      <c r="I5283" s="12" t="inlineStr">
        <is>
          <t>LV 600 V</t>
        </is>
      </c>
      <c r="J5283" s="12" t="inlineStr">
        <is>
          <t>Type TC-ER 600 V 3/C Cu XHHW-2 + ground, PVC jacket</t>
        </is>
      </c>
      <c r="K5283" s="12" t="inlineStr">
        <is>
          <t>LV|3/C+G|6</t>
        </is>
      </c>
      <c r="L5283" s="12" t="inlineStr">
        <is>
          <t>3/C+G</t>
        </is>
      </c>
      <c r="M5283" s="12" t="inlineStr">
        <is>
          <t>6</t>
        </is>
      </c>
      <c r="N5283" s="12" t="n">
        <v>1</v>
      </c>
      <c r="O5283" s="12" t="n">
        <v>1</v>
      </c>
      <c r="P5283" s="12" t="n">
        <v>480</v>
      </c>
      <c r="Q5283" s="12" t="n">
        <v>30</v>
      </c>
      <c r="R5283" s="12" t="n">
        <v>42.5</v>
      </c>
      <c r="S5283" s="12" t="inlineStr">
        <is>
          <t>Duct bank</t>
        </is>
      </c>
      <c r="T5283" s="16" t="n">
        <v>25</v>
      </c>
      <c r="U5283" s="16" t="n">
        <v>32</v>
      </c>
      <c r="V5283" s="16">
        <f>ROUNDUP((T5283+U5283+2*'Read Me'!$B$13)*(1+'Read Me'!$B$12),-1)</f>
        <v/>
      </c>
      <c r="W5283" s="16">
        <f>V5283*N5283*O5283</f>
        <v/>
      </c>
      <c r="X5283" s="12">
        <f>IF(LEFT(I5283,2)="MV",2*N5283*IF(L5283="1/C",O5283,1),0)</f>
        <v/>
      </c>
      <c r="Y5283" s="12">
        <f>IF(OR(LEFT(K5283,4)="LVAX",LEFT(K5283,6)="MV15AX",LEFT(K5283,4)="CTAX",LEFT(K5283,2)="W|"),2*N5283*O5283,0)</f>
        <v/>
      </c>
      <c r="Z5283" s="12" t="inlineStr">
        <is>
          <t>VD 0.5 %</t>
        </is>
      </c>
      <c r="AA5283" s="12">
        <f>N5283*O5283</f>
        <v/>
      </c>
    </row>
    <row r="5284">
      <c r="A5284" s="12" t="inlineStr">
        <is>
          <t>I-P-0234</t>
        </is>
      </c>
      <c r="B5284" s="12" t="inlineStr">
        <is>
          <t>I</t>
        </is>
      </c>
      <c r="C5284" s="12" t="inlineStr">
        <is>
          <t>Modular / portable power</t>
        </is>
      </c>
      <c r="D5284" s="12" t="inlineStr">
        <is>
          <t>Motor 5 of 10, 30 kW</t>
        </is>
      </c>
      <c r="E5284" s="12" t="inlineStr"/>
      <c r="F5284" s="12" t="inlineStr">
        <is>
          <t>SC-2 PCM + 15 kV GCB</t>
        </is>
      </c>
      <c r="G5284" s="12" t="inlineStr">
        <is>
          <t>SC-2</t>
        </is>
      </c>
      <c r="H5284" s="12" t="inlineStr">
        <is>
          <t>SC-2: aeroderivative simple-cycle unit (LM6000 class)</t>
        </is>
      </c>
      <c r="I5284" s="12" t="inlineStr">
        <is>
          <t>LV 600 V</t>
        </is>
      </c>
      <c r="J5284" s="12" t="inlineStr">
        <is>
          <t>Type TC-ER 600 V 3/C Cu XHHW-2 + ground, PVC jacket</t>
        </is>
      </c>
      <c r="K5284" s="12" t="inlineStr">
        <is>
          <t>LV|3/C+G|6</t>
        </is>
      </c>
      <c r="L5284" s="12" t="inlineStr">
        <is>
          <t>3/C+G</t>
        </is>
      </c>
      <c r="M5284" s="12" t="inlineStr">
        <is>
          <t>6</t>
        </is>
      </c>
      <c r="N5284" s="12" t="n">
        <v>1</v>
      </c>
      <c r="O5284" s="12" t="n">
        <v>1</v>
      </c>
      <c r="P5284" s="12" t="n">
        <v>480</v>
      </c>
      <c r="Q5284" s="12" t="n">
        <v>30</v>
      </c>
      <c r="R5284" s="12" t="n">
        <v>42.5</v>
      </c>
      <c r="S5284" s="12" t="inlineStr">
        <is>
          <t>Duct bank</t>
        </is>
      </c>
      <c r="T5284" s="16" t="n">
        <v>25</v>
      </c>
      <c r="U5284" s="16" t="n">
        <v>32</v>
      </c>
      <c r="V5284" s="16">
        <f>ROUNDUP((T5284+U5284+2*'Read Me'!$B$13)*(1+'Read Me'!$B$12),-1)</f>
        <v/>
      </c>
      <c r="W5284" s="16">
        <f>V5284*N5284*O5284</f>
        <v/>
      </c>
      <c r="X5284" s="12">
        <f>IF(LEFT(I5284,2)="MV",2*N5284*IF(L5284="1/C",O5284,1),0)</f>
        <v/>
      </c>
      <c r="Y5284" s="12">
        <f>IF(OR(LEFT(K5284,4)="LVAX",LEFT(K5284,6)="MV15AX",LEFT(K5284,4)="CTAX",LEFT(K5284,2)="W|"),2*N5284*O5284,0)</f>
        <v/>
      </c>
      <c r="Z5284" s="12" t="inlineStr">
        <is>
          <t>VD 0.5 %</t>
        </is>
      </c>
      <c r="AA5284" s="12">
        <f>N5284*O5284</f>
        <v/>
      </c>
    </row>
    <row r="5285">
      <c r="A5285" s="12" t="inlineStr">
        <is>
          <t>I-P-0235</t>
        </is>
      </c>
      <c r="B5285" s="12" t="inlineStr">
        <is>
          <t>I</t>
        </is>
      </c>
      <c r="C5285" s="12" t="inlineStr">
        <is>
          <t>Modular / portable power</t>
        </is>
      </c>
      <c r="D5285" s="12" t="inlineStr">
        <is>
          <t>Motor 6 of 10, 30 kW</t>
        </is>
      </c>
      <c r="E5285" s="12" t="inlineStr"/>
      <c r="F5285" s="12" t="inlineStr">
        <is>
          <t>SC-2 PCM + 15 kV GCB</t>
        </is>
      </c>
      <c r="G5285" s="12" t="inlineStr">
        <is>
          <t>SC-2</t>
        </is>
      </c>
      <c r="H5285" s="12" t="inlineStr">
        <is>
          <t>SC-2: aeroderivative simple-cycle unit (LM6000 class)</t>
        </is>
      </c>
      <c r="I5285" s="12" t="inlineStr">
        <is>
          <t>LV 600 V</t>
        </is>
      </c>
      <c r="J5285" s="12" t="inlineStr">
        <is>
          <t>Type TC-ER 600 V 3/C Cu XHHW-2 + ground, PVC jacket</t>
        </is>
      </c>
      <c r="K5285" s="12" t="inlineStr">
        <is>
          <t>LV|3/C+G|6</t>
        </is>
      </c>
      <c r="L5285" s="12" t="inlineStr">
        <is>
          <t>3/C+G</t>
        </is>
      </c>
      <c r="M5285" s="12" t="inlineStr">
        <is>
          <t>6</t>
        </is>
      </c>
      <c r="N5285" s="12" t="n">
        <v>1</v>
      </c>
      <c r="O5285" s="12" t="n">
        <v>1</v>
      </c>
      <c r="P5285" s="12" t="n">
        <v>480</v>
      </c>
      <c r="Q5285" s="12" t="n">
        <v>30</v>
      </c>
      <c r="R5285" s="12" t="n">
        <v>42.5</v>
      </c>
      <c r="S5285" s="12" t="inlineStr">
        <is>
          <t>Duct bank</t>
        </is>
      </c>
      <c r="T5285" s="16" t="n">
        <v>25</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is>
          <t>VD 0.5 %</t>
        </is>
      </c>
      <c r="AA5285" s="12">
        <f>N5285*O5285</f>
        <v/>
      </c>
    </row>
    <row r="5286">
      <c r="A5286" s="12" t="inlineStr">
        <is>
          <t>I-P-0236</t>
        </is>
      </c>
      <c r="B5286" s="12" t="inlineStr">
        <is>
          <t>I</t>
        </is>
      </c>
      <c r="C5286" s="12" t="inlineStr">
        <is>
          <t>Modular / portable power</t>
        </is>
      </c>
      <c r="D5286" s="12" t="inlineStr">
        <is>
          <t>Motor 7 of 10, 30 kW</t>
        </is>
      </c>
      <c r="E5286" s="12" t="inlineStr"/>
      <c r="F5286" s="12" t="inlineStr">
        <is>
          <t>SC-2 PCM + 15 kV GCB</t>
        </is>
      </c>
      <c r="G5286" s="12" t="inlineStr">
        <is>
          <t>SC-2</t>
        </is>
      </c>
      <c r="H5286" s="12" t="inlineStr">
        <is>
          <t>SC-2: aeroderivative simple-cycle unit (LM6000 class)</t>
        </is>
      </c>
      <c r="I5286" s="12" t="inlineStr">
        <is>
          <t>LV 600 V</t>
        </is>
      </c>
      <c r="J5286" s="12" t="inlineStr">
        <is>
          <t>Type TC-ER 600 V 3/C Cu XHHW-2 + ground, PVC jacket</t>
        </is>
      </c>
      <c r="K5286" s="12" t="inlineStr">
        <is>
          <t>LV|3/C+G|6</t>
        </is>
      </c>
      <c r="L5286" s="12" t="inlineStr">
        <is>
          <t>3/C+G</t>
        </is>
      </c>
      <c r="M5286" s="12" t="inlineStr">
        <is>
          <t>6</t>
        </is>
      </c>
      <c r="N5286" s="12" t="n">
        <v>1</v>
      </c>
      <c r="O5286" s="12" t="n">
        <v>1</v>
      </c>
      <c r="P5286" s="12" t="n">
        <v>480</v>
      </c>
      <c r="Q5286" s="12" t="n">
        <v>30</v>
      </c>
      <c r="R5286" s="12" t="n">
        <v>42.5</v>
      </c>
      <c r="S5286" s="12" t="inlineStr">
        <is>
          <t>Duct bank</t>
        </is>
      </c>
      <c r="T5286" s="16" t="n">
        <v>25</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is>
          <t>VD 0.5 %</t>
        </is>
      </c>
      <c r="AA5286" s="12">
        <f>N5286*O5286</f>
        <v/>
      </c>
    </row>
    <row r="5287">
      <c r="A5287" s="12" t="inlineStr">
        <is>
          <t>I-P-0237</t>
        </is>
      </c>
      <c r="B5287" s="12" t="inlineStr">
        <is>
          <t>I</t>
        </is>
      </c>
      <c r="C5287" s="12" t="inlineStr">
        <is>
          <t>Modular / portable power</t>
        </is>
      </c>
      <c r="D5287" s="12" t="inlineStr">
        <is>
          <t>Motor 8 of 10, 30 kW</t>
        </is>
      </c>
      <c r="E5287" s="12" t="inlineStr"/>
      <c r="F5287" s="12" t="inlineStr">
        <is>
          <t>SC-2 PCM + 15 kV GCB</t>
        </is>
      </c>
      <c r="G5287" s="12" t="inlineStr">
        <is>
          <t>SC-2</t>
        </is>
      </c>
      <c r="H5287" s="12" t="inlineStr">
        <is>
          <t>SC-2: aeroderivative simple-cycle unit (LM6000 class)</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30</v>
      </c>
      <c r="R5287" s="12" t="n">
        <v>42.5</v>
      </c>
      <c r="S5287" s="12" t="inlineStr">
        <is>
          <t>Duct bank</t>
        </is>
      </c>
      <c r="T5287" s="16" t="n">
        <v>25</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is>
          <t>VD 0.5 %</t>
        </is>
      </c>
      <c r="AA5287" s="12">
        <f>N5287*O5287</f>
        <v/>
      </c>
    </row>
    <row r="5288">
      <c r="A5288" s="12" t="inlineStr">
        <is>
          <t>I-P-0238</t>
        </is>
      </c>
      <c r="B5288" s="12" t="inlineStr">
        <is>
          <t>I</t>
        </is>
      </c>
      <c r="C5288" s="12" t="inlineStr">
        <is>
          <t>Modular / portable power</t>
        </is>
      </c>
      <c r="D5288" s="12" t="inlineStr">
        <is>
          <t>Motor 9 of 10, 30 kW</t>
        </is>
      </c>
      <c r="E5288" s="12" t="inlineStr"/>
      <c r="F5288" s="12" t="inlineStr">
        <is>
          <t>SC-2 PCM + 15 kV GCB</t>
        </is>
      </c>
      <c r="G5288" s="12" t="inlineStr">
        <is>
          <t>SC-2</t>
        </is>
      </c>
      <c r="H5288" s="12" t="inlineStr">
        <is>
          <t>SC-2: aeroderivative simple-cycle unit (LM6000 class)</t>
        </is>
      </c>
      <c r="I5288" s="12" t="inlineStr">
        <is>
          <t>LV 600 V</t>
        </is>
      </c>
      <c r="J5288" s="12" t="inlineStr">
        <is>
          <t>Type TC-ER 600 V 3/C Cu XHHW-2 + ground, PVC jacket</t>
        </is>
      </c>
      <c r="K5288" s="12" t="inlineStr">
        <is>
          <t>LV|3/C+G|6</t>
        </is>
      </c>
      <c r="L5288" s="12" t="inlineStr">
        <is>
          <t>3/C+G</t>
        </is>
      </c>
      <c r="M5288" s="12" t="inlineStr">
        <is>
          <t>6</t>
        </is>
      </c>
      <c r="N5288" s="12" t="n">
        <v>1</v>
      </c>
      <c r="O5288" s="12" t="n">
        <v>1</v>
      </c>
      <c r="P5288" s="12" t="n">
        <v>480</v>
      </c>
      <c r="Q5288" s="12" t="n">
        <v>30</v>
      </c>
      <c r="R5288" s="12" t="n">
        <v>42.5</v>
      </c>
      <c r="S5288" s="12" t="inlineStr">
        <is>
          <t>Duct bank</t>
        </is>
      </c>
      <c r="T5288" s="16" t="n">
        <v>25</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is>
          <t>VD 0.5 %</t>
        </is>
      </c>
      <c r="AA5288" s="12">
        <f>N5288*O5288</f>
        <v/>
      </c>
    </row>
    <row r="5289">
      <c r="A5289" s="12" t="inlineStr">
        <is>
          <t>I-P-0239</t>
        </is>
      </c>
      <c r="B5289" s="12" t="inlineStr">
        <is>
          <t>I</t>
        </is>
      </c>
      <c r="C5289" s="12" t="inlineStr">
        <is>
          <t>Modular / portable power</t>
        </is>
      </c>
      <c r="D5289" s="12" t="inlineStr">
        <is>
          <t>Motor 10 of 10, 30 kW</t>
        </is>
      </c>
      <c r="E5289" s="12" t="inlineStr"/>
      <c r="F5289" s="12" t="inlineStr">
        <is>
          <t>SC-2 PCM + 15 kV GCB</t>
        </is>
      </c>
      <c r="G5289" s="12" t="inlineStr">
        <is>
          <t>SC-2</t>
        </is>
      </c>
      <c r="H5289" s="12" t="inlineStr">
        <is>
          <t>SC-2: aeroderivative simple-cycle unit (LM6000 class)</t>
        </is>
      </c>
      <c r="I5289" s="12" t="inlineStr">
        <is>
          <t>LV 600 V</t>
        </is>
      </c>
      <c r="J5289" s="12" t="inlineStr">
        <is>
          <t>Type TC-ER 600 V 3/C Cu XHHW-2 + ground, PVC jacket</t>
        </is>
      </c>
      <c r="K5289" s="12" t="inlineStr">
        <is>
          <t>LV|3/C+G|6</t>
        </is>
      </c>
      <c r="L5289" s="12" t="inlineStr">
        <is>
          <t>3/C+G</t>
        </is>
      </c>
      <c r="M5289" s="12" t="inlineStr">
        <is>
          <t>6</t>
        </is>
      </c>
      <c r="N5289" s="12" t="n">
        <v>1</v>
      </c>
      <c r="O5289" s="12" t="n">
        <v>1</v>
      </c>
      <c r="P5289" s="12" t="n">
        <v>480</v>
      </c>
      <c r="Q5289" s="12" t="n">
        <v>30</v>
      </c>
      <c r="R5289" s="12" t="n">
        <v>42.5</v>
      </c>
      <c r="S5289" s="12" t="inlineStr">
        <is>
          <t>Duct bank</t>
        </is>
      </c>
      <c r="T5289" s="16" t="n">
        <v>25</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is>
          <t>VD 0.5 %</t>
        </is>
      </c>
      <c r="AA5289" s="12">
        <f>N5289*O5289</f>
        <v/>
      </c>
    </row>
    <row r="5290">
      <c r="A5290" s="12" t="inlineStr">
        <is>
          <t>I-P-0240</t>
        </is>
      </c>
      <c r="B5290" s="12" t="inlineStr">
        <is>
          <t>I</t>
        </is>
      </c>
      <c r="C5290" s="12" t="inlineStr">
        <is>
          <t>Modular / portable power</t>
        </is>
      </c>
      <c r="D5290" s="12" t="inlineStr">
        <is>
          <t>Area / platform lighting circuit 1 (8 fixtures)</t>
        </is>
      </c>
      <c r="E5290" s="12" t="inlineStr"/>
      <c r="F5290" s="12" t="inlineStr">
        <is>
          <t>SC-2 PCM + 15 kV GCB</t>
        </is>
      </c>
      <c r="G5290" s="12" t="inlineStr">
        <is>
          <t>SC-2</t>
        </is>
      </c>
      <c r="H5290" s="12" t="inlineStr">
        <is>
          <t>SC-2: aeroderivative simple-cycle unit (LM6000 class)</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3</v>
      </c>
      <c r="R5290" s="12" t="n">
        <v>5</v>
      </c>
      <c r="S5290" s="12" t="inlineStr">
        <is>
          <t>Duct bank</t>
        </is>
      </c>
      <c r="T5290" s="16" t="n">
        <v>325</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is>
          <t>fixture-to-fixture run included</t>
        </is>
      </c>
      <c r="AA5290" s="12">
        <f>N5290*O5290</f>
        <v/>
      </c>
    </row>
    <row r="5291">
      <c r="A5291" s="12" t="inlineStr">
        <is>
          <t>I-P-0241</t>
        </is>
      </c>
      <c r="B5291" s="12" t="inlineStr">
        <is>
          <t>I</t>
        </is>
      </c>
      <c r="C5291" s="12" t="inlineStr">
        <is>
          <t>Modular / portable power</t>
        </is>
      </c>
      <c r="D5291" s="12" t="inlineStr">
        <is>
          <t>Motor 1 of 6, 2 kW</t>
        </is>
      </c>
      <c r="E5291" s="12" t="inlineStr"/>
      <c r="F5291" s="12" t="inlineStr">
        <is>
          <t>MOD-LV 480 V board + 480 V : 13.8 kV step-up</t>
        </is>
      </c>
      <c r="G5291" s="12" t="inlineStr"/>
      <c r="H5291" s="12" t="inlineStr">
        <is>
          <t>T-MOD 230 kV take-off gantry with arresters</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370</v>
      </c>
      <c r="U5291" s="16" t="n">
        <v>128</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I-P-0242</t>
        </is>
      </c>
      <c r="B5292" s="12" t="inlineStr">
        <is>
          <t>I</t>
        </is>
      </c>
      <c r="C5292" s="12" t="inlineStr">
        <is>
          <t>Modular / portable power</t>
        </is>
      </c>
      <c r="D5292" s="12" t="inlineStr">
        <is>
          <t>Motor 2 of 6, 2 kW</t>
        </is>
      </c>
      <c r="E5292" s="12" t="inlineStr"/>
      <c r="F5292" s="12" t="inlineStr">
        <is>
          <t>MOD-LV 480 V board + 480 V : 13.8 kV step-up</t>
        </is>
      </c>
      <c r="G5292" s="12" t="inlineStr"/>
      <c r="H5292" s="12" t="inlineStr">
        <is>
          <t>T-MOD 230 kV take-off gantry with arresters</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370</v>
      </c>
      <c r="U5292" s="16" t="n">
        <v>128</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I-P-0243</t>
        </is>
      </c>
      <c r="B5293" s="12" t="inlineStr">
        <is>
          <t>I</t>
        </is>
      </c>
      <c r="C5293" s="12" t="inlineStr">
        <is>
          <t>Modular / portable power</t>
        </is>
      </c>
      <c r="D5293" s="12" t="inlineStr">
        <is>
          <t>Motor 3 of 6, 2 kW</t>
        </is>
      </c>
      <c r="E5293" s="12" t="inlineStr"/>
      <c r="F5293" s="12" t="inlineStr">
        <is>
          <t>MOD-LV 480 V board + 480 V : 13.8 kV step-up</t>
        </is>
      </c>
      <c r="G5293" s="12" t="inlineStr"/>
      <c r="H5293" s="12" t="inlineStr">
        <is>
          <t>T-MOD 230 kV take-off gantry with arresters</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370</v>
      </c>
      <c r="U5293" s="16" t="n">
        <v>128</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I-P-0244</t>
        </is>
      </c>
      <c r="B5294" s="12" t="inlineStr">
        <is>
          <t>I</t>
        </is>
      </c>
      <c r="C5294" s="12" t="inlineStr">
        <is>
          <t>Modular / portable power</t>
        </is>
      </c>
      <c r="D5294" s="12" t="inlineStr">
        <is>
          <t>Motor 4 of 6, 2 kW</t>
        </is>
      </c>
      <c r="E5294" s="12" t="inlineStr"/>
      <c r="F5294" s="12" t="inlineStr">
        <is>
          <t>MOD-LV 480 V board + 480 V : 13.8 kV step-up</t>
        </is>
      </c>
      <c r="G5294" s="12" t="inlineStr"/>
      <c r="H5294" s="12" t="inlineStr">
        <is>
          <t>T-MOD 230 kV take-off gantry with arresters</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370</v>
      </c>
      <c r="U5294" s="16" t="n">
        <v>128</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I-P-0245</t>
        </is>
      </c>
      <c r="B5295" s="12" t="inlineStr">
        <is>
          <t>I</t>
        </is>
      </c>
      <c r="C5295" s="12" t="inlineStr">
        <is>
          <t>Modular / portable power</t>
        </is>
      </c>
      <c r="D5295" s="12" t="inlineStr">
        <is>
          <t>Motor 5 of 6, 2 kW</t>
        </is>
      </c>
      <c r="E5295" s="12" t="inlineStr"/>
      <c r="F5295" s="12" t="inlineStr">
        <is>
          <t>MOD-LV 480 V board + 480 V : 13.8 kV step-up</t>
        </is>
      </c>
      <c r="G5295" s="12" t="inlineStr"/>
      <c r="H5295" s="12" t="inlineStr">
        <is>
          <t>T-MOD 230 kV take-off gantry with arresters</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370</v>
      </c>
      <c r="U5295" s="16" t="n">
        <v>128</v>
      </c>
      <c r="V5295" s="16">
        <f>ROUNDUP((T5295+U5295+2*'Read Me'!$B$13)*(1+'Read Me'!$B$12),-1)</f>
        <v/>
      </c>
      <c r="W5295" s="16">
        <f>V5295*N5295*O5295</f>
        <v/>
      </c>
      <c r="X5295" s="12">
        <f>IF(LEFT(I5295,2)="MV",2*N5295*IF(L5295="1/C",O5295,1),0)</f>
        <v/>
      </c>
      <c r="Y5295" s="12">
        <f>IF(OR(LEFT(K5295,4)="LVAX",LEFT(K5295,6)="MV15AX",LEFT(K5295,4)="CTAX",LEFT(K5295,2)="W|"),2*N5295*O5295,0)</f>
        <v/>
      </c>
      <c r="Z5295" s="12" t="inlineStr">
        <is>
          <t>VD 0.7 %</t>
        </is>
      </c>
      <c r="AA5295" s="12">
        <f>N5295*O5295</f>
        <v/>
      </c>
    </row>
    <row r="5296">
      <c r="A5296" s="12" t="inlineStr">
        <is>
          <t>I-P-0246</t>
        </is>
      </c>
      <c r="B5296" s="12" t="inlineStr">
        <is>
          <t>I</t>
        </is>
      </c>
      <c r="C5296" s="12" t="inlineStr">
        <is>
          <t>Modular / portable power</t>
        </is>
      </c>
      <c r="D5296" s="12" t="inlineStr">
        <is>
          <t>Motor 6 of 6, 2 kW</t>
        </is>
      </c>
      <c r="E5296" s="12" t="inlineStr"/>
      <c r="F5296" s="12" t="inlineStr">
        <is>
          <t>MOD-LV 480 V board + 480 V : 13.8 kV step-up</t>
        </is>
      </c>
      <c r="G5296" s="12" t="inlineStr"/>
      <c r="H5296" s="12" t="inlineStr">
        <is>
          <t>T-MOD 230 kV take-off gantry with arresters</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370</v>
      </c>
      <c r="U5296" s="16" t="n">
        <v>128</v>
      </c>
      <c r="V5296" s="16">
        <f>ROUNDUP((T5296+U5296+2*'Read Me'!$B$13)*(1+'Read Me'!$B$12),-1)</f>
        <v/>
      </c>
      <c r="W5296" s="16">
        <f>V5296*N5296*O5296</f>
        <v/>
      </c>
      <c r="X5296" s="12">
        <f>IF(LEFT(I5296,2)="MV",2*N5296*IF(L5296="1/C",O5296,1),0)</f>
        <v/>
      </c>
      <c r="Y5296" s="12">
        <f>IF(OR(LEFT(K5296,4)="LVAX",LEFT(K5296,6)="MV15AX",LEFT(K5296,4)="CTAX",LEFT(K5296,2)="W|"),2*N5296*O5296,0)</f>
        <v/>
      </c>
      <c r="Z5296" s="12" t="inlineStr">
        <is>
          <t>VD 0.7 %</t>
        </is>
      </c>
      <c r="AA5296" s="12">
        <f>N5296*O5296</f>
        <v/>
      </c>
    </row>
    <row r="5297">
      <c r="A5297" s="12" t="inlineStr">
        <is>
          <t>I-P-0247</t>
        </is>
      </c>
      <c r="B5297" s="12" t="inlineStr">
        <is>
          <t>I</t>
        </is>
      </c>
      <c r="C5297" s="12" t="inlineStr">
        <is>
          <t>Modular / portable power</t>
        </is>
      </c>
      <c r="D5297" s="12" t="inlineStr">
        <is>
          <t>Motor 1 of 6, 2 kW</t>
        </is>
      </c>
      <c r="E5297" s="12" t="inlineStr"/>
      <c r="F5297" s="12" t="inlineStr">
        <is>
          <t>MOD-LV 480 V board + 480 V : 13.8 kV step-up</t>
        </is>
      </c>
      <c r="G5297" s="12" t="inlineStr"/>
      <c r="H5297" s="12" t="inlineStr">
        <is>
          <t>T-MOD-1 / T-MOD-2 firewall</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362</v>
      </c>
      <c r="U5297" s="16" t="n">
        <v>130</v>
      </c>
      <c r="V5297" s="16">
        <f>ROUNDUP((T5297+U5297+2*'Read Me'!$B$13)*(1+'Read Me'!$B$12),-1)</f>
        <v/>
      </c>
      <c r="W5297" s="16">
        <f>V5297*N5297*O5297</f>
        <v/>
      </c>
      <c r="X5297" s="12">
        <f>IF(LEFT(I5297,2)="MV",2*N5297*IF(L5297="1/C",O5297,1),0)</f>
        <v/>
      </c>
      <c r="Y5297" s="12">
        <f>IF(OR(LEFT(K5297,4)="LVAX",LEFT(K5297,6)="MV15AX",LEFT(K5297,4)="CTAX",LEFT(K5297,2)="W|"),2*N5297*O5297,0)</f>
        <v/>
      </c>
      <c r="Z5297" s="12" t="inlineStr">
        <is>
          <t>VD 0.7 %</t>
        </is>
      </c>
      <c r="AA5297" s="12">
        <f>N5297*O5297</f>
        <v/>
      </c>
    </row>
    <row r="5298">
      <c r="A5298" s="12" t="inlineStr">
        <is>
          <t>I-P-0248</t>
        </is>
      </c>
      <c r="B5298" s="12" t="inlineStr">
        <is>
          <t>I</t>
        </is>
      </c>
      <c r="C5298" s="12" t="inlineStr">
        <is>
          <t>Modular / portable power</t>
        </is>
      </c>
      <c r="D5298" s="12" t="inlineStr">
        <is>
          <t>Motor 2 of 6, 2 kW</t>
        </is>
      </c>
      <c r="E5298" s="12" t="inlineStr"/>
      <c r="F5298" s="12" t="inlineStr">
        <is>
          <t>MOD-LV 480 V board + 480 V : 13.8 kV step-up</t>
        </is>
      </c>
      <c r="G5298" s="12" t="inlineStr"/>
      <c r="H5298" s="12" t="inlineStr">
        <is>
          <t>T-MOD-1 / T-MOD-2 firewall</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362</v>
      </c>
      <c r="U5298" s="16" t="n">
        <v>130</v>
      </c>
      <c r="V5298" s="16">
        <f>ROUNDUP((T5298+U5298+2*'Read Me'!$B$13)*(1+'Read Me'!$B$12),-1)</f>
        <v/>
      </c>
      <c r="W5298" s="16">
        <f>V5298*N5298*O5298</f>
        <v/>
      </c>
      <c r="X5298" s="12">
        <f>IF(LEFT(I5298,2)="MV",2*N5298*IF(L5298="1/C",O5298,1),0)</f>
        <v/>
      </c>
      <c r="Y5298" s="12">
        <f>IF(OR(LEFT(K5298,4)="LVAX",LEFT(K5298,6)="MV15AX",LEFT(K5298,4)="CTAX",LEFT(K5298,2)="W|"),2*N5298*O5298,0)</f>
        <v/>
      </c>
      <c r="Z5298" s="12" t="inlineStr">
        <is>
          <t>VD 0.7 %</t>
        </is>
      </c>
      <c r="AA5298" s="12">
        <f>N5298*O5298</f>
        <v/>
      </c>
    </row>
    <row r="5299">
      <c r="A5299" s="12" t="inlineStr">
        <is>
          <t>I-P-0249</t>
        </is>
      </c>
      <c r="B5299" s="12" t="inlineStr">
        <is>
          <t>I</t>
        </is>
      </c>
      <c r="C5299" s="12" t="inlineStr">
        <is>
          <t>Modular / portable power</t>
        </is>
      </c>
      <c r="D5299" s="12" t="inlineStr">
        <is>
          <t>Motor 3 of 6, 2 kW</t>
        </is>
      </c>
      <c r="E5299" s="12" t="inlineStr"/>
      <c r="F5299" s="12" t="inlineStr">
        <is>
          <t>MOD-LV 480 V board + 480 V : 13.8 kV step-up</t>
        </is>
      </c>
      <c r="G5299" s="12" t="inlineStr"/>
      <c r="H5299" s="12" t="inlineStr">
        <is>
          <t>T-MOD-1 / T-MOD-2 firewall</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362</v>
      </c>
      <c r="U5299" s="16" t="n">
        <v>130</v>
      </c>
      <c r="V5299" s="16">
        <f>ROUNDUP((T5299+U5299+2*'Read Me'!$B$13)*(1+'Read Me'!$B$12),-1)</f>
        <v/>
      </c>
      <c r="W5299" s="16">
        <f>V5299*N5299*O5299</f>
        <v/>
      </c>
      <c r="X5299" s="12">
        <f>IF(LEFT(I5299,2)="MV",2*N5299*IF(L5299="1/C",O5299,1),0)</f>
        <v/>
      </c>
      <c r="Y5299" s="12">
        <f>IF(OR(LEFT(K5299,4)="LVAX",LEFT(K5299,6)="MV15AX",LEFT(K5299,4)="CTAX",LEFT(K5299,2)="W|"),2*N5299*O5299,0)</f>
        <v/>
      </c>
      <c r="Z5299" s="12" t="inlineStr">
        <is>
          <t>VD 0.7 %</t>
        </is>
      </c>
      <c r="AA5299" s="12">
        <f>N5299*O5299</f>
        <v/>
      </c>
    </row>
    <row r="5300">
      <c r="A5300" s="12" t="inlineStr">
        <is>
          <t>I-P-0250</t>
        </is>
      </c>
      <c r="B5300" s="12" t="inlineStr">
        <is>
          <t>I</t>
        </is>
      </c>
      <c r="C5300" s="12" t="inlineStr">
        <is>
          <t>Modular / portable power</t>
        </is>
      </c>
      <c r="D5300" s="12" t="inlineStr">
        <is>
          <t>Motor 4 of 6, 2 kW</t>
        </is>
      </c>
      <c r="E5300" s="12" t="inlineStr"/>
      <c r="F5300" s="12" t="inlineStr">
        <is>
          <t>MOD-LV 480 V board + 480 V : 13.8 kV step-up</t>
        </is>
      </c>
      <c r="G5300" s="12" t="inlineStr"/>
      <c r="H5300" s="12" t="inlineStr">
        <is>
          <t>T-MOD-1 / T-MOD-2 firewall</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362</v>
      </c>
      <c r="U5300" s="16" t="n">
        <v>130</v>
      </c>
      <c r="V5300" s="16">
        <f>ROUNDUP((T5300+U5300+2*'Read Me'!$B$13)*(1+'Read Me'!$B$12),-1)</f>
        <v/>
      </c>
      <c r="W5300" s="16">
        <f>V5300*N5300*O5300</f>
        <v/>
      </c>
      <c r="X5300" s="12">
        <f>IF(LEFT(I5300,2)="MV",2*N5300*IF(L5300="1/C",O5300,1),0)</f>
        <v/>
      </c>
      <c r="Y5300" s="12">
        <f>IF(OR(LEFT(K5300,4)="LVAX",LEFT(K5300,6)="MV15AX",LEFT(K5300,4)="CTAX",LEFT(K5300,2)="W|"),2*N5300*O5300,0)</f>
        <v/>
      </c>
      <c r="Z5300" s="12" t="inlineStr">
        <is>
          <t>VD 0.7 %</t>
        </is>
      </c>
      <c r="AA5300" s="12">
        <f>N5300*O5300</f>
        <v/>
      </c>
    </row>
    <row r="5301">
      <c r="A5301" s="12" t="inlineStr">
        <is>
          <t>I-P-0251</t>
        </is>
      </c>
      <c r="B5301" s="12" t="inlineStr">
        <is>
          <t>I</t>
        </is>
      </c>
      <c r="C5301" s="12" t="inlineStr">
        <is>
          <t>Modular / portable power</t>
        </is>
      </c>
      <c r="D5301" s="12" t="inlineStr">
        <is>
          <t>Motor 5 of 6, 2 kW</t>
        </is>
      </c>
      <c r="E5301" s="12" t="inlineStr"/>
      <c r="F5301" s="12" t="inlineStr">
        <is>
          <t>MOD-LV 480 V board + 480 V : 13.8 kV step-up</t>
        </is>
      </c>
      <c r="G5301" s="12" t="inlineStr"/>
      <c r="H5301" s="12" t="inlineStr">
        <is>
          <t>T-MOD-1 / T-MOD-2 firewall</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2</v>
      </c>
      <c r="R5301" s="12" t="n">
        <v>2.8</v>
      </c>
      <c r="S5301" s="12" t="inlineStr">
        <is>
          <t>Duct bank</t>
        </is>
      </c>
      <c r="T5301" s="16" t="n">
        <v>362</v>
      </c>
      <c r="U5301" s="16" t="n">
        <v>130</v>
      </c>
      <c r="V5301" s="16">
        <f>ROUNDUP((T5301+U5301+2*'Read Me'!$B$13)*(1+'Read Me'!$B$12),-1)</f>
        <v/>
      </c>
      <c r="W5301" s="16">
        <f>V5301*N5301*O5301</f>
        <v/>
      </c>
      <c r="X5301" s="12">
        <f>IF(LEFT(I5301,2)="MV",2*N5301*IF(L5301="1/C",O5301,1),0)</f>
        <v/>
      </c>
      <c r="Y5301" s="12">
        <f>IF(OR(LEFT(K5301,4)="LVAX",LEFT(K5301,6)="MV15AX",LEFT(K5301,4)="CTAX",LEFT(K5301,2)="W|"),2*N5301*O5301,0)</f>
        <v/>
      </c>
      <c r="Z5301" s="12" t="inlineStr">
        <is>
          <t>VD 0.7 %</t>
        </is>
      </c>
      <c r="AA5301" s="12">
        <f>N5301*O5301</f>
        <v/>
      </c>
    </row>
    <row r="5302">
      <c r="A5302" s="12" t="inlineStr">
        <is>
          <t>I-P-0252</t>
        </is>
      </c>
      <c r="B5302" s="12" t="inlineStr">
        <is>
          <t>I</t>
        </is>
      </c>
      <c r="C5302" s="12" t="inlineStr">
        <is>
          <t>Modular / portable power</t>
        </is>
      </c>
      <c r="D5302" s="12" t="inlineStr">
        <is>
          <t>Motor 6 of 6, 2 kW</t>
        </is>
      </c>
      <c r="E5302" s="12" t="inlineStr"/>
      <c r="F5302" s="12" t="inlineStr">
        <is>
          <t>MOD-LV 480 V board + 480 V : 13.8 kV step-up</t>
        </is>
      </c>
      <c r="G5302" s="12" t="inlineStr"/>
      <c r="H5302" s="12" t="inlineStr">
        <is>
          <t>T-MOD-1 / T-MOD-2 firewall</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2</v>
      </c>
      <c r="R5302" s="12" t="n">
        <v>2.8</v>
      </c>
      <c r="S5302" s="12" t="inlineStr">
        <is>
          <t>Duct bank</t>
        </is>
      </c>
      <c r="T5302" s="16" t="n">
        <v>362</v>
      </c>
      <c r="U5302" s="16" t="n">
        <v>130</v>
      </c>
      <c r="V5302" s="16">
        <f>ROUNDUP((T5302+U5302+2*'Read Me'!$B$13)*(1+'Read Me'!$B$12),-1)</f>
        <v/>
      </c>
      <c r="W5302" s="16">
        <f>V5302*N5302*O5302</f>
        <v/>
      </c>
      <c r="X5302" s="12">
        <f>IF(LEFT(I5302,2)="MV",2*N5302*IF(L5302="1/C",O5302,1),0)</f>
        <v/>
      </c>
      <c r="Y5302" s="12">
        <f>IF(OR(LEFT(K5302,4)="LVAX",LEFT(K5302,6)="MV15AX",LEFT(K5302,4)="CTAX",LEFT(K5302,2)="W|"),2*N5302*O5302,0)</f>
        <v/>
      </c>
      <c r="Z5302" s="12" t="inlineStr">
        <is>
          <t>VD 0.7 %</t>
        </is>
      </c>
      <c r="AA5302" s="12">
        <f>N5302*O5302</f>
        <v/>
      </c>
    </row>
    <row r="5303">
      <c r="A5303" s="12" t="inlineStr">
        <is>
          <t>I-P-0253</t>
        </is>
      </c>
      <c r="B5303" s="12" t="inlineStr">
        <is>
          <t>I</t>
        </is>
      </c>
      <c r="C5303" s="12" t="inlineStr">
        <is>
          <t>Modular / portable power</t>
        </is>
      </c>
      <c r="D5303" s="12" t="inlineStr">
        <is>
          <t>Motor 1 of 6, 2 kW</t>
        </is>
      </c>
      <c r="E5303" s="12" t="inlineStr"/>
      <c r="F5303" s="12" t="inlineStr">
        <is>
          <t>MOD-LV 480 V board + 480 V : 13.8 kV step-up</t>
        </is>
      </c>
      <c r="G5303" s="12" t="inlineStr">
        <is>
          <t>T-MOD-1</t>
        </is>
      </c>
      <c r="H5303" s="12" t="inlineStr">
        <is>
          <t>T-MOD-1: 13.8/230 kV</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2</v>
      </c>
      <c r="R5303" s="12" t="n">
        <v>2.8</v>
      </c>
      <c r="S5303" s="12" t="inlineStr">
        <is>
          <t>Duct bank</t>
        </is>
      </c>
      <c r="T5303" s="16" t="n">
        <v>362</v>
      </c>
      <c r="U5303" s="16" t="n">
        <v>82</v>
      </c>
      <c r="V5303" s="16">
        <f>ROUNDUP((T5303+U5303+2*'Read Me'!$B$13)*(1+'Read Me'!$B$12),-1)</f>
        <v/>
      </c>
      <c r="W5303" s="16">
        <f>V5303*N5303*O5303</f>
        <v/>
      </c>
      <c r="X5303" s="12">
        <f>IF(LEFT(I5303,2)="MV",2*N5303*IF(L5303="1/C",O5303,1),0)</f>
        <v/>
      </c>
      <c r="Y5303" s="12">
        <f>IF(OR(LEFT(K5303,4)="LVAX",LEFT(K5303,6)="MV15AX",LEFT(K5303,4)="CTAX",LEFT(K5303,2)="W|"),2*N5303*O5303,0)</f>
        <v/>
      </c>
      <c r="Z5303" s="12" t="inlineStr">
        <is>
          <t>VD 0.6 %</t>
        </is>
      </c>
      <c r="AA5303" s="12">
        <f>N5303*O5303</f>
        <v/>
      </c>
    </row>
    <row r="5304">
      <c r="A5304" s="12" t="inlineStr">
        <is>
          <t>I-P-0254</t>
        </is>
      </c>
      <c r="B5304" s="12" t="inlineStr">
        <is>
          <t>I</t>
        </is>
      </c>
      <c r="C5304" s="12" t="inlineStr">
        <is>
          <t>Modular / portable power</t>
        </is>
      </c>
      <c r="D5304" s="12" t="inlineStr">
        <is>
          <t>Motor 2 of 6, 2 kW</t>
        </is>
      </c>
      <c r="E5304" s="12" t="inlineStr"/>
      <c r="F5304" s="12" t="inlineStr">
        <is>
          <t>MOD-LV 480 V board + 480 V : 13.8 kV step-up</t>
        </is>
      </c>
      <c r="G5304" s="12" t="inlineStr">
        <is>
          <t>T-MOD-1</t>
        </is>
      </c>
      <c r="H5304" s="12" t="inlineStr">
        <is>
          <t>T-MOD-1: 13.8/230 kV</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2</v>
      </c>
      <c r="R5304" s="12" t="n">
        <v>2.8</v>
      </c>
      <c r="S5304" s="12" t="inlineStr">
        <is>
          <t>Duct bank</t>
        </is>
      </c>
      <c r="T5304" s="16" t="n">
        <v>362</v>
      </c>
      <c r="U5304" s="16" t="n">
        <v>82</v>
      </c>
      <c r="V5304" s="16">
        <f>ROUNDUP((T5304+U5304+2*'Read Me'!$B$13)*(1+'Read Me'!$B$12),-1)</f>
        <v/>
      </c>
      <c r="W5304" s="16">
        <f>V5304*N5304*O5304</f>
        <v/>
      </c>
      <c r="X5304" s="12">
        <f>IF(LEFT(I5304,2)="MV",2*N5304*IF(L5304="1/C",O5304,1),0)</f>
        <v/>
      </c>
      <c r="Y5304" s="12">
        <f>IF(OR(LEFT(K5304,4)="LVAX",LEFT(K5304,6)="MV15AX",LEFT(K5304,4)="CTAX",LEFT(K5304,2)="W|"),2*N5304*O5304,0)</f>
        <v/>
      </c>
      <c r="Z5304" s="12" t="inlineStr">
        <is>
          <t>VD 0.6 %</t>
        </is>
      </c>
      <c r="AA5304" s="12">
        <f>N5304*O5304</f>
        <v/>
      </c>
    </row>
    <row r="5305">
      <c r="A5305" s="12" t="inlineStr">
        <is>
          <t>I-P-0255</t>
        </is>
      </c>
      <c r="B5305" s="12" t="inlineStr">
        <is>
          <t>I</t>
        </is>
      </c>
      <c r="C5305" s="12" t="inlineStr">
        <is>
          <t>Modular / portable power</t>
        </is>
      </c>
      <c r="D5305" s="12" t="inlineStr">
        <is>
          <t>Motor 3 of 6, 2 kW</t>
        </is>
      </c>
      <c r="E5305" s="12" t="inlineStr"/>
      <c r="F5305" s="12" t="inlineStr">
        <is>
          <t>MOD-LV 480 V board + 480 V : 13.8 kV step-up</t>
        </is>
      </c>
      <c r="G5305" s="12" t="inlineStr">
        <is>
          <t>T-MOD-1</t>
        </is>
      </c>
      <c r="H5305" s="12" t="inlineStr">
        <is>
          <t>T-MOD-1: 13.8/230 kV</t>
        </is>
      </c>
      <c r="I5305" s="12" t="inlineStr">
        <is>
          <t>LV 600 V</t>
        </is>
      </c>
      <c r="J5305" s="12" t="inlineStr">
        <is>
          <t>Type TC-ER 600 V 3/C Cu XHHW-2 + ground, PVC jacket</t>
        </is>
      </c>
      <c r="K5305" s="12" t="inlineStr">
        <is>
          <t>LV|3/C+G|10</t>
        </is>
      </c>
      <c r="L5305" s="12" t="inlineStr">
        <is>
          <t>3/C+G</t>
        </is>
      </c>
      <c r="M5305" s="12" t="inlineStr">
        <is>
          <t>10</t>
        </is>
      </c>
      <c r="N5305" s="12" t="n">
        <v>1</v>
      </c>
      <c r="O5305" s="12" t="n">
        <v>1</v>
      </c>
      <c r="P5305" s="12" t="n">
        <v>480</v>
      </c>
      <c r="Q5305" s="12" t="n">
        <v>2</v>
      </c>
      <c r="R5305" s="12" t="n">
        <v>2.8</v>
      </c>
      <c r="S5305" s="12" t="inlineStr">
        <is>
          <t>Duct bank</t>
        </is>
      </c>
      <c r="T5305" s="16" t="n">
        <v>362</v>
      </c>
      <c r="U5305" s="16" t="n">
        <v>82</v>
      </c>
      <c r="V5305" s="16">
        <f>ROUNDUP((T5305+U5305+2*'Read Me'!$B$13)*(1+'Read Me'!$B$12),-1)</f>
        <v/>
      </c>
      <c r="W5305" s="16">
        <f>V5305*N5305*O5305</f>
        <v/>
      </c>
      <c r="X5305" s="12">
        <f>IF(LEFT(I5305,2)="MV",2*N5305*IF(L5305="1/C",O5305,1),0)</f>
        <v/>
      </c>
      <c r="Y5305" s="12">
        <f>IF(OR(LEFT(K5305,4)="LVAX",LEFT(K5305,6)="MV15AX",LEFT(K5305,4)="CTAX",LEFT(K5305,2)="W|"),2*N5305*O5305,0)</f>
        <v/>
      </c>
      <c r="Z5305" s="12" t="inlineStr">
        <is>
          <t>VD 0.6 %</t>
        </is>
      </c>
      <c r="AA5305" s="12">
        <f>N5305*O5305</f>
        <v/>
      </c>
    </row>
    <row r="5306">
      <c r="A5306" s="12" t="inlineStr">
        <is>
          <t>I-P-0256</t>
        </is>
      </c>
      <c r="B5306" s="12" t="inlineStr">
        <is>
          <t>I</t>
        </is>
      </c>
      <c r="C5306" s="12" t="inlineStr">
        <is>
          <t>Modular / portable power</t>
        </is>
      </c>
      <c r="D5306" s="12" t="inlineStr">
        <is>
          <t>Motor 4 of 6, 2 kW</t>
        </is>
      </c>
      <c r="E5306" s="12" t="inlineStr"/>
      <c r="F5306" s="12" t="inlineStr">
        <is>
          <t>MOD-LV 480 V board + 480 V : 13.8 kV step-up</t>
        </is>
      </c>
      <c r="G5306" s="12" t="inlineStr">
        <is>
          <t>T-MOD-1</t>
        </is>
      </c>
      <c r="H5306" s="12" t="inlineStr">
        <is>
          <t>T-MOD-1: 13.8/230 kV</t>
        </is>
      </c>
      <c r="I5306" s="12" t="inlineStr">
        <is>
          <t>LV 600 V</t>
        </is>
      </c>
      <c r="J5306" s="12" t="inlineStr">
        <is>
          <t>Type TC-ER 600 V 3/C Cu XHHW-2 + ground, PVC jacket</t>
        </is>
      </c>
      <c r="K5306" s="12" t="inlineStr">
        <is>
          <t>LV|3/C+G|10</t>
        </is>
      </c>
      <c r="L5306" s="12" t="inlineStr">
        <is>
          <t>3/C+G</t>
        </is>
      </c>
      <c r="M5306" s="12" t="inlineStr">
        <is>
          <t>10</t>
        </is>
      </c>
      <c r="N5306" s="12" t="n">
        <v>1</v>
      </c>
      <c r="O5306" s="12" t="n">
        <v>1</v>
      </c>
      <c r="P5306" s="12" t="n">
        <v>480</v>
      </c>
      <c r="Q5306" s="12" t="n">
        <v>2</v>
      </c>
      <c r="R5306" s="12" t="n">
        <v>2.8</v>
      </c>
      <c r="S5306" s="12" t="inlineStr">
        <is>
          <t>Duct bank</t>
        </is>
      </c>
      <c r="T5306" s="16" t="n">
        <v>362</v>
      </c>
      <c r="U5306" s="16" t="n">
        <v>82</v>
      </c>
      <c r="V5306" s="16">
        <f>ROUNDUP((T5306+U5306+2*'Read Me'!$B$13)*(1+'Read Me'!$B$12),-1)</f>
        <v/>
      </c>
      <c r="W5306" s="16">
        <f>V5306*N5306*O5306</f>
        <v/>
      </c>
      <c r="X5306" s="12">
        <f>IF(LEFT(I5306,2)="MV",2*N5306*IF(L5306="1/C",O5306,1),0)</f>
        <v/>
      </c>
      <c r="Y5306" s="12">
        <f>IF(OR(LEFT(K5306,4)="LVAX",LEFT(K5306,6)="MV15AX",LEFT(K5306,4)="CTAX",LEFT(K5306,2)="W|"),2*N5306*O5306,0)</f>
        <v/>
      </c>
      <c r="Z5306" s="12" t="inlineStr">
        <is>
          <t>VD 0.6 %</t>
        </is>
      </c>
      <c r="AA5306" s="12">
        <f>N5306*O5306</f>
        <v/>
      </c>
    </row>
    <row r="5307">
      <c r="A5307" s="12" t="inlineStr">
        <is>
          <t>I-P-0257</t>
        </is>
      </c>
      <c r="B5307" s="12" t="inlineStr">
        <is>
          <t>I</t>
        </is>
      </c>
      <c r="C5307" s="12" t="inlineStr">
        <is>
          <t>Modular / portable power</t>
        </is>
      </c>
      <c r="D5307" s="12" t="inlineStr">
        <is>
          <t>Motor 5 of 6, 2 kW</t>
        </is>
      </c>
      <c r="E5307" s="12" t="inlineStr"/>
      <c r="F5307" s="12" t="inlineStr">
        <is>
          <t>MOD-LV 480 V board + 480 V : 13.8 kV step-up</t>
        </is>
      </c>
      <c r="G5307" s="12" t="inlineStr">
        <is>
          <t>T-MOD-1</t>
        </is>
      </c>
      <c r="H5307" s="12" t="inlineStr">
        <is>
          <t>T-MOD-1: 13.8/230 kV</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2</v>
      </c>
      <c r="R5307" s="12" t="n">
        <v>2.8</v>
      </c>
      <c r="S5307" s="12" t="inlineStr">
        <is>
          <t>Duct bank</t>
        </is>
      </c>
      <c r="T5307" s="16" t="n">
        <v>362</v>
      </c>
      <c r="U5307" s="16" t="n">
        <v>82</v>
      </c>
      <c r="V5307" s="16">
        <f>ROUNDUP((T5307+U5307+2*'Read Me'!$B$13)*(1+'Read Me'!$B$12),-1)</f>
        <v/>
      </c>
      <c r="W5307" s="16">
        <f>V5307*N5307*O5307</f>
        <v/>
      </c>
      <c r="X5307" s="12">
        <f>IF(LEFT(I5307,2)="MV",2*N5307*IF(L5307="1/C",O5307,1),0)</f>
        <v/>
      </c>
      <c r="Y5307" s="12">
        <f>IF(OR(LEFT(K5307,4)="LVAX",LEFT(K5307,6)="MV15AX",LEFT(K5307,4)="CTAX",LEFT(K5307,2)="W|"),2*N5307*O5307,0)</f>
        <v/>
      </c>
      <c r="Z5307" s="12" t="inlineStr">
        <is>
          <t>VD 0.6 %</t>
        </is>
      </c>
      <c r="AA5307" s="12">
        <f>N5307*O5307</f>
        <v/>
      </c>
    </row>
    <row r="5308">
      <c r="A5308" s="12" t="inlineStr">
        <is>
          <t>I-P-0258</t>
        </is>
      </c>
      <c r="B5308" s="12" t="inlineStr">
        <is>
          <t>I</t>
        </is>
      </c>
      <c r="C5308" s="12" t="inlineStr">
        <is>
          <t>Modular / portable power</t>
        </is>
      </c>
      <c r="D5308" s="12" t="inlineStr">
        <is>
          <t>Motor 6 of 6, 2 kW</t>
        </is>
      </c>
      <c r="E5308" s="12" t="inlineStr"/>
      <c r="F5308" s="12" t="inlineStr">
        <is>
          <t>MOD-LV 480 V board + 480 V : 13.8 kV step-up</t>
        </is>
      </c>
      <c r="G5308" s="12" t="inlineStr">
        <is>
          <t>T-MOD-1</t>
        </is>
      </c>
      <c r="H5308" s="12" t="inlineStr">
        <is>
          <t>T-MOD-1: 13.8/230 kV</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2</v>
      </c>
      <c r="R5308" s="12" t="n">
        <v>2.8</v>
      </c>
      <c r="S5308" s="12" t="inlineStr">
        <is>
          <t>Duct bank</t>
        </is>
      </c>
      <c r="T5308" s="16" t="n">
        <v>362</v>
      </c>
      <c r="U5308" s="16" t="n">
        <v>82</v>
      </c>
      <c r="V5308" s="16">
        <f>ROUNDUP((T5308+U5308+2*'Read Me'!$B$13)*(1+'Read Me'!$B$12),-1)</f>
        <v/>
      </c>
      <c r="W5308" s="16">
        <f>V5308*N5308*O5308</f>
        <v/>
      </c>
      <c r="X5308" s="12">
        <f>IF(LEFT(I5308,2)="MV",2*N5308*IF(L5308="1/C",O5308,1),0)</f>
        <v/>
      </c>
      <c r="Y5308" s="12">
        <f>IF(OR(LEFT(K5308,4)="LVAX",LEFT(K5308,6)="MV15AX",LEFT(K5308,4)="CTAX",LEFT(K5308,2)="W|"),2*N5308*O5308,0)</f>
        <v/>
      </c>
      <c r="Z5308" s="12" t="inlineStr">
        <is>
          <t>VD 0.6 %</t>
        </is>
      </c>
      <c r="AA5308" s="12">
        <f>N5308*O5308</f>
        <v/>
      </c>
    </row>
    <row r="5309">
      <c r="A5309" s="12" t="inlineStr">
        <is>
          <t>I-P-0259</t>
        </is>
      </c>
      <c r="B5309" s="12" t="inlineStr">
        <is>
          <t>I</t>
        </is>
      </c>
      <c r="C5309" s="12" t="inlineStr">
        <is>
          <t>Modular / portable power</t>
        </is>
      </c>
      <c r="D5309" s="12" t="inlineStr">
        <is>
          <t>Motor 1 of 6, 2 kW</t>
        </is>
      </c>
      <c r="E5309" s="12" t="inlineStr"/>
      <c r="F5309" s="12" t="inlineStr">
        <is>
          <t>MOD-LV 480 V board + 480 V : 13.8 kV step-up</t>
        </is>
      </c>
      <c r="G5309" s="12" t="inlineStr">
        <is>
          <t>T-MOD-2</t>
        </is>
      </c>
      <c r="H5309" s="12" t="inlineStr">
        <is>
          <t>T-MOD-2: 13.8/230 kV</t>
        </is>
      </c>
      <c r="I5309" s="12" t="inlineStr">
        <is>
          <t>LV 600 V</t>
        </is>
      </c>
      <c r="J5309" s="12" t="inlineStr">
        <is>
          <t>Type TC-ER 600 V 3/C Cu XHHW-2 + ground, PVC jacket</t>
        </is>
      </c>
      <c r="K5309" s="12" t="inlineStr">
        <is>
          <t>LV|3/C+G|8</t>
        </is>
      </c>
      <c r="L5309" s="12" t="inlineStr">
        <is>
          <t>3/C+G</t>
        </is>
      </c>
      <c r="M5309" s="12" t="inlineStr">
        <is>
          <t>8</t>
        </is>
      </c>
      <c r="N5309" s="12" t="n">
        <v>1</v>
      </c>
      <c r="O5309" s="12" t="n">
        <v>1</v>
      </c>
      <c r="P5309" s="12" t="n">
        <v>480</v>
      </c>
      <c r="Q5309" s="12" t="n">
        <v>2</v>
      </c>
      <c r="R5309" s="12" t="n">
        <v>2.8</v>
      </c>
      <c r="S5309" s="12" t="inlineStr">
        <is>
          <t>Duct bank</t>
        </is>
      </c>
      <c r="T5309" s="16" t="n">
        <v>3219</v>
      </c>
      <c r="U5309" s="16" t="n">
        <v>165</v>
      </c>
      <c r="V5309" s="16">
        <f>ROUNDUP((T5309+U5309+2*'Read Me'!$B$13)*(1+'Read Me'!$B$12),-1)</f>
        <v/>
      </c>
      <c r="W5309" s="16">
        <f>V5309*N5309*O5309</f>
        <v/>
      </c>
      <c r="X5309" s="12">
        <f>IF(LEFT(I5309,2)="MV",2*N5309*IF(L5309="1/C",O5309,1),0)</f>
        <v/>
      </c>
      <c r="Y5309" s="12">
        <f>IF(OR(LEFT(K5309,4)="LVAX",LEFT(K5309,6)="MV15AX",LEFT(K5309,4)="CTAX",LEFT(K5309,2)="W|"),2*N5309*O5309,0)</f>
        <v/>
      </c>
      <c r="Z5309" s="12" t="inlineStr">
        <is>
          <t>VD 2.9 %</t>
        </is>
      </c>
      <c r="AA5309" s="12">
        <f>N5309*O5309</f>
        <v/>
      </c>
    </row>
    <row r="5310">
      <c r="A5310" s="12" t="inlineStr">
        <is>
          <t>I-P-0260</t>
        </is>
      </c>
      <c r="B5310" s="12" t="inlineStr">
        <is>
          <t>I</t>
        </is>
      </c>
      <c r="C5310" s="12" t="inlineStr">
        <is>
          <t>Modular / portable power</t>
        </is>
      </c>
      <c r="D5310" s="12" t="inlineStr">
        <is>
          <t>Motor 2 of 6, 2 kW</t>
        </is>
      </c>
      <c r="E5310" s="12" t="inlineStr"/>
      <c r="F5310" s="12" t="inlineStr">
        <is>
          <t>MOD-LV 480 V board + 480 V : 13.8 kV step-up</t>
        </is>
      </c>
      <c r="G5310" s="12" t="inlineStr">
        <is>
          <t>T-MOD-2</t>
        </is>
      </c>
      <c r="H5310" s="12" t="inlineStr">
        <is>
          <t>T-MOD-2: 13.8/230 kV</t>
        </is>
      </c>
      <c r="I5310" s="12" t="inlineStr">
        <is>
          <t>LV 600 V</t>
        </is>
      </c>
      <c r="J5310" s="12" t="inlineStr">
        <is>
          <t>Type TC-ER 600 V 3/C Cu XHHW-2 + ground, PVC jacket</t>
        </is>
      </c>
      <c r="K5310" s="12" t="inlineStr">
        <is>
          <t>LV|3/C+G|8</t>
        </is>
      </c>
      <c r="L5310" s="12" t="inlineStr">
        <is>
          <t>3/C+G</t>
        </is>
      </c>
      <c r="M5310" s="12" t="inlineStr">
        <is>
          <t>8</t>
        </is>
      </c>
      <c r="N5310" s="12" t="n">
        <v>1</v>
      </c>
      <c r="O5310" s="12" t="n">
        <v>1</v>
      </c>
      <c r="P5310" s="12" t="n">
        <v>480</v>
      </c>
      <c r="Q5310" s="12" t="n">
        <v>2</v>
      </c>
      <c r="R5310" s="12" t="n">
        <v>2.8</v>
      </c>
      <c r="S5310" s="12" t="inlineStr">
        <is>
          <t>Duct bank</t>
        </is>
      </c>
      <c r="T5310" s="16" t="n">
        <v>3219</v>
      </c>
      <c r="U5310" s="16" t="n">
        <v>165</v>
      </c>
      <c r="V5310" s="16">
        <f>ROUNDUP((T5310+U5310+2*'Read Me'!$B$13)*(1+'Read Me'!$B$12),-1)</f>
        <v/>
      </c>
      <c r="W5310" s="16">
        <f>V5310*N5310*O5310</f>
        <v/>
      </c>
      <c r="X5310" s="12">
        <f>IF(LEFT(I5310,2)="MV",2*N5310*IF(L5310="1/C",O5310,1),0)</f>
        <v/>
      </c>
      <c r="Y5310" s="12">
        <f>IF(OR(LEFT(K5310,4)="LVAX",LEFT(K5310,6)="MV15AX",LEFT(K5310,4)="CTAX",LEFT(K5310,2)="W|"),2*N5310*O5310,0)</f>
        <v/>
      </c>
      <c r="Z5310" s="12" t="inlineStr">
        <is>
          <t>VD 2.9 %</t>
        </is>
      </c>
      <c r="AA5310" s="12">
        <f>N5310*O5310</f>
        <v/>
      </c>
    </row>
    <row r="5311">
      <c r="A5311" s="12" t="inlineStr">
        <is>
          <t>I-P-0261</t>
        </is>
      </c>
      <c r="B5311" s="12" t="inlineStr">
        <is>
          <t>I</t>
        </is>
      </c>
      <c r="C5311" s="12" t="inlineStr">
        <is>
          <t>Modular / portable power</t>
        </is>
      </c>
      <c r="D5311" s="12" t="inlineStr">
        <is>
          <t>Motor 3 of 6, 2 kW</t>
        </is>
      </c>
      <c r="E5311" s="12" t="inlineStr"/>
      <c r="F5311" s="12" t="inlineStr">
        <is>
          <t>MOD-LV 480 V board + 480 V : 13.8 kV step-up</t>
        </is>
      </c>
      <c r="G5311" s="12" t="inlineStr">
        <is>
          <t>T-MOD-2</t>
        </is>
      </c>
      <c r="H5311" s="12" t="inlineStr">
        <is>
          <t>T-MOD-2: 13.8/230 kV</t>
        </is>
      </c>
      <c r="I5311" s="12" t="inlineStr">
        <is>
          <t>LV 600 V</t>
        </is>
      </c>
      <c r="J5311" s="12" t="inlineStr">
        <is>
          <t>Type TC-ER 600 V 3/C Cu XHHW-2 + ground, PVC jacket</t>
        </is>
      </c>
      <c r="K5311" s="12" t="inlineStr">
        <is>
          <t>LV|3/C+G|8</t>
        </is>
      </c>
      <c r="L5311" s="12" t="inlineStr">
        <is>
          <t>3/C+G</t>
        </is>
      </c>
      <c r="M5311" s="12" t="inlineStr">
        <is>
          <t>8</t>
        </is>
      </c>
      <c r="N5311" s="12" t="n">
        <v>1</v>
      </c>
      <c r="O5311" s="12" t="n">
        <v>1</v>
      </c>
      <c r="P5311" s="12" t="n">
        <v>480</v>
      </c>
      <c r="Q5311" s="12" t="n">
        <v>2</v>
      </c>
      <c r="R5311" s="12" t="n">
        <v>2.8</v>
      </c>
      <c r="S5311" s="12" t="inlineStr">
        <is>
          <t>Duct bank</t>
        </is>
      </c>
      <c r="T5311" s="16" t="n">
        <v>3219</v>
      </c>
      <c r="U5311" s="16" t="n">
        <v>165</v>
      </c>
      <c r="V5311" s="16">
        <f>ROUNDUP((T5311+U5311+2*'Read Me'!$B$13)*(1+'Read Me'!$B$12),-1)</f>
        <v/>
      </c>
      <c r="W5311" s="16">
        <f>V5311*N5311*O5311</f>
        <v/>
      </c>
      <c r="X5311" s="12">
        <f>IF(LEFT(I5311,2)="MV",2*N5311*IF(L5311="1/C",O5311,1),0)</f>
        <v/>
      </c>
      <c r="Y5311" s="12">
        <f>IF(OR(LEFT(K5311,4)="LVAX",LEFT(K5311,6)="MV15AX",LEFT(K5311,4)="CTAX",LEFT(K5311,2)="W|"),2*N5311*O5311,0)</f>
        <v/>
      </c>
      <c r="Z5311" s="12" t="inlineStr">
        <is>
          <t>VD 2.9 %</t>
        </is>
      </c>
      <c r="AA5311" s="12">
        <f>N5311*O5311</f>
        <v/>
      </c>
    </row>
    <row r="5312">
      <c r="A5312" s="12" t="inlineStr">
        <is>
          <t>I-P-0262</t>
        </is>
      </c>
      <c r="B5312" s="12" t="inlineStr">
        <is>
          <t>I</t>
        </is>
      </c>
      <c r="C5312" s="12" t="inlineStr">
        <is>
          <t>Modular / portable power</t>
        </is>
      </c>
      <c r="D5312" s="12" t="inlineStr">
        <is>
          <t>Motor 4 of 6, 2 kW</t>
        </is>
      </c>
      <c r="E5312" s="12" t="inlineStr"/>
      <c r="F5312" s="12" t="inlineStr">
        <is>
          <t>MOD-LV 480 V board + 480 V : 13.8 kV step-up</t>
        </is>
      </c>
      <c r="G5312" s="12" t="inlineStr">
        <is>
          <t>T-MOD-2</t>
        </is>
      </c>
      <c r="H5312" s="12" t="inlineStr">
        <is>
          <t>T-MOD-2: 13.8/230 kV</t>
        </is>
      </c>
      <c r="I5312" s="12" t="inlineStr">
        <is>
          <t>LV 600 V</t>
        </is>
      </c>
      <c r="J5312" s="12" t="inlineStr">
        <is>
          <t>Type TC-ER 600 V 3/C Cu XHHW-2 + ground, PVC jacket</t>
        </is>
      </c>
      <c r="K5312" s="12" t="inlineStr">
        <is>
          <t>LV|3/C+G|8</t>
        </is>
      </c>
      <c r="L5312" s="12" t="inlineStr">
        <is>
          <t>3/C+G</t>
        </is>
      </c>
      <c r="M5312" s="12" t="inlineStr">
        <is>
          <t>8</t>
        </is>
      </c>
      <c r="N5312" s="12" t="n">
        <v>1</v>
      </c>
      <c r="O5312" s="12" t="n">
        <v>1</v>
      </c>
      <c r="P5312" s="12" t="n">
        <v>480</v>
      </c>
      <c r="Q5312" s="12" t="n">
        <v>2</v>
      </c>
      <c r="R5312" s="12" t="n">
        <v>2.8</v>
      </c>
      <c r="S5312" s="12" t="inlineStr">
        <is>
          <t>Duct bank</t>
        </is>
      </c>
      <c r="T5312" s="16" t="n">
        <v>3219</v>
      </c>
      <c r="U5312" s="16" t="n">
        <v>165</v>
      </c>
      <c r="V5312" s="16">
        <f>ROUNDUP((T5312+U5312+2*'Read Me'!$B$13)*(1+'Read Me'!$B$12),-1)</f>
        <v/>
      </c>
      <c r="W5312" s="16">
        <f>V5312*N5312*O5312</f>
        <v/>
      </c>
      <c r="X5312" s="12">
        <f>IF(LEFT(I5312,2)="MV",2*N5312*IF(L5312="1/C",O5312,1),0)</f>
        <v/>
      </c>
      <c r="Y5312" s="12">
        <f>IF(OR(LEFT(K5312,4)="LVAX",LEFT(K5312,6)="MV15AX",LEFT(K5312,4)="CTAX",LEFT(K5312,2)="W|"),2*N5312*O5312,0)</f>
        <v/>
      </c>
      <c r="Z5312" s="12" t="inlineStr">
        <is>
          <t>VD 2.9 %</t>
        </is>
      </c>
      <c r="AA5312" s="12">
        <f>N5312*O5312</f>
        <v/>
      </c>
    </row>
    <row r="5313">
      <c r="A5313" s="12" t="inlineStr">
        <is>
          <t>I-P-0263</t>
        </is>
      </c>
      <c r="B5313" s="12" t="inlineStr">
        <is>
          <t>I</t>
        </is>
      </c>
      <c r="C5313" s="12" t="inlineStr">
        <is>
          <t>Modular / portable power</t>
        </is>
      </c>
      <c r="D5313" s="12" t="inlineStr">
        <is>
          <t>Motor 5 of 6, 2 kW</t>
        </is>
      </c>
      <c r="E5313" s="12" t="inlineStr"/>
      <c r="F5313" s="12" t="inlineStr">
        <is>
          <t>MOD-LV 480 V board + 480 V : 13.8 kV step-up</t>
        </is>
      </c>
      <c r="G5313" s="12" t="inlineStr">
        <is>
          <t>T-MOD-2</t>
        </is>
      </c>
      <c r="H5313" s="12" t="inlineStr">
        <is>
          <t>T-MOD-2: 13.8/230 kV</t>
        </is>
      </c>
      <c r="I5313" s="12" t="inlineStr">
        <is>
          <t>LV 600 V</t>
        </is>
      </c>
      <c r="J5313" s="12" t="inlineStr">
        <is>
          <t>Type TC-ER 600 V 3/C Cu XHHW-2 + ground, PVC jacket</t>
        </is>
      </c>
      <c r="K5313" s="12" t="inlineStr">
        <is>
          <t>LV|3/C+G|8</t>
        </is>
      </c>
      <c r="L5313" s="12" t="inlineStr">
        <is>
          <t>3/C+G</t>
        </is>
      </c>
      <c r="M5313" s="12" t="inlineStr">
        <is>
          <t>8</t>
        </is>
      </c>
      <c r="N5313" s="12" t="n">
        <v>1</v>
      </c>
      <c r="O5313" s="12" t="n">
        <v>1</v>
      </c>
      <c r="P5313" s="12" t="n">
        <v>480</v>
      </c>
      <c r="Q5313" s="12" t="n">
        <v>2</v>
      </c>
      <c r="R5313" s="12" t="n">
        <v>2.8</v>
      </c>
      <c r="S5313" s="12" t="inlineStr">
        <is>
          <t>Duct bank</t>
        </is>
      </c>
      <c r="T5313" s="16" t="n">
        <v>3219</v>
      </c>
      <c r="U5313" s="16" t="n">
        <v>165</v>
      </c>
      <c r="V5313" s="16">
        <f>ROUNDUP((T5313+U5313+2*'Read Me'!$B$13)*(1+'Read Me'!$B$12),-1)</f>
        <v/>
      </c>
      <c r="W5313" s="16">
        <f>V5313*N5313*O5313</f>
        <v/>
      </c>
      <c r="X5313" s="12">
        <f>IF(LEFT(I5313,2)="MV",2*N5313*IF(L5313="1/C",O5313,1),0)</f>
        <v/>
      </c>
      <c r="Y5313" s="12">
        <f>IF(OR(LEFT(K5313,4)="LVAX",LEFT(K5313,6)="MV15AX",LEFT(K5313,4)="CTAX",LEFT(K5313,2)="W|"),2*N5313*O5313,0)</f>
        <v/>
      </c>
      <c r="Z5313" s="12" t="inlineStr">
        <is>
          <t>VD 2.9 %</t>
        </is>
      </c>
      <c r="AA5313" s="12">
        <f>N5313*O5313</f>
        <v/>
      </c>
    </row>
    <row r="5314">
      <c r="A5314" s="12" t="inlineStr">
        <is>
          <t>I-P-0264</t>
        </is>
      </c>
      <c r="B5314" s="12" t="inlineStr">
        <is>
          <t>I</t>
        </is>
      </c>
      <c r="C5314" s="12" t="inlineStr">
        <is>
          <t>Modular / portable power</t>
        </is>
      </c>
      <c r="D5314" s="12" t="inlineStr">
        <is>
          <t>Motor 6 of 6, 2 kW</t>
        </is>
      </c>
      <c r="E5314" s="12" t="inlineStr"/>
      <c r="F5314" s="12" t="inlineStr">
        <is>
          <t>MOD-LV 480 V board + 480 V : 13.8 kV step-up</t>
        </is>
      </c>
      <c r="G5314" s="12" t="inlineStr">
        <is>
          <t>T-MOD-2</t>
        </is>
      </c>
      <c r="H5314" s="12" t="inlineStr">
        <is>
          <t>T-MOD-2: 13.8/230 kV</t>
        </is>
      </c>
      <c r="I5314" s="12" t="inlineStr">
        <is>
          <t>LV 600 V</t>
        </is>
      </c>
      <c r="J5314" s="12" t="inlineStr">
        <is>
          <t>Type TC-ER 600 V 3/C Cu XHHW-2 + ground, PVC jacket</t>
        </is>
      </c>
      <c r="K5314" s="12" t="inlineStr">
        <is>
          <t>LV|3/C+G|8</t>
        </is>
      </c>
      <c r="L5314" s="12" t="inlineStr">
        <is>
          <t>3/C+G</t>
        </is>
      </c>
      <c r="M5314" s="12" t="inlineStr">
        <is>
          <t>8</t>
        </is>
      </c>
      <c r="N5314" s="12" t="n">
        <v>1</v>
      </c>
      <c r="O5314" s="12" t="n">
        <v>1</v>
      </c>
      <c r="P5314" s="12" t="n">
        <v>480</v>
      </c>
      <c r="Q5314" s="12" t="n">
        <v>2</v>
      </c>
      <c r="R5314" s="12" t="n">
        <v>2.8</v>
      </c>
      <c r="S5314" s="12" t="inlineStr">
        <is>
          <t>Duct bank</t>
        </is>
      </c>
      <c r="T5314" s="16" t="n">
        <v>3219</v>
      </c>
      <c r="U5314" s="16" t="n">
        <v>165</v>
      </c>
      <c r="V5314" s="16">
        <f>ROUNDUP((T5314+U5314+2*'Read Me'!$B$13)*(1+'Read Me'!$B$12),-1)</f>
        <v/>
      </c>
      <c r="W5314" s="16">
        <f>V5314*N5314*O5314</f>
        <v/>
      </c>
      <c r="X5314" s="12">
        <f>IF(LEFT(I5314,2)="MV",2*N5314*IF(L5314="1/C",O5314,1),0)</f>
        <v/>
      </c>
      <c r="Y5314" s="12">
        <f>IF(OR(LEFT(K5314,4)="LVAX",LEFT(K5314,6)="MV15AX",LEFT(K5314,4)="CTAX",LEFT(K5314,2)="W|"),2*N5314*O5314,0)</f>
        <v/>
      </c>
      <c r="Z5314" s="12" t="inlineStr">
        <is>
          <t>VD 2.9 %</t>
        </is>
      </c>
      <c r="AA5314" s="12">
        <f>N5314*O5314</f>
        <v/>
      </c>
    </row>
    <row r="5315">
      <c r="A5315" s="12" t="inlineStr">
        <is>
          <t>I-P-0265</t>
        </is>
      </c>
      <c r="B5315" s="12" t="inlineStr">
        <is>
          <t>I</t>
        </is>
      </c>
      <c r="C5315" s="12" t="inlineStr">
        <is>
          <t>Modular / portable power</t>
        </is>
      </c>
      <c r="D5315" s="12" t="inlineStr">
        <is>
          <t>Motor 1 of 6, 22 kW</t>
        </is>
      </c>
      <c r="E5315" s="12" t="inlineStr"/>
      <c r="F5315" s="12" t="inlineStr">
        <is>
          <t>MOD-LV 480 V board + 480 V : 13.8 kV step-up</t>
        </is>
      </c>
      <c r="G5315" s="12" t="inlineStr">
        <is>
          <t>TM-1</t>
        </is>
      </c>
      <c r="H5315" s="12" t="inlineStr">
        <is>
          <t>TM-1: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3178</v>
      </c>
      <c r="U5315" s="16" t="n">
        <v>68</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I-P-0266</t>
        </is>
      </c>
      <c r="B5316" s="12" t="inlineStr">
        <is>
          <t>I</t>
        </is>
      </c>
      <c r="C5316" s="12" t="inlineStr">
        <is>
          <t>Modular / portable power</t>
        </is>
      </c>
      <c r="D5316" s="12" t="inlineStr">
        <is>
          <t>Motor 2 of 6, 22 kW</t>
        </is>
      </c>
      <c r="E5316" s="12" t="inlineStr"/>
      <c r="F5316" s="12" t="inlineStr">
        <is>
          <t>MOD-LV 480 V board + 480 V : 13.8 kV step-up</t>
        </is>
      </c>
      <c r="G5316" s="12" t="inlineStr">
        <is>
          <t>TM-1</t>
        </is>
      </c>
      <c r="H5316" s="12" t="inlineStr">
        <is>
          <t>TM-1: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3178</v>
      </c>
      <c r="U5316" s="16" t="n">
        <v>68</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I-P-0267</t>
        </is>
      </c>
      <c r="B5317" s="12" t="inlineStr">
        <is>
          <t>I</t>
        </is>
      </c>
      <c r="C5317" s="12" t="inlineStr">
        <is>
          <t>Modular / portable power</t>
        </is>
      </c>
      <c r="D5317" s="12" t="inlineStr">
        <is>
          <t>Motor 3 of 6, 22 kW</t>
        </is>
      </c>
      <c r="E5317" s="12" t="inlineStr"/>
      <c r="F5317" s="12" t="inlineStr">
        <is>
          <t>MOD-LV 480 V board + 480 V : 13.8 kV step-up</t>
        </is>
      </c>
      <c r="G5317" s="12" t="inlineStr">
        <is>
          <t>TM-1</t>
        </is>
      </c>
      <c r="H5317" s="12" t="inlineStr">
        <is>
          <t>TM-1: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3178</v>
      </c>
      <c r="U5317" s="16" t="n">
        <v>68</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I-P-0268</t>
        </is>
      </c>
      <c r="B5318" s="12" t="inlineStr">
        <is>
          <t>I</t>
        </is>
      </c>
      <c r="C5318" s="12" t="inlineStr">
        <is>
          <t>Modular / portable power</t>
        </is>
      </c>
      <c r="D5318" s="12" t="inlineStr">
        <is>
          <t>Motor 4 of 6, 22 kW</t>
        </is>
      </c>
      <c r="E5318" s="12" t="inlineStr"/>
      <c r="F5318" s="12" t="inlineStr">
        <is>
          <t>MOD-LV 480 V board + 480 V : 13.8 kV step-up</t>
        </is>
      </c>
      <c r="G5318" s="12" t="inlineStr">
        <is>
          <t>TM-1</t>
        </is>
      </c>
      <c r="H5318" s="12" t="inlineStr">
        <is>
          <t>TM-1: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3178</v>
      </c>
      <c r="U5318" s="16" t="n">
        <v>68</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I-P-0269</t>
        </is>
      </c>
      <c r="B5319" s="12" t="inlineStr">
        <is>
          <t>I</t>
        </is>
      </c>
      <c r="C5319" s="12" t="inlineStr">
        <is>
          <t>Modular / portable power</t>
        </is>
      </c>
      <c r="D5319" s="12" t="inlineStr">
        <is>
          <t>Motor 5 of 6, 22 kW</t>
        </is>
      </c>
      <c r="E5319" s="12" t="inlineStr"/>
      <c r="F5319" s="12" t="inlineStr">
        <is>
          <t>MOD-LV 480 V board + 480 V : 13.8 kV step-up</t>
        </is>
      </c>
      <c r="G5319" s="12" t="inlineStr">
        <is>
          <t>TM-1</t>
        </is>
      </c>
      <c r="H5319" s="12" t="inlineStr">
        <is>
          <t>TM-1: trailer-mounted aeroderivative GT (TM2500 class, ~35 MW)</t>
        </is>
      </c>
      <c r="I5319" s="12" t="inlineStr">
        <is>
          <t>LV 600 V</t>
        </is>
      </c>
      <c r="J5319" s="12" t="inlineStr">
        <is>
          <t>Type TC-ER 600 V 3/C Cu XHHW-2 + ground, PVC jacket</t>
        </is>
      </c>
      <c r="K5319" s="12" t="inlineStr">
        <is>
          <t>LV|3/C+G|4/0</t>
        </is>
      </c>
      <c r="L5319" s="12" t="inlineStr">
        <is>
          <t>3/C+G</t>
        </is>
      </c>
      <c r="M5319" s="12" t="inlineStr">
        <is>
          <t>4/0</t>
        </is>
      </c>
      <c r="N5319" s="12" t="n">
        <v>1</v>
      </c>
      <c r="O5319" s="12" t="n">
        <v>1</v>
      </c>
      <c r="P5319" s="12" t="n">
        <v>480</v>
      </c>
      <c r="Q5319" s="12" t="n">
        <v>22</v>
      </c>
      <c r="R5319" s="12" t="n">
        <v>31.1</v>
      </c>
      <c r="S5319" s="12" t="inlineStr">
        <is>
          <t>Duct bank</t>
        </is>
      </c>
      <c r="T5319" s="16" t="n">
        <v>3178</v>
      </c>
      <c r="U5319" s="16" t="n">
        <v>68</v>
      </c>
      <c r="V5319" s="16">
        <f>ROUNDUP((T5319+U5319+2*'Read Me'!$B$13)*(1+'Read Me'!$B$12),-1)</f>
        <v/>
      </c>
      <c r="W5319" s="16">
        <f>V5319*N5319*O5319</f>
        <v/>
      </c>
      <c r="X5319" s="12">
        <f>IF(LEFT(I5319,2)="MV",2*N5319*IF(L5319="1/C",O5319,1),0)</f>
        <v/>
      </c>
      <c r="Y5319" s="12">
        <f>IF(OR(LEFT(K5319,4)="LVAX",LEFT(K5319,6)="MV15AX",LEFT(K5319,4)="CTAX",LEFT(K5319,2)="W|"),2*N5319*O5319,0)</f>
        <v/>
      </c>
      <c r="Z5319" s="12" t="inlineStr">
        <is>
          <t>VD 2.4 %</t>
        </is>
      </c>
      <c r="AA5319" s="12">
        <f>N5319*O5319</f>
        <v/>
      </c>
    </row>
    <row r="5320">
      <c r="A5320" s="12" t="inlineStr">
        <is>
          <t>I-P-0270</t>
        </is>
      </c>
      <c r="B5320" s="12" t="inlineStr">
        <is>
          <t>I</t>
        </is>
      </c>
      <c r="C5320" s="12" t="inlineStr">
        <is>
          <t>Modular / portable power</t>
        </is>
      </c>
      <c r="D5320" s="12" t="inlineStr">
        <is>
          <t>Motor 6 of 6, 22 kW</t>
        </is>
      </c>
      <c r="E5320" s="12" t="inlineStr"/>
      <c r="F5320" s="12" t="inlineStr">
        <is>
          <t>MOD-LV 480 V board + 480 V : 13.8 kV step-up</t>
        </is>
      </c>
      <c r="G5320" s="12" t="inlineStr">
        <is>
          <t>TM-1</t>
        </is>
      </c>
      <c r="H5320" s="12" t="inlineStr">
        <is>
          <t>TM-1: trailer-mounted aeroderivative GT (TM2500 class, ~35 MW)</t>
        </is>
      </c>
      <c r="I5320" s="12" t="inlineStr">
        <is>
          <t>LV 600 V</t>
        </is>
      </c>
      <c r="J5320" s="12" t="inlineStr">
        <is>
          <t>Type TC-ER 600 V 3/C Cu XHHW-2 + ground, PVC jacket</t>
        </is>
      </c>
      <c r="K5320" s="12" t="inlineStr">
        <is>
          <t>LV|3/C+G|4/0</t>
        </is>
      </c>
      <c r="L5320" s="12" t="inlineStr">
        <is>
          <t>3/C+G</t>
        </is>
      </c>
      <c r="M5320" s="12" t="inlineStr">
        <is>
          <t>4/0</t>
        </is>
      </c>
      <c r="N5320" s="12" t="n">
        <v>1</v>
      </c>
      <c r="O5320" s="12" t="n">
        <v>1</v>
      </c>
      <c r="P5320" s="12" t="n">
        <v>480</v>
      </c>
      <c r="Q5320" s="12" t="n">
        <v>22</v>
      </c>
      <c r="R5320" s="12" t="n">
        <v>31.1</v>
      </c>
      <c r="S5320" s="12" t="inlineStr">
        <is>
          <t>Duct bank</t>
        </is>
      </c>
      <c r="T5320" s="16" t="n">
        <v>3178</v>
      </c>
      <c r="U5320" s="16" t="n">
        <v>68</v>
      </c>
      <c r="V5320" s="16">
        <f>ROUNDUP((T5320+U5320+2*'Read Me'!$B$13)*(1+'Read Me'!$B$12),-1)</f>
        <v/>
      </c>
      <c r="W5320" s="16">
        <f>V5320*N5320*O5320</f>
        <v/>
      </c>
      <c r="X5320" s="12">
        <f>IF(LEFT(I5320,2)="MV",2*N5320*IF(L5320="1/C",O5320,1),0)</f>
        <v/>
      </c>
      <c r="Y5320" s="12">
        <f>IF(OR(LEFT(K5320,4)="LVAX",LEFT(K5320,6)="MV15AX",LEFT(K5320,4)="CTAX",LEFT(K5320,2)="W|"),2*N5320*O5320,0)</f>
        <v/>
      </c>
      <c r="Z5320" s="12" t="inlineStr">
        <is>
          <t>VD 2.4 %</t>
        </is>
      </c>
      <c r="AA5320" s="12">
        <f>N5320*O5320</f>
        <v/>
      </c>
    </row>
    <row r="5321">
      <c r="A5321" s="12" t="inlineStr">
        <is>
          <t>I-P-0271</t>
        </is>
      </c>
      <c r="B5321" s="12" t="inlineStr">
        <is>
          <t>I</t>
        </is>
      </c>
      <c r="C5321" s="12" t="inlineStr">
        <is>
          <t>Modular / portable power</t>
        </is>
      </c>
      <c r="D5321" s="12" t="inlineStr">
        <is>
          <t>Motor 1 of 6, 22 kW</t>
        </is>
      </c>
      <c r="E5321" s="12" t="inlineStr"/>
      <c r="F5321" s="12" t="inlineStr">
        <is>
          <t>MOD-LV 480 V board + 480 V : 13.8 kV step-up</t>
        </is>
      </c>
      <c r="G5321" s="12" t="inlineStr">
        <is>
          <t>TM-2</t>
        </is>
      </c>
      <c r="H5321" s="12" t="inlineStr">
        <is>
          <t>TM-2: trailer-mounted aeroderivative GT (TM2500 class, ~35 MW)</t>
        </is>
      </c>
      <c r="I5321" s="12" t="inlineStr">
        <is>
          <t>LV 600 V</t>
        </is>
      </c>
      <c r="J5321" s="12" t="inlineStr">
        <is>
          <t>Type TC-ER 600 V 3/C Cu XHHW-2 + ground, PVC jacket</t>
        </is>
      </c>
      <c r="K5321" s="12" t="inlineStr">
        <is>
          <t>LV|3/C+G|4/0</t>
        </is>
      </c>
      <c r="L5321" s="12" t="inlineStr">
        <is>
          <t>3/C+G</t>
        </is>
      </c>
      <c r="M5321" s="12" t="inlineStr">
        <is>
          <t>4/0</t>
        </is>
      </c>
      <c r="N5321" s="12" t="n">
        <v>1</v>
      </c>
      <c r="O5321" s="12" t="n">
        <v>1</v>
      </c>
      <c r="P5321" s="12" t="n">
        <v>480</v>
      </c>
      <c r="Q5321" s="12" t="n">
        <v>22</v>
      </c>
      <c r="R5321" s="12" t="n">
        <v>31.1</v>
      </c>
      <c r="S5321" s="12" t="inlineStr">
        <is>
          <t>Duct bank</t>
        </is>
      </c>
      <c r="T5321" s="16" t="n">
        <v>3178</v>
      </c>
      <c r="U5321" s="16" t="n">
        <v>74</v>
      </c>
      <c r="V5321" s="16">
        <f>ROUNDUP((T5321+U5321+2*'Read Me'!$B$13)*(1+'Read Me'!$B$12),-1)</f>
        <v/>
      </c>
      <c r="W5321" s="16">
        <f>V5321*N5321*O5321</f>
        <v/>
      </c>
      <c r="X5321" s="12">
        <f>IF(LEFT(I5321,2)="MV",2*N5321*IF(L5321="1/C",O5321,1),0)</f>
        <v/>
      </c>
      <c r="Y5321" s="12">
        <f>IF(OR(LEFT(K5321,4)="LVAX",LEFT(K5321,6)="MV15AX",LEFT(K5321,4)="CTAX",LEFT(K5321,2)="W|"),2*N5321*O5321,0)</f>
        <v/>
      </c>
      <c r="Z5321" s="12" t="inlineStr">
        <is>
          <t>VD 2.4 %</t>
        </is>
      </c>
      <c r="AA5321" s="12">
        <f>N5321*O5321</f>
        <v/>
      </c>
    </row>
    <row r="5322">
      <c r="A5322" s="12" t="inlineStr">
        <is>
          <t>I-P-0272</t>
        </is>
      </c>
      <c r="B5322" s="12" t="inlineStr">
        <is>
          <t>I</t>
        </is>
      </c>
      <c r="C5322" s="12" t="inlineStr">
        <is>
          <t>Modular / portable power</t>
        </is>
      </c>
      <c r="D5322" s="12" t="inlineStr">
        <is>
          <t>Motor 2 of 6, 22 kW</t>
        </is>
      </c>
      <c r="E5322" s="12" t="inlineStr"/>
      <c r="F5322" s="12" t="inlineStr">
        <is>
          <t>MOD-LV 480 V board + 480 V : 13.8 kV step-up</t>
        </is>
      </c>
      <c r="G5322" s="12" t="inlineStr">
        <is>
          <t>TM-2</t>
        </is>
      </c>
      <c r="H5322" s="12" t="inlineStr">
        <is>
          <t>TM-2: trailer-mounted aeroderivative GT (TM2500 class, ~35 MW)</t>
        </is>
      </c>
      <c r="I5322" s="12" t="inlineStr">
        <is>
          <t>LV 600 V</t>
        </is>
      </c>
      <c r="J5322" s="12" t="inlineStr">
        <is>
          <t>Type TC-ER 600 V 3/C Cu XHHW-2 + ground, PVC jacket</t>
        </is>
      </c>
      <c r="K5322" s="12" t="inlineStr">
        <is>
          <t>LV|3/C+G|4/0</t>
        </is>
      </c>
      <c r="L5322" s="12" t="inlineStr">
        <is>
          <t>3/C+G</t>
        </is>
      </c>
      <c r="M5322" s="12" t="inlineStr">
        <is>
          <t>4/0</t>
        </is>
      </c>
      <c r="N5322" s="12" t="n">
        <v>1</v>
      </c>
      <c r="O5322" s="12" t="n">
        <v>1</v>
      </c>
      <c r="P5322" s="12" t="n">
        <v>480</v>
      </c>
      <c r="Q5322" s="12" t="n">
        <v>22</v>
      </c>
      <c r="R5322" s="12" t="n">
        <v>31.1</v>
      </c>
      <c r="S5322" s="12" t="inlineStr">
        <is>
          <t>Duct bank</t>
        </is>
      </c>
      <c r="T5322" s="16" t="n">
        <v>3178</v>
      </c>
      <c r="U5322" s="16" t="n">
        <v>74</v>
      </c>
      <c r="V5322" s="16">
        <f>ROUNDUP((T5322+U5322+2*'Read Me'!$B$13)*(1+'Read Me'!$B$12),-1)</f>
        <v/>
      </c>
      <c r="W5322" s="16">
        <f>V5322*N5322*O5322</f>
        <v/>
      </c>
      <c r="X5322" s="12">
        <f>IF(LEFT(I5322,2)="MV",2*N5322*IF(L5322="1/C",O5322,1),0)</f>
        <v/>
      </c>
      <c r="Y5322" s="12">
        <f>IF(OR(LEFT(K5322,4)="LVAX",LEFT(K5322,6)="MV15AX",LEFT(K5322,4)="CTAX",LEFT(K5322,2)="W|"),2*N5322*O5322,0)</f>
        <v/>
      </c>
      <c r="Z5322" s="12" t="inlineStr">
        <is>
          <t>VD 2.4 %</t>
        </is>
      </c>
      <c r="AA5322" s="12">
        <f>N5322*O5322</f>
        <v/>
      </c>
    </row>
    <row r="5323">
      <c r="A5323" s="12" t="inlineStr">
        <is>
          <t>I-P-0273</t>
        </is>
      </c>
      <c r="B5323" s="12" t="inlineStr">
        <is>
          <t>I</t>
        </is>
      </c>
      <c r="C5323" s="12" t="inlineStr">
        <is>
          <t>Modular / portable power</t>
        </is>
      </c>
      <c r="D5323" s="12" t="inlineStr">
        <is>
          <t>Motor 3 of 6, 22 kW</t>
        </is>
      </c>
      <c r="E5323" s="12" t="inlineStr"/>
      <c r="F5323" s="12" t="inlineStr">
        <is>
          <t>MOD-LV 480 V board + 480 V : 13.8 kV step-up</t>
        </is>
      </c>
      <c r="G5323" s="12" t="inlineStr">
        <is>
          <t>TM-2</t>
        </is>
      </c>
      <c r="H5323" s="12" t="inlineStr">
        <is>
          <t>TM-2: trailer-mounted aeroderivative GT (TM2500 class, ~35 MW)</t>
        </is>
      </c>
      <c r="I5323" s="12" t="inlineStr">
        <is>
          <t>LV 600 V</t>
        </is>
      </c>
      <c r="J5323" s="12" t="inlineStr">
        <is>
          <t>Type TC-ER 600 V 3/C Cu XHHW-2 + ground, PVC jacket</t>
        </is>
      </c>
      <c r="K5323" s="12" t="inlineStr">
        <is>
          <t>LV|3/C+G|4/0</t>
        </is>
      </c>
      <c r="L5323" s="12" t="inlineStr">
        <is>
          <t>3/C+G</t>
        </is>
      </c>
      <c r="M5323" s="12" t="inlineStr">
        <is>
          <t>4/0</t>
        </is>
      </c>
      <c r="N5323" s="12" t="n">
        <v>1</v>
      </c>
      <c r="O5323" s="12" t="n">
        <v>1</v>
      </c>
      <c r="P5323" s="12" t="n">
        <v>480</v>
      </c>
      <c r="Q5323" s="12" t="n">
        <v>22</v>
      </c>
      <c r="R5323" s="12" t="n">
        <v>31.1</v>
      </c>
      <c r="S5323" s="12" t="inlineStr">
        <is>
          <t>Duct bank</t>
        </is>
      </c>
      <c r="T5323" s="16" t="n">
        <v>3178</v>
      </c>
      <c r="U5323" s="16" t="n">
        <v>74</v>
      </c>
      <c r="V5323" s="16">
        <f>ROUNDUP((T5323+U5323+2*'Read Me'!$B$13)*(1+'Read Me'!$B$12),-1)</f>
        <v/>
      </c>
      <c r="W5323" s="16">
        <f>V5323*N5323*O5323</f>
        <v/>
      </c>
      <c r="X5323" s="12">
        <f>IF(LEFT(I5323,2)="MV",2*N5323*IF(L5323="1/C",O5323,1),0)</f>
        <v/>
      </c>
      <c r="Y5323" s="12">
        <f>IF(OR(LEFT(K5323,4)="LVAX",LEFT(K5323,6)="MV15AX",LEFT(K5323,4)="CTAX",LEFT(K5323,2)="W|"),2*N5323*O5323,0)</f>
        <v/>
      </c>
      <c r="Z5323" s="12" t="inlineStr">
        <is>
          <t>VD 2.4 %</t>
        </is>
      </c>
      <c r="AA5323" s="12">
        <f>N5323*O5323</f>
        <v/>
      </c>
    </row>
    <row r="5324">
      <c r="A5324" s="12" t="inlineStr">
        <is>
          <t>I-P-0274</t>
        </is>
      </c>
      <c r="B5324" s="12" t="inlineStr">
        <is>
          <t>I</t>
        </is>
      </c>
      <c r="C5324" s="12" t="inlineStr">
        <is>
          <t>Modular / portable power</t>
        </is>
      </c>
      <c r="D5324" s="12" t="inlineStr">
        <is>
          <t>Motor 4 of 6, 22 kW</t>
        </is>
      </c>
      <c r="E5324" s="12" t="inlineStr"/>
      <c r="F5324" s="12" t="inlineStr">
        <is>
          <t>MOD-LV 480 V board + 480 V : 13.8 kV step-up</t>
        </is>
      </c>
      <c r="G5324" s="12" t="inlineStr">
        <is>
          <t>TM-2</t>
        </is>
      </c>
      <c r="H5324" s="12" t="inlineStr">
        <is>
          <t>TM-2: trailer-mounted aeroderivative GT (TM2500 class, ~35 MW)</t>
        </is>
      </c>
      <c r="I5324" s="12" t="inlineStr">
        <is>
          <t>LV 600 V</t>
        </is>
      </c>
      <c r="J5324" s="12" t="inlineStr">
        <is>
          <t>Type TC-ER 600 V 3/C Cu XHHW-2 + ground, PVC jacket</t>
        </is>
      </c>
      <c r="K5324" s="12" t="inlineStr">
        <is>
          <t>LV|3/C+G|4/0</t>
        </is>
      </c>
      <c r="L5324" s="12" t="inlineStr">
        <is>
          <t>3/C+G</t>
        </is>
      </c>
      <c r="M5324" s="12" t="inlineStr">
        <is>
          <t>4/0</t>
        </is>
      </c>
      <c r="N5324" s="12" t="n">
        <v>1</v>
      </c>
      <c r="O5324" s="12" t="n">
        <v>1</v>
      </c>
      <c r="P5324" s="12" t="n">
        <v>480</v>
      </c>
      <c r="Q5324" s="12" t="n">
        <v>22</v>
      </c>
      <c r="R5324" s="12" t="n">
        <v>31.1</v>
      </c>
      <c r="S5324" s="12" t="inlineStr">
        <is>
          <t>Duct bank</t>
        </is>
      </c>
      <c r="T5324" s="16" t="n">
        <v>3178</v>
      </c>
      <c r="U5324" s="16" t="n">
        <v>74</v>
      </c>
      <c r="V5324" s="16">
        <f>ROUNDUP((T5324+U5324+2*'Read Me'!$B$13)*(1+'Read Me'!$B$12),-1)</f>
        <v/>
      </c>
      <c r="W5324" s="16">
        <f>V5324*N5324*O5324</f>
        <v/>
      </c>
      <c r="X5324" s="12">
        <f>IF(LEFT(I5324,2)="MV",2*N5324*IF(L5324="1/C",O5324,1),0)</f>
        <v/>
      </c>
      <c r="Y5324" s="12">
        <f>IF(OR(LEFT(K5324,4)="LVAX",LEFT(K5324,6)="MV15AX",LEFT(K5324,4)="CTAX",LEFT(K5324,2)="W|"),2*N5324*O5324,0)</f>
        <v/>
      </c>
      <c r="Z5324" s="12" t="inlineStr">
        <is>
          <t>VD 2.4 %</t>
        </is>
      </c>
      <c r="AA5324" s="12">
        <f>N5324*O5324</f>
        <v/>
      </c>
    </row>
    <row r="5325">
      <c r="A5325" s="12" t="inlineStr">
        <is>
          <t>I-P-0275</t>
        </is>
      </c>
      <c r="B5325" s="12" t="inlineStr">
        <is>
          <t>I</t>
        </is>
      </c>
      <c r="C5325" s="12" t="inlineStr">
        <is>
          <t>Modular / portable power</t>
        </is>
      </c>
      <c r="D5325" s="12" t="inlineStr">
        <is>
          <t>Motor 5 of 6, 22 kW</t>
        </is>
      </c>
      <c r="E5325" s="12" t="inlineStr"/>
      <c r="F5325" s="12" t="inlineStr">
        <is>
          <t>MOD-LV 480 V board + 480 V : 13.8 kV step-up</t>
        </is>
      </c>
      <c r="G5325" s="12" t="inlineStr">
        <is>
          <t>TM-2</t>
        </is>
      </c>
      <c r="H5325" s="12" t="inlineStr">
        <is>
          <t>TM-2: trailer-mounted aeroderivative GT (TM2500 class, ~35 MW)</t>
        </is>
      </c>
      <c r="I5325" s="12" t="inlineStr">
        <is>
          <t>LV 600 V</t>
        </is>
      </c>
      <c r="J5325" s="12" t="inlineStr">
        <is>
          <t>Type TC-ER 600 V 3/C Cu XHHW-2 + ground, PVC jacket</t>
        </is>
      </c>
      <c r="K5325" s="12" t="inlineStr">
        <is>
          <t>LV|3/C+G|4/0</t>
        </is>
      </c>
      <c r="L5325" s="12" t="inlineStr">
        <is>
          <t>3/C+G</t>
        </is>
      </c>
      <c r="M5325" s="12" t="inlineStr">
        <is>
          <t>4/0</t>
        </is>
      </c>
      <c r="N5325" s="12" t="n">
        <v>1</v>
      </c>
      <c r="O5325" s="12" t="n">
        <v>1</v>
      </c>
      <c r="P5325" s="12" t="n">
        <v>480</v>
      </c>
      <c r="Q5325" s="12" t="n">
        <v>22</v>
      </c>
      <c r="R5325" s="12" t="n">
        <v>31.1</v>
      </c>
      <c r="S5325" s="12" t="inlineStr">
        <is>
          <t>Duct bank</t>
        </is>
      </c>
      <c r="T5325" s="16" t="n">
        <v>3178</v>
      </c>
      <c r="U5325" s="16" t="n">
        <v>74</v>
      </c>
      <c r="V5325" s="16">
        <f>ROUNDUP((T5325+U5325+2*'Read Me'!$B$13)*(1+'Read Me'!$B$12),-1)</f>
        <v/>
      </c>
      <c r="W5325" s="16">
        <f>V5325*N5325*O5325</f>
        <v/>
      </c>
      <c r="X5325" s="12">
        <f>IF(LEFT(I5325,2)="MV",2*N5325*IF(L5325="1/C",O5325,1),0)</f>
        <v/>
      </c>
      <c r="Y5325" s="12">
        <f>IF(OR(LEFT(K5325,4)="LVAX",LEFT(K5325,6)="MV15AX",LEFT(K5325,4)="CTAX",LEFT(K5325,2)="W|"),2*N5325*O5325,0)</f>
        <v/>
      </c>
      <c r="Z5325" s="12" t="inlineStr">
        <is>
          <t>VD 2.4 %</t>
        </is>
      </c>
      <c r="AA5325" s="12">
        <f>N5325*O5325</f>
        <v/>
      </c>
    </row>
    <row r="5326">
      <c r="A5326" s="12" t="inlineStr">
        <is>
          <t>I-P-0276</t>
        </is>
      </c>
      <c r="B5326" s="12" t="inlineStr">
        <is>
          <t>I</t>
        </is>
      </c>
      <c r="C5326" s="12" t="inlineStr">
        <is>
          <t>Modular / portable power</t>
        </is>
      </c>
      <c r="D5326" s="12" t="inlineStr">
        <is>
          <t>Motor 6 of 6, 22 kW</t>
        </is>
      </c>
      <c r="E5326" s="12" t="inlineStr"/>
      <c r="F5326" s="12" t="inlineStr">
        <is>
          <t>MOD-LV 480 V board + 480 V : 13.8 kV step-up</t>
        </is>
      </c>
      <c r="G5326" s="12" t="inlineStr">
        <is>
          <t>TM-2</t>
        </is>
      </c>
      <c r="H5326" s="12" t="inlineStr">
        <is>
          <t>TM-2: trailer-mounted aeroderivative GT (TM2500 class, ~35 MW)</t>
        </is>
      </c>
      <c r="I5326" s="12" t="inlineStr">
        <is>
          <t>LV 600 V</t>
        </is>
      </c>
      <c r="J5326" s="12" t="inlineStr">
        <is>
          <t>Type TC-ER 600 V 3/C Cu XHHW-2 + ground, PVC jacket</t>
        </is>
      </c>
      <c r="K5326" s="12" t="inlineStr">
        <is>
          <t>LV|3/C+G|4/0</t>
        </is>
      </c>
      <c r="L5326" s="12" t="inlineStr">
        <is>
          <t>3/C+G</t>
        </is>
      </c>
      <c r="M5326" s="12" t="inlineStr">
        <is>
          <t>4/0</t>
        </is>
      </c>
      <c r="N5326" s="12" t="n">
        <v>1</v>
      </c>
      <c r="O5326" s="12" t="n">
        <v>1</v>
      </c>
      <c r="P5326" s="12" t="n">
        <v>480</v>
      </c>
      <c r="Q5326" s="12" t="n">
        <v>22</v>
      </c>
      <c r="R5326" s="12" t="n">
        <v>31.1</v>
      </c>
      <c r="S5326" s="12" t="inlineStr">
        <is>
          <t>Duct bank</t>
        </is>
      </c>
      <c r="T5326" s="16" t="n">
        <v>3178</v>
      </c>
      <c r="U5326" s="16" t="n">
        <v>74</v>
      </c>
      <c r="V5326" s="16">
        <f>ROUNDUP((T5326+U5326+2*'Read Me'!$B$13)*(1+'Read Me'!$B$12),-1)</f>
        <v/>
      </c>
      <c r="W5326" s="16">
        <f>V5326*N5326*O5326</f>
        <v/>
      </c>
      <c r="X5326" s="12">
        <f>IF(LEFT(I5326,2)="MV",2*N5326*IF(L5326="1/C",O5326,1),0)</f>
        <v/>
      </c>
      <c r="Y5326" s="12">
        <f>IF(OR(LEFT(K5326,4)="LVAX",LEFT(K5326,6)="MV15AX",LEFT(K5326,4)="CTAX",LEFT(K5326,2)="W|"),2*N5326*O5326,0)</f>
        <v/>
      </c>
      <c r="Z5326" s="12" t="inlineStr">
        <is>
          <t>VD 2.4 %</t>
        </is>
      </c>
      <c r="AA5326" s="12">
        <f>N5326*O5326</f>
        <v/>
      </c>
    </row>
    <row r="5327">
      <c r="A5327" s="12" t="inlineStr">
        <is>
          <t>I-P-0277</t>
        </is>
      </c>
      <c r="B5327" s="12" t="inlineStr">
        <is>
          <t>I</t>
        </is>
      </c>
      <c r="C5327" s="12" t="inlineStr">
        <is>
          <t>Modular / portable power</t>
        </is>
      </c>
      <c r="D5327" s="12" t="inlineStr">
        <is>
          <t>Motor 1 of 2, 75 kW</t>
        </is>
      </c>
      <c r="E5327" s="12" t="inlineStr"/>
      <c r="F5327" s="12" t="inlineStr">
        <is>
          <t>SC-2 PCM + 15 kV GCB</t>
        </is>
      </c>
      <c r="G5327" s="12" t="inlineStr"/>
      <c r="H5327" s="12" t="inlineStr">
        <is>
          <t>Water-injection skid</t>
        </is>
      </c>
      <c r="I5327" s="12" t="inlineStr">
        <is>
          <t>LV 600 V</t>
        </is>
      </c>
      <c r="J5327" s="12" t="inlineStr">
        <is>
          <t>Type TC-ER 600 V 3/C Cu XHHW-2 + ground, PVC jacket</t>
        </is>
      </c>
      <c r="K5327" s="12" t="inlineStr">
        <is>
          <t>LV|3/C+G|1/0</t>
        </is>
      </c>
      <c r="L5327" s="12" t="inlineStr">
        <is>
          <t>3/C+G</t>
        </is>
      </c>
      <c r="M5327" s="12" t="inlineStr">
        <is>
          <t>1/0</t>
        </is>
      </c>
      <c r="N5327" s="12" t="n">
        <v>1</v>
      </c>
      <c r="O5327" s="12" t="n">
        <v>1</v>
      </c>
      <c r="P5327" s="12" t="n">
        <v>480</v>
      </c>
      <c r="Q5327" s="12" t="n">
        <v>75</v>
      </c>
      <c r="R5327" s="12" t="n">
        <v>106.1</v>
      </c>
      <c r="S5327" s="12" t="inlineStr">
        <is>
          <t>Tray</t>
        </is>
      </c>
      <c r="T5327" s="16" t="n">
        <v>0</v>
      </c>
      <c r="U5327" s="16" t="n">
        <v>60</v>
      </c>
      <c r="V5327" s="16">
        <f>ROUNDUP((T5327+U5327+2*'Read Me'!$B$13)*(1+'Read Me'!$B$12),-1)</f>
        <v/>
      </c>
      <c r="W5327" s="16">
        <f>V5327*N5327*O5327</f>
        <v/>
      </c>
      <c r="X5327" s="12">
        <f>IF(LEFT(I5327,2)="MV",2*N5327*IF(L5327="1/C",O5327,1),0)</f>
        <v/>
      </c>
      <c r="Y5327" s="12">
        <f>IF(OR(LEFT(K5327,4)="LVAX",LEFT(K5327,6)="MV15AX",LEFT(K5327,4)="CTAX",LEFT(K5327,2)="W|"),2*N5327*O5327,0)</f>
        <v/>
      </c>
      <c r="Z5327" s="12" t="inlineStr">
        <is>
          <t>VD 0.3 %</t>
        </is>
      </c>
      <c r="AA5327" s="12">
        <f>N5327*O5327</f>
        <v/>
      </c>
    </row>
    <row r="5328">
      <c r="A5328" s="12" t="inlineStr">
        <is>
          <t>I-P-0278</t>
        </is>
      </c>
      <c r="B5328" s="12" t="inlineStr">
        <is>
          <t>I</t>
        </is>
      </c>
      <c r="C5328" s="12" t="inlineStr">
        <is>
          <t>Modular / portable power</t>
        </is>
      </c>
      <c r="D5328" s="12" t="inlineStr">
        <is>
          <t>Motor 2 of 2, 75 kW</t>
        </is>
      </c>
      <c r="E5328" s="12" t="inlineStr"/>
      <c r="F5328" s="12" t="inlineStr">
        <is>
          <t>SC-2 PCM + 15 kV GCB</t>
        </is>
      </c>
      <c r="G5328" s="12" t="inlineStr"/>
      <c r="H5328" s="12" t="inlineStr">
        <is>
          <t>Water-injection skid</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75</v>
      </c>
      <c r="R5328" s="12" t="n">
        <v>106.1</v>
      </c>
      <c r="S5328" s="12" t="inlineStr">
        <is>
          <t>Tray</t>
        </is>
      </c>
      <c r="T5328" s="16" t="n">
        <v>0</v>
      </c>
      <c r="U5328" s="16" t="n">
        <v>60</v>
      </c>
      <c r="V5328" s="16">
        <f>ROUNDUP((T5328+U5328+2*'Read Me'!$B$13)*(1+'Read Me'!$B$12),-1)</f>
        <v/>
      </c>
      <c r="W5328" s="16">
        <f>V5328*N5328*O5328</f>
        <v/>
      </c>
      <c r="X5328" s="12">
        <f>IF(LEFT(I5328,2)="MV",2*N5328*IF(L5328="1/C",O5328,1),0)</f>
        <v/>
      </c>
      <c r="Y5328" s="12">
        <f>IF(OR(LEFT(K5328,4)="LVAX",LEFT(K5328,6)="MV15AX",LEFT(K5328,4)="CTAX",LEFT(K5328,2)="W|"),2*N5328*O5328,0)</f>
        <v/>
      </c>
      <c r="Z5328" s="12" t="inlineStr">
        <is>
          <t>VD 0.3 %</t>
        </is>
      </c>
      <c r="AA5328" s="12">
        <f>N5328*O5328</f>
        <v/>
      </c>
    </row>
    <row r="5329">
      <c r="A5329" s="12" t="inlineStr">
        <is>
          <t>I-MV-0001</t>
        </is>
      </c>
      <c r="B5329" s="12" t="inlineStr">
        <is>
          <t>I</t>
        </is>
      </c>
      <c r="C5329" s="12" t="inlineStr">
        <is>
          <t>Modular / portable power</t>
        </is>
      </c>
      <c r="D5329" s="12" t="inlineStr">
        <is>
          <t>Modular-yard fuel-gas compressor</t>
        </is>
      </c>
      <c r="E5329" s="12" t="inlineStr">
        <is>
          <t>MOD-EH</t>
        </is>
      </c>
      <c r="F5329" s="12" t="inlineStr">
        <is>
          <t>MOD-EH: 13.8 kV modular collector e-house</t>
        </is>
      </c>
      <c r="G5329" s="12" t="inlineStr"/>
      <c r="H5329" s="12" t="inlineStr">
        <is>
          <t>Fuel-gas compressors 3 x 100% electric</t>
        </is>
      </c>
      <c r="I5329" s="12" t="inlineStr">
        <is>
          <t>MV 15 kV</t>
        </is>
      </c>
      <c r="J5329" s="12" t="inlineStr">
        <is>
          <t>ARMOR-X MC-HL / MV-105 15 kV 3/C Cu, EPR 133%, tape shield, gnd, CWA, red PVC</t>
        </is>
      </c>
      <c r="K5329" s="12" t="inlineStr">
        <is>
          <t>MV15AX|3/C|2</t>
        </is>
      </c>
      <c r="L5329" s="12" t="inlineStr">
        <is>
          <t>3/C</t>
        </is>
      </c>
      <c r="M5329" s="12" t="inlineStr">
        <is>
          <t>2</t>
        </is>
      </c>
      <c r="N5329" s="12" t="n">
        <v>1</v>
      </c>
      <c r="O5329" s="12" t="n">
        <v>1</v>
      </c>
      <c r="P5329" s="12" t="n">
        <v>13800</v>
      </c>
      <c r="Q5329" s="12" t="n">
        <v>1500</v>
      </c>
      <c r="R5329" s="12" t="n">
        <v>70</v>
      </c>
      <c r="S5329" s="12" t="inlineStr">
        <is>
          <t>HV duct bank</t>
        </is>
      </c>
      <c r="T5329" s="16" t="n">
        <v>3974</v>
      </c>
      <c r="U5329" s="16" t="n">
        <v>114</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I-MV-0002</t>
        </is>
      </c>
      <c r="B5330" s="12" t="inlineStr">
        <is>
          <t>I</t>
        </is>
      </c>
      <c r="C5330" s="12" t="inlineStr">
        <is>
          <t>Modular / portable power</t>
        </is>
      </c>
      <c r="D5330" s="12" t="inlineStr">
        <is>
          <t>Modular-yard fuel-gas compressor</t>
        </is>
      </c>
      <c r="E5330" s="12" t="inlineStr">
        <is>
          <t>MOD-EH</t>
        </is>
      </c>
      <c r="F5330" s="12" t="inlineStr">
        <is>
          <t>MOD-EH: 13.8 kV modular collector e-house</t>
        </is>
      </c>
      <c r="G5330" s="12" t="inlineStr"/>
      <c r="H5330" s="12" t="inlineStr">
        <is>
          <t>Fuel-gas compressors 3 x 100% electric</t>
        </is>
      </c>
      <c r="I5330" s="12" t="inlineStr">
        <is>
          <t>MV 15 kV</t>
        </is>
      </c>
      <c r="J5330" s="12" t="inlineStr">
        <is>
          <t>ARMOR-X MC-HL / MV-105 15 kV 3/C Cu, EPR 133%, tape shield, gnd, CWA, red PVC</t>
        </is>
      </c>
      <c r="K5330" s="12" t="inlineStr">
        <is>
          <t>MV15AX|3/C|2</t>
        </is>
      </c>
      <c r="L5330" s="12" t="inlineStr">
        <is>
          <t>3/C</t>
        </is>
      </c>
      <c r="M5330" s="12" t="inlineStr">
        <is>
          <t>2</t>
        </is>
      </c>
      <c r="N5330" s="12" t="n">
        <v>1</v>
      </c>
      <c r="O5330" s="12" t="n">
        <v>1</v>
      </c>
      <c r="P5330" s="12" t="n">
        <v>13800</v>
      </c>
      <c r="Q5330" s="12" t="n">
        <v>1500</v>
      </c>
      <c r="R5330" s="12" t="n">
        <v>70</v>
      </c>
      <c r="S5330" s="12" t="inlineStr">
        <is>
          <t>HV duct bank</t>
        </is>
      </c>
      <c r="T5330" s="16" t="n">
        <v>3974</v>
      </c>
      <c r="U5330" s="16" t="n">
        <v>114</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I-MV-0003</t>
        </is>
      </c>
      <c r="B5331" s="12" t="inlineStr">
        <is>
          <t>I</t>
        </is>
      </c>
      <c r="C5331" s="12" t="inlineStr">
        <is>
          <t>Modular / portable power</t>
        </is>
      </c>
      <c r="D5331" s="12" t="inlineStr">
        <is>
          <t>Modular-yard fuel-gas compressor</t>
        </is>
      </c>
      <c r="E5331" s="12" t="inlineStr">
        <is>
          <t>MOD-EH</t>
        </is>
      </c>
      <c r="F5331" s="12" t="inlineStr">
        <is>
          <t>MOD-EH: 13.8 kV modular collector e-house</t>
        </is>
      </c>
      <c r="G5331" s="12" t="inlineStr"/>
      <c r="H5331" s="12" t="inlineStr">
        <is>
          <t>Fuel-gas compressors 3 x 100% electric</t>
        </is>
      </c>
      <c r="I5331" s="12" t="inlineStr">
        <is>
          <t>MV 15 kV</t>
        </is>
      </c>
      <c r="J5331" s="12" t="inlineStr">
        <is>
          <t>ARMOR-X MC-HL / MV-105 15 kV 3/C Cu, EPR 133%, tape shield, gnd, CWA, red PVC</t>
        </is>
      </c>
      <c r="K5331" s="12" t="inlineStr">
        <is>
          <t>MV15AX|3/C|2</t>
        </is>
      </c>
      <c r="L5331" s="12" t="inlineStr">
        <is>
          <t>3/C</t>
        </is>
      </c>
      <c r="M5331" s="12" t="inlineStr">
        <is>
          <t>2</t>
        </is>
      </c>
      <c r="N5331" s="12" t="n">
        <v>1</v>
      </c>
      <c r="O5331" s="12" t="n">
        <v>1</v>
      </c>
      <c r="P5331" s="12" t="n">
        <v>13800</v>
      </c>
      <c r="Q5331" s="12" t="n">
        <v>1500</v>
      </c>
      <c r="R5331" s="12" t="n">
        <v>70</v>
      </c>
      <c r="S5331" s="12" t="inlineStr">
        <is>
          <t>HV duct bank</t>
        </is>
      </c>
      <c r="T5331" s="16" t="n">
        <v>3974</v>
      </c>
      <c r="U5331" s="16" t="n">
        <v>114</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I-MV-0004</t>
        </is>
      </c>
      <c r="B5332" s="12" t="inlineStr">
        <is>
          <t>I</t>
        </is>
      </c>
      <c r="C5332" s="12" t="inlineStr">
        <is>
          <t>Modular / portable power</t>
        </is>
      </c>
      <c r="D5332" s="12" t="inlineStr">
        <is>
          <t>SC-1 PCM to MOD-EH</t>
        </is>
      </c>
      <c r="E5332" s="12" t="inlineStr"/>
      <c r="F5332" s="12" t="inlineStr">
        <is>
          <t>SC-1 PCM + 15 kV GCB</t>
        </is>
      </c>
      <c r="G5332" s="12" t="inlineStr">
        <is>
          <t>MOD-EH</t>
        </is>
      </c>
      <c r="H5332" s="12" t="inlineStr">
        <is>
          <t>MOD-EH: 13.8 kV modular collector e-house</t>
        </is>
      </c>
      <c r="I5332" s="12" t="inlineStr">
        <is>
          <t>MV 15 kV</t>
        </is>
      </c>
      <c r="J5332" s="12" t="inlineStr">
        <is>
          <t>MV-105 15 kV 1/C Cu, EPR 133%, Cu tape shield, PVC jacket (triplexed)</t>
        </is>
      </c>
      <c r="K5332" s="12" t="inlineStr">
        <is>
          <t>MV15|1/C|750</t>
        </is>
      </c>
      <c r="L5332" s="12" t="inlineStr">
        <is>
          <t>1/C</t>
        </is>
      </c>
      <c r="M5332" s="12" t="inlineStr">
        <is>
          <t>750 kcmil</t>
        </is>
      </c>
      <c r="N5332" s="12" t="n">
        <v>5</v>
      </c>
      <c r="O5332" s="12" t="n">
        <v>3</v>
      </c>
      <c r="P5332" s="12" t="n">
        <v>13800</v>
      </c>
      <c r="Q5332" s="12" t="n">
        <v>50000</v>
      </c>
      <c r="R5332" s="12" t="n">
        <v>2092</v>
      </c>
      <c r="S5332" s="12" t="inlineStr">
        <is>
          <t>Duct bank</t>
        </is>
      </c>
      <c r="T5332" s="16" t="n">
        <v>397</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I-MV-0005</t>
        </is>
      </c>
      <c r="B5333" s="12" t="inlineStr">
        <is>
          <t>I</t>
        </is>
      </c>
      <c r="C5333" s="12" t="inlineStr">
        <is>
          <t>Modular / portable power</t>
        </is>
      </c>
      <c r="D5333" s="12" t="inlineStr">
        <is>
          <t>SC-2 PCM to MOD-EH</t>
        </is>
      </c>
      <c r="E5333" s="12" t="inlineStr"/>
      <c r="F5333" s="12" t="inlineStr">
        <is>
          <t>SC-2 PCM + 15 kV GCB</t>
        </is>
      </c>
      <c r="G5333" s="12" t="inlineStr">
        <is>
          <t>MOD-EH</t>
        </is>
      </c>
      <c r="H5333" s="12" t="inlineStr">
        <is>
          <t>MOD-EH: 13.8 kV modular collector e-house</t>
        </is>
      </c>
      <c r="I5333" s="12" t="inlineStr">
        <is>
          <t>MV 15 kV</t>
        </is>
      </c>
      <c r="J5333" s="12" t="inlineStr">
        <is>
          <t>MV-105 15 kV 1/C Cu, EPR 133%, Cu tape shield, PVC jacket (triplexed)</t>
        </is>
      </c>
      <c r="K5333" s="12" t="inlineStr">
        <is>
          <t>MV15|1/C|750</t>
        </is>
      </c>
      <c r="L5333" s="12" t="inlineStr">
        <is>
          <t>1/C</t>
        </is>
      </c>
      <c r="M5333" s="12" t="inlineStr">
        <is>
          <t>750 kcmil</t>
        </is>
      </c>
      <c r="N5333" s="12" t="n">
        <v>5</v>
      </c>
      <c r="O5333" s="12" t="n">
        <v>3</v>
      </c>
      <c r="P5333" s="12" t="n">
        <v>13800</v>
      </c>
      <c r="Q5333" s="12" t="n">
        <v>50000</v>
      </c>
      <c r="R5333" s="12" t="n">
        <v>2092</v>
      </c>
      <c r="S5333" s="12" t="inlineStr">
        <is>
          <t>HV duct bank</t>
        </is>
      </c>
      <c r="T5333" s="16" t="n">
        <v>3974</v>
      </c>
      <c r="U5333" s="16" t="n">
        <v>38</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I-MV-0006</t>
        </is>
      </c>
      <c r="B5334" s="12" t="inlineStr">
        <is>
          <t>I</t>
        </is>
      </c>
      <c r="C5334" s="12" t="inlineStr">
        <is>
          <t>Modular / portable power</t>
        </is>
      </c>
      <c r="D5334" s="12" t="inlineStr">
        <is>
          <t>MOD-LV step-up to MOD-EH</t>
        </is>
      </c>
      <c r="E5334" s="12" t="inlineStr"/>
      <c r="F5334" s="12" t="inlineStr">
        <is>
          <t>MOD-LV 480 V board + 480 V : 13.8 kV step-up</t>
        </is>
      </c>
      <c r="G5334" s="12" t="inlineStr">
        <is>
          <t>MOD-EH</t>
        </is>
      </c>
      <c r="H5334" s="12" t="inlineStr">
        <is>
          <t>MOD-EH: 13.8 kV modular collector e-house</t>
        </is>
      </c>
      <c r="I5334" s="12" t="inlineStr">
        <is>
          <t>MV 15 kV</t>
        </is>
      </c>
      <c r="J5334" s="12" t="inlineStr">
        <is>
          <t>MV-105 15 kV 1/C Cu, EPR 133%, Cu tape shield, PVC jacket (triplexed)</t>
        </is>
      </c>
      <c r="K5334" s="12" t="inlineStr">
        <is>
          <t>MV15|1/C|500</t>
        </is>
      </c>
      <c r="L5334" s="12" t="inlineStr">
        <is>
          <t>1/C</t>
        </is>
      </c>
      <c r="M5334" s="12" t="inlineStr">
        <is>
          <t>500 kcmil</t>
        </is>
      </c>
      <c r="N5334" s="12" t="n">
        <v>1</v>
      </c>
      <c r="O5334" s="12" t="n">
        <v>3</v>
      </c>
      <c r="P5334" s="12" t="n">
        <v>13800</v>
      </c>
      <c r="Q5334" s="12" t="n">
        <v>7500</v>
      </c>
      <c r="R5334" s="12" t="n">
        <v>314</v>
      </c>
      <c r="S5334" s="12" t="inlineStr">
        <is>
          <t>Duct bank</t>
        </is>
      </c>
      <c r="T5334" s="16" t="n">
        <v>352</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I-MV-0007</t>
        </is>
      </c>
      <c r="B5335" s="12" t="inlineStr">
        <is>
          <t>I</t>
        </is>
      </c>
      <c r="C5335" s="12" t="inlineStr">
        <is>
          <t>Modular / portable power</t>
        </is>
      </c>
      <c r="D5335" s="12" t="inlineStr">
        <is>
          <t>CONT-3 13.8 kV to PAD-EH (extension section, ground tray)</t>
        </is>
      </c>
      <c r="E5335" s="12" t="inlineStr">
        <is>
          <t>CONT-3</t>
        </is>
      </c>
      <c r="F5335" s="12" t="inlineStr">
        <is>
          <t>CONT-3: containerized gas genset 13.8 kV (40 ft)</t>
        </is>
      </c>
      <c r="G5335" s="12" t="inlineStr">
        <is>
          <t>PAD-EH</t>
        </is>
      </c>
      <c r="H5335" s="12" t="inlineStr">
        <is>
          <t>PAD-EH 13.8 kV switchgear e-house</t>
        </is>
      </c>
      <c r="I5335" s="12" t="inlineStr">
        <is>
          <t>MV 15 kV</t>
        </is>
      </c>
      <c r="J5335" s="12" t="inlineStr">
        <is>
          <t>MV-105 15 kV 1/C Cu, EPR 133%, Cu tape shield, PVC jacket (triplexed)</t>
        </is>
      </c>
      <c r="K5335" s="12" t="inlineStr">
        <is>
          <t>MV15|1/C|2</t>
        </is>
      </c>
      <c r="L5335" s="12" t="inlineStr">
        <is>
          <t>1/C</t>
        </is>
      </c>
      <c r="M5335" s="12" t="inlineStr">
        <is>
          <t>2</t>
        </is>
      </c>
      <c r="N5335" s="12" t="n">
        <v>1</v>
      </c>
      <c r="O5335" s="12" t="n">
        <v>3</v>
      </c>
      <c r="P5335" s="12" t="n">
        <v>13800</v>
      </c>
      <c r="Q5335" s="12" t="n">
        <v>2000</v>
      </c>
      <c r="R5335" s="12" t="n">
        <v>93</v>
      </c>
      <c r="S5335" s="12" t="inlineStr">
        <is>
          <t>Surface</t>
        </is>
      </c>
      <c r="T5335" s="16" t="n">
        <v>191</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I-MV-0008</t>
        </is>
      </c>
      <c r="B5336" s="12" t="inlineStr">
        <is>
          <t>I</t>
        </is>
      </c>
      <c r="C5336" s="12" t="inlineStr">
        <is>
          <t>Modular / portable power</t>
        </is>
      </c>
      <c r="D5336" s="12" t="inlineStr">
        <is>
          <t>CONT-4 13.8 kV to PAD-EH (extension section, ground tray)</t>
        </is>
      </c>
      <c r="E5336" s="12" t="inlineStr">
        <is>
          <t>CONT-4</t>
        </is>
      </c>
      <c r="F5336" s="12" t="inlineStr">
        <is>
          <t>CONT-4: containerized gas genset 13.8 kV (40 ft)</t>
        </is>
      </c>
      <c r="G5336" s="12" t="inlineStr">
        <is>
          <t>PAD-EH</t>
        </is>
      </c>
      <c r="H5336" s="12" t="inlineStr">
        <is>
          <t>PAD-EH 13.8 kV switchgear e-house</t>
        </is>
      </c>
      <c r="I5336" s="12" t="inlineStr">
        <is>
          <t>MV 15 kV</t>
        </is>
      </c>
      <c r="J5336" s="12" t="inlineStr">
        <is>
          <t>MV-105 15 kV 1/C Cu, EPR 133%, Cu tape shield, PVC jacket (triplexed)</t>
        </is>
      </c>
      <c r="K5336" s="12" t="inlineStr">
        <is>
          <t>MV15|1/C|2</t>
        </is>
      </c>
      <c r="L5336" s="12" t="inlineStr">
        <is>
          <t>1/C</t>
        </is>
      </c>
      <c r="M5336" s="12" t="inlineStr">
        <is>
          <t>2</t>
        </is>
      </c>
      <c r="N5336" s="12" t="n">
        <v>1</v>
      </c>
      <c r="O5336" s="12" t="n">
        <v>3</v>
      </c>
      <c r="P5336" s="12" t="n">
        <v>13800</v>
      </c>
      <c r="Q5336" s="12" t="n">
        <v>2000</v>
      </c>
      <c r="R5336" s="12" t="n">
        <v>93</v>
      </c>
      <c r="S5336" s="12" t="inlineStr">
        <is>
          <t>Surface</t>
        </is>
      </c>
      <c r="T5336" s="16" t="n">
        <v>71</v>
      </c>
      <c r="U5336" s="16" t="n">
        <v>72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I-MV-0009</t>
        </is>
      </c>
      <c r="B5337" s="12" t="inlineStr">
        <is>
          <t>I</t>
        </is>
      </c>
      <c r="C5337" s="12" t="inlineStr">
        <is>
          <t>Modular / portable power</t>
        </is>
      </c>
      <c r="D5337" s="12" t="inlineStr">
        <is>
          <t>CONT-5 13.8 kV to PAD-EH (extension section, ground tray)</t>
        </is>
      </c>
      <c r="E5337" s="12" t="inlineStr">
        <is>
          <t>CONT-5</t>
        </is>
      </c>
      <c r="F5337" s="12" t="inlineStr">
        <is>
          <t>CONT-5: containerized gas genset 13.8 kV (40 ft)</t>
        </is>
      </c>
      <c r="G5337" s="12" t="inlineStr">
        <is>
          <t>PAD-EH</t>
        </is>
      </c>
      <c r="H5337" s="12" t="inlineStr">
        <is>
          <t>PAD-EH 13.8 kV switchgear e-house</t>
        </is>
      </c>
      <c r="I5337" s="12" t="inlineStr">
        <is>
          <t>MV 15 kV</t>
        </is>
      </c>
      <c r="J5337" s="12" t="inlineStr">
        <is>
          <t>MV-105 15 kV 1/C Cu, EPR 133%, Cu tape shield, PVC jacket (triplexed)</t>
        </is>
      </c>
      <c r="K5337" s="12" t="inlineStr">
        <is>
          <t>MV15|1/C|2</t>
        </is>
      </c>
      <c r="L5337" s="12" t="inlineStr">
        <is>
          <t>1/C</t>
        </is>
      </c>
      <c r="M5337" s="12" t="inlineStr">
        <is>
          <t>2</t>
        </is>
      </c>
      <c r="N5337" s="12" t="n">
        <v>1</v>
      </c>
      <c r="O5337" s="12" t="n">
        <v>3</v>
      </c>
      <c r="P5337" s="12" t="n">
        <v>13800</v>
      </c>
      <c r="Q5337" s="12" t="n">
        <v>2000</v>
      </c>
      <c r="R5337" s="12" t="n">
        <v>93</v>
      </c>
      <c r="S5337" s="12" t="inlineStr">
        <is>
          <t>Duct bank</t>
        </is>
      </c>
      <c r="T5337" s="16" t="n">
        <v>47</v>
      </c>
      <c r="U5337" s="16" t="n">
        <v>36</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I-MV-0010</t>
        </is>
      </c>
      <c r="B5338" s="12" t="inlineStr">
        <is>
          <t>I</t>
        </is>
      </c>
      <c r="C5338" s="12" t="inlineStr">
        <is>
          <t>Modular / portable power</t>
        </is>
      </c>
      <c r="D5338" s="12" t="inlineStr">
        <is>
          <t>CONT-6 13.8 kV to PAD-EH (extension section, ground tray)</t>
        </is>
      </c>
      <c r="E5338" s="12" t="inlineStr">
        <is>
          <t>CONT-6</t>
        </is>
      </c>
      <c r="F5338" s="12" t="inlineStr">
        <is>
          <t>CONT-6: containerized gas genset 13.8 kV (40 ft)</t>
        </is>
      </c>
      <c r="G5338" s="12" t="inlineStr">
        <is>
          <t>PAD-EH</t>
        </is>
      </c>
      <c r="H5338" s="12" t="inlineStr">
        <is>
          <t>PAD-EH 13.8 kV switchgear e-house</t>
        </is>
      </c>
      <c r="I5338" s="12" t="inlineStr">
        <is>
          <t>MV 15 kV</t>
        </is>
      </c>
      <c r="J5338" s="12" t="inlineStr">
        <is>
          <t>MV-105 15 kV 1/C Cu, EPR 133%, Cu tape shield, PVC jacket (triplexed)</t>
        </is>
      </c>
      <c r="K5338" s="12" t="inlineStr">
        <is>
          <t>MV15|1/C|2</t>
        </is>
      </c>
      <c r="L5338" s="12" t="inlineStr">
        <is>
          <t>1/C</t>
        </is>
      </c>
      <c r="M5338" s="12" t="inlineStr">
        <is>
          <t>2</t>
        </is>
      </c>
      <c r="N5338" s="12" t="n">
        <v>1</v>
      </c>
      <c r="O5338" s="12" t="n">
        <v>3</v>
      </c>
      <c r="P5338" s="12" t="n">
        <v>13800</v>
      </c>
      <c r="Q5338" s="12" t="n">
        <v>2000</v>
      </c>
      <c r="R5338" s="12" t="n">
        <v>93</v>
      </c>
      <c r="S5338" s="12" t="inlineStr">
        <is>
          <t>Surface</t>
        </is>
      </c>
      <c r="T5338" s="16" t="n">
        <v>242</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I-MV-0011</t>
        </is>
      </c>
      <c r="B5339" s="12" t="inlineStr">
        <is>
          <t>I</t>
        </is>
      </c>
      <c r="C5339" s="12" t="inlineStr">
        <is>
          <t>Modular / portable power</t>
        </is>
      </c>
      <c r="D5339" s="12" t="inlineStr">
        <is>
          <t>CONT-7 13.8 kV to PAD-EH (extension section, ground tray)</t>
        </is>
      </c>
      <c r="E5339" s="12" t="inlineStr">
        <is>
          <t>CONT-7</t>
        </is>
      </c>
      <c r="F5339" s="12" t="inlineStr">
        <is>
          <t>CONT-7: containerized gas genset 13.8 kV (40 ft)</t>
        </is>
      </c>
      <c r="G5339" s="12" t="inlineStr">
        <is>
          <t>PAD-EH</t>
        </is>
      </c>
      <c r="H5339" s="12" t="inlineStr">
        <is>
          <t>PAD-EH 13.8 kV switchgear e-house</t>
        </is>
      </c>
      <c r="I5339" s="12" t="inlineStr">
        <is>
          <t>MV 15 kV</t>
        </is>
      </c>
      <c r="J5339" s="12" t="inlineStr">
        <is>
          <t>MV-105 15 kV 1/C Cu, EPR 133%, Cu tape shield, PVC jacket (triplexed)</t>
        </is>
      </c>
      <c r="K5339" s="12" t="inlineStr">
        <is>
          <t>MV15|1/C|2</t>
        </is>
      </c>
      <c r="L5339" s="12" t="inlineStr">
        <is>
          <t>1/C</t>
        </is>
      </c>
      <c r="M5339" s="12" t="inlineStr">
        <is>
          <t>2</t>
        </is>
      </c>
      <c r="N5339" s="12" t="n">
        <v>1</v>
      </c>
      <c r="O5339" s="12" t="n">
        <v>3</v>
      </c>
      <c r="P5339" s="12" t="n">
        <v>13800</v>
      </c>
      <c r="Q5339" s="12" t="n">
        <v>2000</v>
      </c>
      <c r="R5339" s="12" t="n">
        <v>93</v>
      </c>
      <c r="S5339" s="12" t="inlineStr">
        <is>
          <t>Surface</t>
        </is>
      </c>
      <c r="T5339" s="16" t="n">
        <v>228</v>
      </c>
      <c r="U5339" s="16" t="n">
        <v>46</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I-MV-0012</t>
        </is>
      </c>
      <c r="B5340" s="12" t="inlineStr">
        <is>
          <t>I</t>
        </is>
      </c>
      <c r="C5340" s="12" t="inlineStr">
        <is>
          <t>Modular / portable power</t>
        </is>
      </c>
      <c r="D5340" s="12" t="inlineStr">
        <is>
          <t>CONT-8 13.8 kV to PAD-EH (extension section, ground tray)</t>
        </is>
      </c>
      <c r="E5340" s="12" t="inlineStr">
        <is>
          <t>CONT-8</t>
        </is>
      </c>
      <c r="F5340" s="12" t="inlineStr">
        <is>
          <t>CONT-8: containerized gas genset 13.8 kV (40 ft)</t>
        </is>
      </c>
      <c r="G5340" s="12" t="inlineStr">
        <is>
          <t>PAD-EH</t>
        </is>
      </c>
      <c r="H5340" s="12" t="inlineStr">
        <is>
          <t>PAD-EH 13.8 kV switchgear e-house</t>
        </is>
      </c>
      <c r="I5340" s="12" t="inlineStr">
        <is>
          <t>MV 15 kV</t>
        </is>
      </c>
      <c r="J5340" s="12" t="inlineStr">
        <is>
          <t>MV-105 15 kV 1/C Cu, EPR 133%, Cu tape shield, PVC jacket (triplexed)</t>
        </is>
      </c>
      <c r="K5340" s="12" t="inlineStr">
        <is>
          <t>MV15|1/C|2</t>
        </is>
      </c>
      <c r="L5340" s="12" t="inlineStr">
        <is>
          <t>1/C</t>
        </is>
      </c>
      <c r="M5340" s="12" t="inlineStr">
        <is>
          <t>2</t>
        </is>
      </c>
      <c r="N5340" s="12" t="n">
        <v>1</v>
      </c>
      <c r="O5340" s="12" t="n">
        <v>3</v>
      </c>
      <c r="P5340" s="12" t="n">
        <v>13800</v>
      </c>
      <c r="Q5340" s="12" t="n">
        <v>2000</v>
      </c>
      <c r="R5340" s="12" t="n">
        <v>93</v>
      </c>
      <c r="S5340" s="12" t="inlineStr">
        <is>
          <t>Surface</t>
        </is>
      </c>
      <c r="T5340" s="16" t="n">
        <v>97</v>
      </c>
      <c r="U5340" s="16" t="n">
        <v>36</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I-MV-0013</t>
        </is>
      </c>
      <c r="B5341" s="12" t="inlineStr">
        <is>
          <t>I</t>
        </is>
      </c>
      <c r="C5341" s="12" t="inlineStr">
        <is>
          <t>Modular / portable power</t>
        </is>
      </c>
      <c r="D5341" s="12" t="inlineStr">
        <is>
          <t>TM-1 (TM2500) generator leads to PAD-EH</t>
        </is>
      </c>
      <c r="E5341" s="12" t="inlineStr">
        <is>
          <t>TM-1</t>
        </is>
      </c>
      <c r="F5341" s="12" t="inlineStr">
        <is>
          <t>TM-1: trailer-mounted aeroderivative GT (TM2500 class, ~35 MW)</t>
        </is>
      </c>
      <c r="G5341" s="12" t="inlineStr">
        <is>
          <t>PAD-EH</t>
        </is>
      </c>
      <c r="H5341" s="12" t="inlineStr">
        <is>
          <t>PAD-EH 13.8 kV switchgear e-house</t>
        </is>
      </c>
      <c r="I5341" s="12" t="inlineStr">
        <is>
          <t>MV 15 kV</t>
        </is>
      </c>
      <c r="J5341" s="12" t="inlineStr">
        <is>
          <t>MV-105 15 kV 1/C Cu, EPR 133%, Cu tape shield, PVC jacket (triplexed)</t>
        </is>
      </c>
      <c r="K5341" s="12" t="inlineStr">
        <is>
          <t>MV15|1/C|1000</t>
        </is>
      </c>
      <c r="L5341" s="12" t="inlineStr">
        <is>
          <t>1/C</t>
        </is>
      </c>
      <c r="M5341" s="12" t="inlineStr">
        <is>
          <t>1000 kcmil</t>
        </is>
      </c>
      <c r="N5341" s="12" t="n">
        <v>3</v>
      </c>
      <c r="O5341" s="12" t="n">
        <v>3</v>
      </c>
      <c r="P5341" s="12" t="n">
        <v>13800</v>
      </c>
      <c r="Q5341" s="12" t="n">
        <v>35000</v>
      </c>
      <c r="R5341" s="12" t="n">
        <v>1464</v>
      </c>
      <c r="S5341" s="12" t="inlineStr">
        <is>
          <t>Surface</t>
        </is>
      </c>
      <c r="T5341" s="16" t="n">
        <v>405</v>
      </c>
      <c r="U5341" s="16" t="n">
        <v>27</v>
      </c>
      <c r="V5341" s="16">
        <f>ROUNDUP((T5341+U5341+2*'Read Me'!$B$13)*(1+'Read Me'!$B$12),-1)</f>
        <v/>
      </c>
      <c r="W5341" s="16">
        <f>V5341*N5341*O5341</f>
        <v/>
      </c>
      <c r="X5341" s="12">
        <f>IF(LEFT(I5341,2)="MV",2*N5341*IF(L5341="1/C",O5341,1),0)</f>
        <v/>
      </c>
      <c r="Y5341" s="12">
        <f>IF(OR(LEFT(K5341,4)="LVAX",LEFT(K5341,6)="MV15AX",LEFT(K5341,4)="CTAX",LEFT(K5341,2)="W|"),2*N5341*O5341,0)</f>
        <v/>
      </c>
      <c r="Z5341" s="12" t="inlineStr">
        <is>
          <t>3 per phase for 125 % (the model shows 2 per phase: update the model)</t>
        </is>
      </c>
      <c r="AA5341" s="12">
        <f>N5341*O5341</f>
        <v/>
      </c>
    </row>
    <row r="5342">
      <c r="A5342" s="12" t="inlineStr">
        <is>
          <t>I-MV-0014</t>
        </is>
      </c>
      <c r="B5342" s="12" t="inlineStr">
        <is>
          <t>I</t>
        </is>
      </c>
      <c r="C5342" s="12" t="inlineStr">
        <is>
          <t>Modular / portable power</t>
        </is>
      </c>
      <c r="D5342" s="12" t="inlineStr">
        <is>
          <t>TM-2 (TM2500) generator leads to PAD-EH</t>
        </is>
      </c>
      <c r="E5342" s="12" t="inlineStr">
        <is>
          <t>TM-2</t>
        </is>
      </c>
      <c r="F5342" s="12" t="inlineStr">
        <is>
          <t>TM-2: trailer-mounted aeroderivative GT (TM2500 class, ~35 MW)</t>
        </is>
      </c>
      <c r="G5342" s="12" t="inlineStr">
        <is>
          <t>PAD-EH</t>
        </is>
      </c>
      <c r="H5342" s="12" t="inlineStr">
        <is>
          <t>PAD-EH 13.8 kV switchgear e-house</t>
        </is>
      </c>
      <c r="I5342" s="12" t="inlineStr">
        <is>
          <t>MV 15 kV</t>
        </is>
      </c>
      <c r="J5342" s="12" t="inlineStr">
        <is>
          <t>MV-105 15 kV 1/C Cu, EPR 133%, Cu tape shield, PVC jacket (triplexed)</t>
        </is>
      </c>
      <c r="K5342" s="12" t="inlineStr">
        <is>
          <t>MV15|1/C|1000</t>
        </is>
      </c>
      <c r="L5342" s="12" t="inlineStr">
        <is>
          <t>1/C</t>
        </is>
      </c>
      <c r="M5342" s="12" t="inlineStr">
        <is>
          <t>1000 kcmil</t>
        </is>
      </c>
      <c r="N5342" s="12" t="n">
        <v>3</v>
      </c>
      <c r="O5342" s="12" t="n">
        <v>3</v>
      </c>
      <c r="P5342" s="12" t="n">
        <v>13800</v>
      </c>
      <c r="Q5342" s="12" t="n">
        <v>35000</v>
      </c>
      <c r="R5342" s="12" t="n">
        <v>1464</v>
      </c>
      <c r="S5342" s="12" t="inlineStr">
        <is>
          <t>Surface</t>
        </is>
      </c>
      <c r="T5342" s="16" t="n">
        <v>411</v>
      </c>
      <c r="U5342" s="16" t="n">
        <v>27</v>
      </c>
      <c r="V5342" s="16">
        <f>ROUNDUP((T5342+U5342+2*'Read Me'!$B$13)*(1+'Read Me'!$B$12),-1)</f>
        <v/>
      </c>
      <c r="W5342" s="16">
        <f>V5342*N5342*O5342</f>
        <v/>
      </c>
      <c r="X5342" s="12">
        <f>IF(LEFT(I5342,2)="MV",2*N5342*IF(L5342="1/C",O5342,1),0)</f>
        <v/>
      </c>
      <c r="Y5342" s="12">
        <f>IF(OR(LEFT(K5342,4)="LVAX",LEFT(K5342,6)="MV15AX",LEFT(K5342,4)="CTAX",LEFT(K5342,2)="W|"),2*N5342*O5342,0)</f>
        <v/>
      </c>
      <c r="Z5342" s="12" t="inlineStr">
        <is>
          <t>3 per phase for 125 % (the model shows 2 per phase: update the model)</t>
        </is>
      </c>
      <c r="AA5342" s="12">
        <f>N5342*O5342</f>
        <v/>
      </c>
    </row>
    <row r="5343">
      <c r="A5343" s="12" t="inlineStr">
        <is>
          <t>I-MV-0015</t>
        </is>
      </c>
      <c r="B5343" s="12" t="inlineStr">
        <is>
          <t>I</t>
        </is>
      </c>
      <c r="C5343" s="12" t="inlineStr">
        <is>
          <t>Modular / portable power</t>
        </is>
      </c>
      <c r="D5343" s="12" t="inlineStr">
        <is>
          <t>RICE-1 generator leads to the PCM</t>
        </is>
      </c>
      <c r="E5343" s="12" t="inlineStr">
        <is>
          <t>RICE-1</t>
        </is>
      </c>
      <c r="F5343" s="12" t="inlineStr">
        <is>
          <t>RICE engine-generator 1</t>
        </is>
      </c>
      <c r="G5343" s="12" t="inlineStr"/>
      <c r="H5343" s="12" t="inlineStr">
        <is>
          <t>PCM: power control module</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2</v>
      </c>
      <c r="O5343" s="12" t="n">
        <v>3</v>
      </c>
      <c r="P5343" s="12" t="n">
        <v>13800</v>
      </c>
      <c r="Q5343" s="12" t="n">
        <v>18400</v>
      </c>
      <c r="R5343" s="12" t="n">
        <v>770</v>
      </c>
      <c r="S5343" s="12" t="inlineStr">
        <is>
          <t>Duct bank</t>
        </is>
      </c>
      <c r="T5343" s="16" t="n">
        <v>576</v>
      </c>
      <c r="U5343" s="16" t="n">
        <v>111</v>
      </c>
      <c r="V5343" s="16">
        <f>ROUNDUP((T5343+U5343+2*'Read Me'!$B$13)*(1+'Read Me'!$B$12),-1)</f>
        <v/>
      </c>
      <c r="W5343" s="16">
        <f>V5343*N5343*O5343</f>
        <v/>
      </c>
      <c r="X5343" s="12">
        <f>IF(LEFT(I5343,2)="MV",2*N5343*IF(L5343="1/C",O5343,1),0)</f>
        <v/>
      </c>
      <c r="Y5343" s="12">
        <f>IF(OR(LEFT(K5343,4)="LVAX",LEFT(K5343,6)="MV15AX",LEFT(K5343,4)="CTAX",LEFT(K5343,2)="W|"),2*N5343*O5343,0)</f>
        <v/>
      </c>
      <c r="Z5343" s="12" t="inlineStr">
        <is>
          <t>18V50 class ~18 MW (typ.)</t>
        </is>
      </c>
      <c r="AA5343" s="12">
        <f>N5343*O5343</f>
        <v/>
      </c>
    </row>
    <row r="5344">
      <c r="A5344" s="12" t="inlineStr">
        <is>
          <t>I-MV-0016</t>
        </is>
      </c>
      <c r="B5344" s="12" t="inlineStr">
        <is>
          <t>I</t>
        </is>
      </c>
      <c r="C5344" s="12" t="inlineStr">
        <is>
          <t>Modular / portable power</t>
        </is>
      </c>
      <c r="D5344" s="12" t="inlineStr">
        <is>
          <t>RICE-2 generator leads to the PCM</t>
        </is>
      </c>
      <c r="E5344" s="12" t="inlineStr">
        <is>
          <t>RICE-2</t>
        </is>
      </c>
      <c r="F5344" s="12" t="inlineStr">
        <is>
          <t>RICE engine-generator 2</t>
        </is>
      </c>
      <c r="G5344" s="12" t="inlineStr"/>
      <c r="H5344" s="12" t="inlineStr">
        <is>
          <t>PCM: power control module</t>
        </is>
      </c>
      <c r="I5344" s="12" t="inlineStr">
        <is>
          <t>MV 15 kV</t>
        </is>
      </c>
      <c r="J5344" s="12" t="inlineStr">
        <is>
          <t>MV-105 15 kV 1/C Cu, EPR 133%, Cu tape shield, PVC jacket (triplexed)</t>
        </is>
      </c>
      <c r="K5344" s="12" t="inlineStr">
        <is>
          <t>MV15|1/C|750</t>
        </is>
      </c>
      <c r="L5344" s="12" t="inlineStr">
        <is>
          <t>1/C</t>
        </is>
      </c>
      <c r="M5344" s="12" t="inlineStr">
        <is>
          <t>750 kcmil</t>
        </is>
      </c>
      <c r="N5344" s="12" t="n">
        <v>2</v>
      </c>
      <c r="O5344" s="12" t="n">
        <v>3</v>
      </c>
      <c r="P5344" s="12" t="n">
        <v>13800</v>
      </c>
      <c r="Q5344" s="12" t="n">
        <v>18400</v>
      </c>
      <c r="R5344" s="12" t="n">
        <v>770</v>
      </c>
      <c r="S5344" s="12" t="inlineStr">
        <is>
          <t>Duct bank</t>
        </is>
      </c>
      <c r="T5344" s="16" t="n">
        <v>550</v>
      </c>
      <c r="U5344" s="16" t="n">
        <v>109</v>
      </c>
      <c r="V5344" s="16">
        <f>ROUNDUP((T5344+U5344+2*'Read Me'!$B$13)*(1+'Read Me'!$B$12),-1)</f>
        <v/>
      </c>
      <c r="W5344" s="16">
        <f>V5344*N5344*O5344</f>
        <v/>
      </c>
      <c r="X5344" s="12">
        <f>IF(LEFT(I5344,2)="MV",2*N5344*IF(L5344="1/C",O5344,1),0)</f>
        <v/>
      </c>
      <c r="Y5344" s="12">
        <f>IF(OR(LEFT(K5344,4)="LVAX",LEFT(K5344,6)="MV15AX",LEFT(K5344,4)="CTAX",LEFT(K5344,2)="W|"),2*N5344*O5344,0)</f>
        <v/>
      </c>
      <c r="Z5344" s="12" t="inlineStr">
        <is>
          <t>18V50 class ~18 MW (typ.)</t>
        </is>
      </c>
      <c r="AA5344" s="12">
        <f>N5344*O5344</f>
        <v/>
      </c>
    </row>
    <row r="5345">
      <c r="A5345" s="12" t="inlineStr">
        <is>
          <t>I-MV-0017</t>
        </is>
      </c>
      <c r="B5345" s="12" t="inlineStr">
        <is>
          <t>I</t>
        </is>
      </c>
      <c r="C5345" s="12" t="inlineStr">
        <is>
          <t>Modular / portable power</t>
        </is>
      </c>
      <c r="D5345" s="12" t="inlineStr">
        <is>
          <t>RICE-3 generator leads to the PCM</t>
        </is>
      </c>
      <c r="E5345" s="12" t="inlineStr">
        <is>
          <t>RICE-3</t>
        </is>
      </c>
      <c r="F5345" s="12" t="inlineStr">
        <is>
          <t>RICE engine-generator 3</t>
        </is>
      </c>
      <c r="G5345" s="12" t="inlineStr"/>
      <c r="H5345" s="12" t="inlineStr">
        <is>
          <t>PCM: power control module</t>
        </is>
      </c>
      <c r="I5345" s="12" t="inlineStr">
        <is>
          <t>MV 15 kV</t>
        </is>
      </c>
      <c r="J5345" s="12" t="inlineStr">
        <is>
          <t>MV-105 15 kV 1/C Cu, EPR 133%, Cu tape shield, PVC jacket (triplexed)</t>
        </is>
      </c>
      <c r="K5345" s="12" t="inlineStr">
        <is>
          <t>MV15|1/C|750</t>
        </is>
      </c>
      <c r="L5345" s="12" t="inlineStr">
        <is>
          <t>1/C</t>
        </is>
      </c>
      <c r="M5345" s="12" t="inlineStr">
        <is>
          <t>750 kcmil</t>
        </is>
      </c>
      <c r="N5345" s="12" t="n">
        <v>2</v>
      </c>
      <c r="O5345" s="12" t="n">
        <v>3</v>
      </c>
      <c r="P5345" s="12" t="n">
        <v>13800</v>
      </c>
      <c r="Q5345" s="12" t="n">
        <v>18400</v>
      </c>
      <c r="R5345" s="12" t="n">
        <v>770</v>
      </c>
      <c r="S5345" s="12" t="inlineStr">
        <is>
          <t>Duct bank</t>
        </is>
      </c>
      <c r="T5345" s="16" t="n">
        <v>550</v>
      </c>
      <c r="U5345" s="16" t="n">
        <v>81</v>
      </c>
      <c r="V5345" s="16">
        <f>ROUNDUP((T5345+U5345+2*'Read Me'!$B$13)*(1+'Read Me'!$B$12),-1)</f>
        <v/>
      </c>
      <c r="W5345" s="16">
        <f>V5345*N5345*O5345</f>
        <v/>
      </c>
      <c r="X5345" s="12">
        <f>IF(LEFT(I5345,2)="MV",2*N5345*IF(L5345="1/C",O5345,1),0)</f>
        <v/>
      </c>
      <c r="Y5345" s="12">
        <f>IF(OR(LEFT(K5345,4)="LVAX",LEFT(K5345,6)="MV15AX",LEFT(K5345,4)="CTAX",LEFT(K5345,2)="W|"),2*N5345*O5345,0)</f>
        <v/>
      </c>
      <c r="Z5345" s="12" t="inlineStr">
        <is>
          <t>18V50 class ~18 MW (typ.)</t>
        </is>
      </c>
      <c r="AA5345" s="12">
        <f>N5345*O5345</f>
        <v/>
      </c>
    </row>
    <row r="5346">
      <c r="A5346" s="12" t="inlineStr">
        <is>
          <t>I-MV-0018</t>
        </is>
      </c>
      <c r="B5346" s="12" t="inlineStr">
        <is>
          <t>I</t>
        </is>
      </c>
      <c r="C5346" s="12" t="inlineStr">
        <is>
          <t>Modular / portable power</t>
        </is>
      </c>
      <c r="D5346" s="12" t="inlineStr">
        <is>
          <t>RICE-4 generator leads to the PCM</t>
        </is>
      </c>
      <c r="E5346" s="12" t="inlineStr">
        <is>
          <t>RICE-4</t>
        </is>
      </c>
      <c r="F5346" s="12" t="inlineStr">
        <is>
          <t>RICE engine-generator 4</t>
        </is>
      </c>
      <c r="G5346" s="12" t="inlineStr"/>
      <c r="H5346" s="12" t="inlineStr">
        <is>
          <t>PCM: power control module</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2</v>
      </c>
      <c r="O5346" s="12" t="n">
        <v>3</v>
      </c>
      <c r="P5346" s="12" t="n">
        <v>13800</v>
      </c>
      <c r="Q5346" s="12" t="n">
        <v>18400</v>
      </c>
      <c r="R5346" s="12" t="n">
        <v>770</v>
      </c>
      <c r="S5346" s="12" t="inlineStr">
        <is>
          <t>Duct bank</t>
        </is>
      </c>
      <c r="T5346" s="16" t="n">
        <v>550</v>
      </c>
      <c r="U5346" s="16" t="n">
        <v>53</v>
      </c>
      <c r="V5346" s="16">
        <f>ROUNDUP((T5346+U5346+2*'Read Me'!$B$13)*(1+'Read Me'!$B$12),-1)</f>
        <v/>
      </c>
      <c r="W5346" s="16">
        <f>V5346*N5346*O5346</f>
        <v/>
      </c>
      <c r="X5346" s="12">
        <f>IF(LEFT(I5346,2)="MV",2*N5346*IF(L5346="1/C",O5346,1),0)</f>
        <v/>
      </c>
      <c r="Y5346" s="12">
        <f>IF(OR(LEFT(K5346,4)="LVAX",LEFT(K5346,6)="MV15AX",LEFT(K5346,4)="CTAX",LEFT(K5346,2)="W|"),2*N5346*O5346,0)</f>
        <v/>
      </c>
      <c r="Z5346" s="12" t="inlineStr">
        <is>
          <t>18V50 class ~18 MW (typ.)</t>
        </is>
      </c>
      <c r="AA5346" s="12">
        <f>N5346*O5346</f>
        <v/>
      </c>
    </row>
    <row r="5347">
      <c r="A5347" s="12" t="inlineStr">
        <is>
          <t>I-MV-0019</t>
        </is>
      </c>
      <c r="B5347" s="12" t="inlineStr">
        <is>
          <t>I</t>
        </is>
      </c>
      <c r="C5347" s="12" t="inlineStr">
        <is>
          <t>Modular / portable power</t>
        </is>
      </c>
      <c r="D5347" s="12" t="inlineStr">
        <is>
          <t>RICE-5 generator leads to the PCM</t>
        </is>
      </c>
      <c r="E5347" s="12" t="inlineStr">
        <is>
          <t>RICE-5</t>
        </is>
      </c>
      <c r="F5347" s="12" t="inlineStr">
        <is>
          <t>RICE engine-generator 5</t>
        </is>
      </c>
      <c r="G5347" s="12" t="inlineStr"/>
      <c r="H5347" s="12" t="inlineStr">
        <is>
          <t>PCM: power control module</t>
        </is>
      </c>
      <c r="I5347" s="12" t="inlineStr">
        <is>
          <t>MV 15 kV</t>
        </is>
      </c>
      <c r="J5347" s="12" t="inlineStr">
        <is>
          <t>MV-105 15 kV 1/C Cu, EPR 133%, Cu tape shield, PVC jacket (triplexed)</t>
        </is>
      </c>
      <c r="K5347" s="12" t="inlineStr">
        <is>
          <t>MV15|1/C|750</t>
        </is>
      </c>
      <c r="L5347" s="12" t="inlineStr">
        <is>
          <t>1/C</t>
        </is>
      </c>
      <c r="M5347" s="12" t="inlineStr">
        <is>
          <t>750 kcmil</t>
        </is>
      </c>
      <c r="N5347" s="12" t="n">
        <v>2</v>
      </c>
      <c r="O5347" s="12" t="n">
        <v>3</v>
      </c>
      <c r="P5347" s="12" t="n">
        <v>13800</v>
      </c>
      <c r="Q5347" s="12" t="n">
        <v>18400</v>
      </c>
      <c r="R5347" s="12" t="n">
        <v>770</v>
      </c>
      <c r="S5347" s="12" t="inlineStr">
        <is>
          <t>Duct bank</t>
        </is>
      </c>
      <c r="T5347" s="16" t="n">
        <v>525</v>
      </c>
      <c r="U5347" s="16" t="n">
        <v>50</v>
      </c>
      <c r="V5347" s="16">
        <f>ROUNDUP((T5347+U5347+2*'Read Me'!$B$13)*(1+'Read Me'!$B$12),-1)</f>
        <v/>
      </c>
      <c r="W5347" s="16">
        <f>V5347*N5347*O5347</f>
        <v/>
      </c>
      <c r="X5347" s="12">
        <f>IF(LEFT(I5347,2)="MV",2*N5347*IF(L5347="1/C",O5347,1),0)</f>
        <v/>
      </c>
      <c r="Y5347" s="12">
        <f>IF(OR(LEFT(K5347,4)="LVAX",LEFT(K5347,6)="MV15AX",LEFT(K5347,4)="CTAX",LEFT(K5347,2)="W|"),2*N5347*O5347,0)</f>
        <v/>
      </c>
      <c r="Z5347" s="12" t="inlineStr">
        <is>
          <t>18V50 class ~18 MW (typ.)</t>
        </is>
      </c>
      <c r="AA5347" s="12">
        <f>N5347*O5347</f>
        <v/>
      </c>
    </row>
    <row r="5348">
      <c r="A5348" s="12" t="inlineStr">
        <is>
          <t>I-MV-0020</t>
        </is>
      </c>
      <c r="B5348" s="12" t="inlineStr">
        <is>
          <t>I</t>
        </is>
      </c>
      <c r="C5348" s="12" t="inlineStr">
        <is>
          <t>Modular / portable power</t>
        </is>
      </c>
      <c r="D5348" s="12" t="inlineStr">
        <is>
          <t>RICE-6 generator leads to the PCM</t>
        </is>
      </c>
      <c r="E5348" s="12" t="inlineStr">
        <is>
          <t>RICE-6</t>
        </is>
      </c>
      <c r="F5348" s="12" t="inlineStr">
        <is>
          <t>RICE engine-generator 6</t>
        </is>
      </c>
      <c r="G5348" s="12" t="inlineStr"/>
      <c r="H5348" s="12" t="inlineStr">
        <is>
          <t>PCM: power control module</t>
        </is>
      </c>
      <c r="I5348" s="12" t="inlineStr">
        <is>
          <t>MV 15 kV</t>
        </is>
      </c>
      <c r="J5348" s="12" t="inlineStr">
        <is>
          <t>MV-105 15 kV 1/C Cu, EPR 133%, Cu tape shield, PVC jacket (triplexed)</t>
        </is>
      </c>
      <c r="K5348" s="12" t="inlineStr">
        <is>
          <t>MV15|1/C|750</t>
        </is>
      </c>
      <c r="L5348" s="12" t="inlineStr">
        <is>
          <t>1/C</t>
        </is>
      </c>
      <c r="M5348" s="12" t="inlineStr">
        <is>
          <t>750 kcmil</t>
        </is>
      </c>
      <c r="N5348" s="12" t="n">
        <v>2</v>
      </c>
      <c r="O5348" s="12" t="n">
        <v>3</v>
      </c>
      <c r="P5348" s="12" t="n">
        <v>13800</v>
      </c>
      <c r="Q5348" s="12" t="n">
        <v>18400</v>
      </c>
      <c r="R5348" s="12" t="n">
        <v>770</v>
      </c>
      <c r="S5348" s="12" t="inlineStr">
        <is>
          <t>Duct bank</t>
        </is>
      </c>
      <c r="T5348" s="16" t="n">
        <v>469</v>
      </c>
      <c r="U5348" s="16" t="n">
        <v>78</v>
      </c>
      <c r="V5348" s="16">
        <f>ROUNDUP((T5348+U5348+2*'Read Me'!$B$13)*(1+'Read Me'!$B$12),-1)</f>
        <v/>
      </c>
      <c r="W5348" s="16">
        <f>V5348*N5348*O5348</f>
        <v/>
      </c>
      <c r="X5348" s="12">
        <f>IF(LEFT(I5348,2)="MV",2*N5348*IF(L5348="1/C",O5348,1),0)</f>
        <v/>
      </c>
      <c r="Y5348" s="12">
        <f>IF(OR(LEFT(K5348,4)="LVAX",LEFT(K5348,6)="MV15AX",LEFT(K5348,4)="CTAX",LEFT(K5348,2)="W|"),2*N5348*O5348,0)</f>
        <v/>
      </c>
      <c r="Z5348" s="12" t="inlineStr">
        <is>
          <t>18V50 class ~18 MW (typ.)</t>
        </is>
      </c>
      <c r="AA5348" s="12">
        <f>N5348*O5348</f>
        <v/>
      </c>
    </row>
    <row r="5349">
      <c r="A5349" s="12" t="inlineStr">
        <is>
          <t>I-MV-0021</t>
        </is>
      </c>
      <c r="B5349" s="12" t="inlineStr">
        <is>
          <t>I</t>
        </is>
      </c>
      <c r="C5349" s="12" t="inlineStr">
        <is>
          <t>Modular / portable power</t>
        </is>
      </c>
      <c r="D5349" s="12" t="inlineStr">
        <is>
          <t>RICE-7 generator leads to the PCM</t>
        </is>
      </c>
      <c r="E5349" s="12" t="inlineStr">
        <is>
          <t>RICE-7</t>
        </is>
      </c>
      <c r="F5349" s="12" t="inlineStr">
        <is>
          <t>RICE engine-generator 7</t>
        </is>
      </c>
      <c r="G5349" s="12" t="inlineStr"/>
      <c r="H5349" s="12" t="inlineStr">
        <is>
          <t>PCM: power control module</t>
        </is>
      </c>
      <c r="I5349" s="12" t="inlineStr">
        <is>
          <t>MV 15 kV</t>
        </is>
      </c>
      <c r="J5349" s="12" t="inlineStr">
        <is>
          <t>MV-105 15 kV 1/C Cu, EPR 133%, Cu tape shield, PVC jacket (triplexed)</t>
        </is>
      </c>
      <c r="K5349" s="12" t="inlineStr">
        <is>
          <t>MV15|1/C|750</t>
        </is>
      </c>
      <c r="L5349" s="12" t="inlineStr">
        <is>
          <t>1/C</t>
        </is>
      </c>
      <c r="M5349" s="12" t="inlineStr">
        <is>
          <t>750 kcmil</t>
        </is>
      </c>
      <c r="N5349" s="12" t="n">
        <v>2</v>
      </c>
      <c r="O5349" s="12" t="n">
        <v>3</v>
      </c>
      <c r="P5349" s="12" t="n">
        <v>13800</v>
      </c>
      <c r="Q5349" s="12" t="n">
        <v>18400</v>
      </c>
      <c r="R5349" s="12" t="n">
        <v>770</v>
      </c>
      <c r="S5349" s="12" t="inlineStr">
        <is>
          <t>Tray</t>
        </is>
      </c>
      <c r="T5349" s="16" t="n">
        <v>83</v>
      </c>
      <c r="U5349" s="16" t="n">
        <v>106</v>
      </c>
      <c r="V5349" s="16">
        <f>ROUNDUP((T5349+U5349+2*'Read Me'!$B$13)*(1+'Read Me'!$B$12),-1)</f>
        <v/>
      </c>
      <c r="W5349" s="16">
        <f>V5349*N5349*O5349</f>
        <v/>
      </c>
      <c r="X5349" s="12">
        <f>IF(LEFT(I5349,2)="MV",2*N5349*IF(L5349="1/C",O5349,1),0)</f>
        <v/>
      </c>
      <c r="Y5349" s="12">
        <f>IF(OR(LEFT(K5349,4)="LVAX",LEFT(K5349,6)="MV15AX",LEFT(K5349,4)="CTAX",LEFT(K5349,2)="W|"),2*N5349*O5349,0)</f>
        <v/>
      </c>
      <c r="Z5349" s="12" t="inlineStr">
        <is>
          <t>18V50 class ~18 MW (typ.)</t>
        </is>
      </c>
      <c r="AA5349" s="12">
        <f>N5349*O5349</f>
        <v/>
      </c>
    </row>
    <row r="5350">
      <c r="A5350" s="12" t="inlineStr">
        <is>
          <t>I-MV-0022</t>
        </is>
      </c>
      <c r="B5350" s="12" t="inlineStr">
        <is>
          <t>I</t>
        </is>
      </c>
      <c r="C5350" s="12" t="inlineStr">
        <is>
          <t>Modular / portable power</t>
        </is>
      </c>
      <c r="D5350" s="12" t="inlineStr">
        <is>
          <t>RICE-8 generator leads to the PCM</t>
        </is>
      </c>
      <c r="E5350" s="12" t="inlineStr">
        <is>
          <t>RICE-8</t>
        </is>
      </c>
      <c r="F5350" s="12" t="inlineStr">
        <is>
          <t>RICE engine-generator 8</t>
        </is>
      </c>
      <c r="G5350" s="12" t="inlineStr"/>
      <c r="H5350" s="12" t="inlineStr">
        <is>
          <t>PCM: power control module</t>
        </is>
      </c>
      <c r="I5350" s="12" t="inlineStr">
        <is>
          <t>MV 15 kV</t>
        </is>
      </c>
      <c r="J5350" s="12" t="inlineStr">
        <is>
          <t>MV-105 15 kV 1/C Cu, EPR 133%, Cu tape shield, PVC jacket (triplexed)</t>
        </is>
      </c>
      <c r="K5350" s="12" t="inlineStr">
        <is>
          <t>MV15|1/C|750</t>
        </is>
      </c>
      <c r="L5350" s="12" t="inlineStr">
        <is>
          <t>1/C</t>
        </is>
      </c>
      <c r="M5350" s="12" t="inlineStr">
        <is>
          <t>750 kcmil</t>
        </is>
      </c>
      <c r="N5350" s="12" t="n">
        <v>2</v>
      </c>
      <c r="O5350" s="12" t="n">
        <v>3</v>
      </c>
      <c r="P5350" s="12" t="n">
        <v>13800</v>
      </c>
      <c r="Q5350" s="12" t="n">
        <v>18400</v>
      </c>
      <c r="R5350" s="12" t="n">
        <v>770</v>
      </c>
      <c r="S5350" s="12" t="inlineStr">
        <is>
          <t>Tray</t>
        </is>
      </c>
      <c r="T5350" s="16" t="n">
        <v>37</v>
      </c>
      <c r="U5350" s="16" t="n">
        <v>124</v>
      </c>
      <c r="V5350" s="16">
        <f>ROUNDUP((T5350+U5350+2*'Read Me'!$B$13)*(1+'Read Me'!$B$12),-1)</f>
        <v/>
      </c>
      <c r="W5350" s="16">
        <f>V5350*N5350*O5350</f>
        <v/>
      </c>
      <c r="X5350" s="12">
        <f>IF(LEFT(I5350,2)="MV",2*N5350*IF(L5350="1/C",O5350,1),0)</f>
        <v/>
      </c>
      <c r="Y5350" s="12">
        <f>IF(OR(LEFT(K5350,4)="LVAX",LEFT(K5350,6)="MV15AX",LEFT(K5350,4)="CTAX",LEFT(K5350,2)="W|"),2*N5350*O5350,0)</f>
        <v/>
      </c>
      <c r="Z5350" s="12" t="inlineStr">
        <is>
          <t>18V50 class ~18 MW (typ.)</t>
        </is>
      </c>
      <c r="AA5350" s="12">
        <f>N5350*O5350</f>
        <v/>
      </c>
    </row>
    <row r="5351">
      <c r="A5351" s="12" t="inlineStr">
        <is>
          <t>I-MV-0023</t>
        </is>
      </c>
      <c r="B5351" s="12" t="inlineStr">
        <is>
          <t>I</t>
        </is>
      </c>
      <c r="C5351" s="12" t="inlineStr">
        <is>
          <t>Modular / portable power</t>
        </is>
      </c>
      <c r="D5351" s="12" t="inlineStr">
        <is>
          <t>SC-1 (LM6000 class) generator leads to its PCM / GCB</t>
        </is>
      </c>
      <c r="E5351" s="12" t="inlineStr">
        <is>
          <t>SC-1</t>
        </is>
      </c>
      <c r="F5351" s="12" t="inlineStr">
        <is>
          <t>SC-1: aeroderivative simple-cycle unit (LM6000 class)</t>
        </is>
      </c>
      <c r="G5351" s="12" t="inlineStr"/>
      <c r="H5351" s="12" t="inlineStr">
        <is>
          <t>SC-1 PCM + 15 kV GCB</t>
        </is>
      </c>
      <c r="I5351" s="12" t="inlineStr">
        <is>
          <t>MV 15 kV</t>
        </is>
      </c>
      <c r="J5351" s="12" t="inlineStr">
        <is>
          <t>MV-105 15 kV 1/C Cu, EPR 133%, Cu tape shield, PVC jacket (triplexed)</t>
        </is>
      </c>
      <c r="K5351" s="12" t="inlineStr">
        <is>
          <t>MV15|1/C|750</t>
        </is>
      </c>
      <c r="L5351" s="12" t="inlineStr">
        <is>
          <t>1/C</t>
        </is>
      </c>
      <c r="M5351" s="12" t="inlineStr">
        <is>
          <t>750 kcmil</t>
        </is>
      </c>
      <c r="N5351" s="12" t="n">
        <v>5</v>
      </c>
      <c r="O5351" s="12" t="n">
        <v>3</v>
      </c>
      <c r="P5351" s="12" t="n">
        <v>13800</v>
      </c>
      <c r="Q5351" s="12" t="n">
        <v>50000</v>
      </c>
      <c r="R5351" s="12" t="n">
        <v>2092</v>
      </c>
      <c r="S5351" s="12" t="inlineStr">
        <is>
          <t>Tray</t>
        </is>
      </c>
      <c r="T5351" s="16" t="n">
        <v>12</v>
      </c>
      <c r="U5351" s="16" t="n">
        <v>52</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I-MV-0024</t>
        </is>
      </c>
      <c r="B5352" s="12" t="inlineStr">
        <is>
          <t>I</t>
        </is>
      </c>
      <c r="C5352" s="12" t="inlineStr">
        <is>
          <t>Modular / portable power</t>
        </is>
      </c>
      <c r="D5352" s="12" t="inlineStr">
        <is>
          <t>SC-1 generator neutral to the NGR (in the terminal-box enclosure)</t>
        </is>
      </c>
      <c r="E5352" s="12" t="inlineStr">
        <is>
          <t>SC-1</t>
        </is>
      </c>
      <c r="F5352" s="12" t="inlineStr">
        <is>
          <t>SC-1: aeroderivative simple-cycle unit (LM6000 class)</t>
        </is>
      </c>
      <c r="G5352" s="12" t="inlineStr"/>
      <c r="H5352" s="12" t="inlineStr">
        <is>
          <t>SC-1 PCM + 15 kV GCB</t>
        </is>
      </c>
      <c r="I5352" s="12" t="inlineStr">
        <is>
          <t>MV 15 kV</t>
        </is>
      </c>
      <c r="J5352" s="12" t="inlineStr">
        <is>
          <t>MV-105 15 kV 1/C Cu, EPR 133%, Cu tape shield, PVC jacket (triplexed)</t>
        </is>
      </c>
      <c r="K5352" s="12" t="inlineStr">
        <is>
          <t>MV15|1/C|2</t>
        </is>
      </c>
      <c r="L5352" s="12" t="inlineStr">
        <is>
          <t>1/C</t>
        </is>
      </c>
      <c r="M5352" s="12" t="inlineStr">
        <is>
          <t>2</t>
        </is>
      </c>
      <c r="N5352" s="12" t="n">
        <v>1</v>
      </c>
      <c r="O5352" s="12" t="n">
        <v>1</v>
      </c>
      <c r="P5352" s="12" t="n">
        <v>13800</v>
      </c>
      <c r="Q5352" s="12" t="n"/>
      <c r="R5352" s="12" t="n"/>
      <c r="S5352" s="12" t="inlineStr">
        <is>
          <t>Conduit</t>
        </is>
      </c>
      <c r="T5352" s="16" t="n">
        <v>15</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neutral grounding resistor beside the generator enclosure</t>
        </is>
      </c>
      <c r="AA5352" s="12">
        <f>N5352*O5352</f>
        <v/>
      </c>
    </row>
    <row r="5353">
      <c r="A5353" s="12" t="inlineStr">
        <is>
          <t>I-MV-0025</t>
        </is>
      </c>
      <c r="B5353" s="12" t="inlineStr">
        <is>
          <t>I</t>
        </is>
      </c>
      <c r="C5353" s="12" t="inlineStr">
        <is>
          <t>Modular / portable power</t>
        </is>
      </c>
      <c r="D5353" s="12" t="inlineStr">
        <is>
          <t>SC-1 PCM auxiliary transformer primary, 2 MVA 13.8 kV / 480 V (from the GCB bus)</t>
        </is>
      </c>
      <c r="E5353" s="12" t="inlineStr"/>
      <c r="F5353" s="12" t="inlineStr">
        <is>
          <t>SC-1 PCM + 15 kV GCB</t>
        </is>
      </c>
      <c r="G5353" s="12" t="inlineStr"/>
      <c r="H5353" s="12" t="inlineStr">
        <is>
          <t>SC-1 PCM + 15 kV GCB</t>
        </is>
      </c>
      <c r="I5353" s="12" t="inlineStr">
        <is>
          <t>MV 15 kV</t>
        </is>
      </c>
      <c r="J5353" s="12" t="inlineStr">
        <is>
          <t>MV-105 15 kV 1/C Cu, EPR 133%, Cu tape shield, PVC jacket (triplexed)</t>
        </is>
      </c>
      <c r="K5353" s="12" t="inlineStr">
        <is>
          <t>MV15|1/C|2</t>
        </is>
      </c>
      <c r="L5353" s="12" t="inlineStr">
        <is>
          <t>1/C</t>
        </is>
      </c>
      <c r="M5353" s="12" t="inlineStr">
        <is>
          <t>2</t>
        </is>
      </c>
      <c r="N5353" s="12" t="n">
        <v>1</v>
      </c>
      <c r="O5353" s="12" t="n">
        <v>3</v>
      </c>
      <c r="P5353" s="12" t="n">
        <v>13800</v>
      </c>
      <c r="Q5353" s="12" t="n">
        <v>2000</v>
      </c>
      <c r="R5353" s="12" t="n">
        <v>84</v>
      </c>
      <c r="S5353" s="12" t="inlineStr">
        <is>
          <t>Tray</t>
        </is>
      </c>
      <c r="T5353" s="16" t="n">
        <v>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is>
          <t>internal to the PCM; ~1.0-1.1 MW connected 480 V load + 0.5 MW conditional inlet chiller</t>
        </is>
      </c>
      <c r="AA5353" s="12">
        <f>N5353*O5353</f>
        <v/>
      </c>
    </row>
    <row r="5354">
      <c r="A5354" s="12" t="inlineStr">
        <is>
          <t>I-MV-0026</t>
        </is>
      </c>
      <c r="B5354" s="12" t="inlineStr">
        <is>
          <t>I</t>
        </is>
      </c>
      <c r="C5354" s="12" t="inlineStr">
        <is>
          <t>Modular / portable power</t>
        </is>
      </c>
      <c r="D5354" s="12" t="inlineStr">
        <is>
          <t>SC-2 (LM6000 class) generator leads to its PCM / GCB</t>
        </is>
      </c>
      <c r="E5354" s="12" t="inlineStr">
        <is>
          <t>SC-2</t>
        </is>
      </c>
      <c r="F5354" s="12" t="inlineStr">
        <is>
          <t>SC-2: aeroderivative simple-cycle unit (LM6000 class)</t>
        </is>
      </c>
      <c r="G5354" s="12" t="inlineStr"/>
      <c r="H5354" s="12" t="inlineStr">
        <is>
          <t>SC-2 PCM + 15 kV GCB</t>
        </is>
      </c>
      <c r="I5354" s="12" t="inlineStr">
        <is>
          <t>MV 15 kV</t>
        </is>
      </c>
      <c r="J5354" s="12" t="inlineStr">
        <is>
          <t>MV-105 15 kV 1/C Cu, EPR 133%, Cu tape shield, PVC jacket (triplexed)</t>
        </is>
      </c>
      <c r="K5354" s="12" t="inlineStr">
        <is>
          <t>MV15|1/C|750</t>
        </is>
      </c>
      <c r="L5354" s="12" t="inlineStr">
        <is>
          <t>1/C</t>
        </is>
      </c>
      <c r="M5354" s="12" t="inlineStr">
        <is>
          <t>750 kcmil</t>
        </is>
      </c>
      <c r="N5354" s="12" t="n">
        <v>5</v>
      </c>
      <c r="O5354" s="12" t="n">
        <v>3</v>
      </c>
      <c r="P5354" s="12" t="n">
        <v>13800</v>
      </c>
      <c r="Q5354" s="12" t="n">
        <v>50000</v>
      </c>
      <c r="R5354" s="12" t="n">
        <v>2092</v>
      </c>
      <c r="S5354" s="12" t="inlineStr">
        <is>
          <t>Tray</t>
        </is>
      </c>
      <c r="T5354" s="16" t="n">
        <v>0</v>
      </c>
      <c r="U5354" s="16" t="n">
        <v>57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I-MV-0027</t>
        </is>
      </c>
      <c r="B5355" s="12" t="inlineStr">
        <is>
          <t>I</t>
        </is>
      </c>
      <c r="C5355" s="12" t="inlineStr">
        <is>
          <t>Modular / portable power</t>
        </is>
      </c>
      <c r="D5355" s="12" t="inlineStr">
        <is>
          <t>SC-2 generator neutral to the NGR (in the terminal-box enclosure)</t>
        </is>
      </c>
      <c r="E5355" s="12" t="inlineStr">
        <is>
          <t>SC-2</t>
        </is>
      </c>
      <c r="F5355" s="12" t="inlineStr">
        <is>
          <t>SC-2: aeroderivative simple-cycle unit (LM6000 class)</t>
        </is>
      </c>
      <c r="G5355" s="12" t="inlineStr"/>
      <c r="H5355" s="12" t="inlineStr">
        <is>
          <t>SC-2 PCM + 15 kV GCB</t>
        </is>
      </c>
      <c r="I5355" s="12" t="inlineStr">
        <is>
          <t>MV 15 kV</t>
        </is>
      </c>
      <c r="J5355" s="12" t="inlineStr">
        <is>
          <t>MV-105 15 kV 1/C Cu, EPR 133%, Cu tape shield, PVC jacket (triplexed)</t>
        </is>
      </c>
      <c r="K5355" s="12" t="inlineStr">
        <is>
          <t>MV15|1/C|2</t>
        </is>
      </c>
      <c r="L5355" s="12" t="inlineStr">
        <is>
          <t>1/C</t>
        </is>
      </c>
      <c r="M5355" s="12" t="inlineStr">
        <is>
          <t>2</t>
        </is>
      </c>
      <c r="N5355" s="12" t="n">
        <v>1</v>
      </c>
      <c r="O5355" s="12" t="n">
        <v>1</v>
      </c>
      <c r="P5355" s="12" t="n">
        <v>13800</v>
      </c>
      <c r="Q5355" s="12" t="n"/>
      <c r="R5355" s="12" t="n"/>
      <c r="S5355" s="12" t="inlineStr">
        <is>
          <t>Conduit</t>
        </is>
      </c>
      <c r="T5355" s="16" t="n">
        <v>15</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neutral grounding resistor beside the generator enclosure</t>
        </is>
      </c>
      <c r="AA5355" s="12">
        <f>N5355*O5355</f>
        <v/>
      </c>
    </row>
    <row r="5356">
      <c r="A5356" s="12" t="inlineStr">
        <is>
          <t>I-MV-0028</t>
        </is>
      </c>
      <c r="B5356" s="12" t="inlineStr">
        <is>
          <t>I</t>
        </is>
      </c>
      <c r="C5356" s="12" t="inlineStr">
        <is>
          <t>Modular / portable power</t>
        </is>
      </c>
      <c r="D5356" s="12" t="inlineStr">
        <is>
          <t>SC-2 PCM auxiliary transformer primary, 2 MVA 13.8 kV / 480 V (from the GCB bus)</t>
        </is>
      </c>
      <c r="E5356" s="12" t="inlineStr"/>
      <c r="F5356" s="12" t="inlineStr">
        <is>
          <t>SC-2 PCM + 15 kV GCB</t>
        </is>
      </c>
      <c r="G5356" s="12" t="inlineStr"/>
      <c r="H5356" s="12" t="inlineStr">
        <is>
          <t>SC-2 PCM + 15 kV GCB</t>
        </is>
      </c>
      <c r="I5356" s="12" t="inlineStr">
        <is>
          <t>MV 15 kV</t>
        </is>
      </c>
      <c r="J5356" s="12" t="inlineStr">
        <is>
          <t>MV-105 15 kV 1/C Cu, EPR 133%, Cu tape shield, PVC jacket (triplexed)</t>
        </is>
      </c>
      <c r="K5356" s="12" t="inlineStr">
        <is>
          <t>MV15|1/C|2</t>
        </is>
      </c>
      <c r="L5356" s="12" t="inlineStr">
        <is>
          <t>1/C</t>
        </is>
      </c>
      <c r="M5356" s="12" t="inlineStr">
        <is>
          <t>2</t>
        </is>
      </c>
      <c r="N5356" s="12" t="n">
        <v>1</v>
      </c>
      <c r="O5356" s="12" t="n">
        <v>3</v>
      </c>
      <c r="P5356" s="12" t="n">
        <v>13800</v>
      </c>
      <c r="Q5356" s="12" t="n">
        <v>2000</v>
      </c>
      <c r="R5356" s="12" t="n">
        <v>84</v>
      </c>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is>
          <t>internal to the PCM; ~1.0-1.1 MW connected 480 V load + 0.5 MW conditional inlet chiller</t>
        </is>
      </c>
      <c r="AA5356" s="12">
        <f>N5356*O5356</f>
        <v/>
      </c>
    </row>
    <row r="5357">
      <c r="A5357" s="12" t="inlineStr">
        <is>
          <t>I-PP-0001</t>
        </is>
      </c>
      <c r="B5357" s="12" t="inlineStr">
        <is>
          <t>I</t>
        </is>
      </c>
      <c r="C5357" s="12" t="inlineStr">
        <is>
          <t>Modular / portable power</t>
        </is>
      </c>
      <c r="D5357" s="12" t="inlineStr">
        <is>
          <t>GEN-E 480 V to PAD-LV (Type W sets, cam-lock)</t>
        </is>
      </c>
      <c r="E5357" s="12" t="inlineStr">
        <is>
          <t>GEN-E</t>
        </is>
      </c>
      <c r="F5357" s="12" t="inlineStr">
        <is>
          <t>GEN-E: enclosed industrial gas genset 2 MW</t>
        </is>
      </c>
      <c r="G5357" s="12" t="inlineStr">
        <is>
          <t>PAD-LV</t>
        </is>
      </c>
      <c r="H5357" s="12" t="inlineStr">
        <is>
          <t>PAD-LV 480 V paralleling switchboard</t>
        </is>
      </c>
      <c r="I5357" s="12" t="inlineStr">
        <is>
          <t>Portable LV</t>
        </is>
      </c>
      <c r="J5357" s="12" t="inlineStr">
        <is>
          <t>Type W 2 kV 1/C Cu, EPDM / CPE (portable, cam-lock)</t>
        </is>
      </c>
      <c r="K5357" s="12" t="inlineStr">
        <is>
          <t>W|1/C|4/0</t>
        </is>
      </c>
      <c r="L5357" s="12" t="inlineStr">
        <is>
          <t>1/C</t>
        </is>
      </c>
      <c r="M5357" s="12" t="inlineStr">
        <is>
          <t>4/0</t>
        </is>
      </c>
      <c r="N5357" s="12" t="n">
        <v>8</v>
      </c>
      <c r="O5357" s="12" t="n">
        <v>4</v>
      </c>
      <c r="P5357" s="12" t="n">
        <v>480</v>
      </c>
      <c r="Q5357" s="12" t="n">
        <v>2000</v>
      </c>
      <c r="R5357" s="12" t="n">
        <v>2406</v>
      </c>
      <c r="S5357" s="12" t="inlineStr">
        <is>
          <t>Surface</t>
        </is>
      </c>
      <c r="T5357" s="16" t="n">
        <v>143</v>
      </c>
      <c r="U5357" s="16" t="n">
        <v>27</v>
      </c>
      <c r="V5357" s="16">
        <f>ROUNDUP((T5357+U5357+2*'Read Me'!$B$13)*(1+'Read Me'!$B$12),-1)</f>
        <v/>
      </c>
      <c r="W5357" s="16">
        <f>V5357*N5357*O5357</f>
        <v/>
      </c>
      <c r="X5357" s="12">
        <f>IF(LEFT(I5357,2)="MV",2*N5357*IF(L5357="1/C",O5357,1),0)</f>
        <v/>
      </c>
      <c r="Y5357" s="12">
        <f>IF(OR(LEFT(K5357,4)="LVAX",LEFT(K5357,6)="MV15AX",LEFT(K5357,4)="CTAX",LEFT(K5357,2)="W|"),2*N5357*O5357,0)</f>
        <v/>
      </c>
      <c r="Z5357" s="12" t="inlineStr">
        <is>
          <t>4 x 1/C per set incl. ground</t>
        </is>
      </c>
      <c r="AA5357" s="12">
        <f>N5357*O5357</f>
        <v/>
      </c>
    </row>
    <row r="5358">
      <c r="A5358" s="12" t="inlineStr">
        <is>
          <t>I-PP-0002</t>
        </is>
      </c>
      <c r="B5358" s="12" t="inlineStr">
        <is>
          <t>I</t>
        </is>
      </c>
      <c r="C5358" s="12" t="inlineStr">
        <is>
          <t>Modular / portable power</t>
        </is>
      </c>
      <c r="D5358" s="12" t="inlineStr">
        <is>
          <t>GEN-O 480 V to PAD-LV (Type W sets, cam-lock)</t>
        </is>
      </c>
      <c r="E5358" s="12" t="inlineStr">
        <is>
          <t>GEN-O</t>
        </is>
      </c>
      <c r="F5358" s="12" t="inlineStr">
        <is>
          <t>GEN-O: open engine-generator skid</t>
        </is>
      </c>
      <c r="G5358" s="12" t="inlineStr">
        <is>
          <t>PAD-LV</t>
        </is>
      </c>
      <c r="H5358" s="12" t="inlineStr">
        <is>
          <t>PAD-LV 480 V paralleling switchboard</t>
        </is>
      </c>
      <c r="I5358" s="12" t="inlineStr">
        <is>
          <t>Portable LV</t>
        </is>
      </c>
      <c r="J5358" s="12" t="inlineStr">
        <is>
          <t>Type W 2 kV 1/C Cu, EPDM / CPE (portable, cam-lock)</t>
        </is>
      </c>
      <c r="K5358" s="12" t="inlineStr">
        <is>
          <t>W|1/C|4/0</t>
        </is>
      </c>
      <c r="L5358" s="12" t="inlineStr">
        <is>
          <t>1/C</t>
        </is>
      </c>
      <c r="M5358" s="12" t="inlineStr">
        <is>
          <t>4/0</t>
        </is>
      </c>
      <c r="N5358" s="12" t="n">
        <v>4</v>
      </c>
      <c r="O5358" s="12" t="n">
        <v>4</v>
      </c>
      <c r="P5358" s="12" t="n">
        <v>480</v>
      </c>
      <c r="Q5358" s="12" t="n">
        <v>1000</v>
      </c>
      <c r="R5358" s="12" t="n">
        <v>1203</v>
      </c>
      <c r="S5358" s="12" t="inlineStr">
        <is>
          <t>Surface</t>
        </is>
      </c>
      <c r="T5358" s="16" t="n">
        <v>132</v>
      </c>
      <c r="U5358" s="16" t="n">
        <v>27</v>
      </c>
      <c r="V5358" s="16">
        <f>ROUNDUP((T5358+U5358+2*'Read Me'!$B$13)*(1+'Read Me'!$B$12),-1)</f>
        <v/>
      </c>
      <c r="W5358" s="16">
        <f>V5358*N5358*O5358</f>
        <v/>
      </c>
      <c r="X5358" s="12">
        <f>IF(LEFT(I5358,2)="MV",2*N5358*IF(L5358="1/C",O5358,1),0)</f>
        <v/>
      </c>
      <c r="Y5358" s="12">
        <f>IF(OR(LEFT(K5358,4)="LVAX",LEFT(K5358,6)="MV15AX",LEFT(K5358,4)="CTAX",LEFT(K5358,2)="W|"),2*N5358*O5358,0)</f>
        <v/>
      </c>
      <c r="Z5358" s="12" t="inlineStr">
        <is>
          <t>4 x 1/C per set incl. ground</t>
        </is>
      </c>
      <c r="AA5358" s="12">
        <f>N5358*O5358</f>
        <v/>
      </c>
    </row>
    <row r="5359">
      <c r="A5359" s="12" t="inlineStr">
        <is>
          <t>I-PP-0003</t>
        </is>
      </c>
      <c r="B5359" s="12" t="inlineStr">
        <is>
          <t>I</t>
        </is>
      </c>
      <c r="C5359" s="12" t="inlineStr">
        <is>
          <t>Modular / portable power</t>
        </is>
      </c>
      <c r="D5359" s="12" t="inlineStr">
        <is>
          <t>CONT-1 13.8 kV leads to GSP-1</t>
        </is>
      </c>
      <c r="E5359" s="12" t="inlineStr">
        <is>
          <t>CONT-1</t>
        </is>
      </c>
      <c r="F5359" s="12" t="inlineStr">
        <is>
          <t>CONT-1: containerized genset 13.8 kV (40 ft)</t>
        </is>
      </c>
      <c r="G5359" s="12" t="inlineStr">
        <is>
          <t>GSP-1</t>
        </is>
      </c>
      <c r="H5359" s="12" t="inlineStr">
        <is>
          <t>GSP-1: generator breaker / protection</t>
        </is>
      </c>
      <c r="I5359" s="12" t="inlineStr">
        <is>
          <t>Portable MV</t>
        </is>
      </c>
      <c r="J5359" s="12" t="inlineStr">
        <is>
          <t>Type SHD-GC 15 kV 3/C Cu, 2 grounds + GC, yellow CPE (portable)</t>
        </is>
      </c>
      <c r="K5359" s="12" t="inlineStr">
        <is>
          <t>SHD|3/C|2</t>
        </is>
      </c>
      <c r="L5359" s="12" t="inlineStr">
        <is>
          <t>3/C</t>
        </is>
      </c>
      <c r="M5359" s="12" t="inlineStr">
        <is>
          <t>2</t>
        </is>
      </c>
      <c r="N5359" s="12" t="n">
        <v>1</v>
      </c>
      <c r="O5359" s="12" t="n">
        <v>1</v>
      </c>
      <c r="P5359" s="12" t="n">
        <v>13800</v>
      </c>
      <c r="Q5359" s="12" t="n">
        <v>2000</v>
      </c>
      <c r="R5359" s="12" t="n">
        <v>93</v>
      </c>
      <c r="S5359" s="12" t="inlineStr">
        <is>
          <t>Tray</t>
        </is>
      </c>
      <c r="T5359" s="16" t="n">
        <v>0</v>
      </c>
      <c r="U5359" s="16" t="n">
        <v>29</v>
      </c>
      <c r="V5359" s="16">
        <f>ROUNDUP((T5359+U5359+2*'Read Me'!$B$13)*(1+'Read Me'!$B$12),-1)</f>
        <v/>
      </c>
      <c r="W5359" s="16">
        <f>V5359*N5359*O5359</f>
        <v/>
      </c>
      <c r="X5359" s="12">
        <f>IF(LEFT(I5359,2)="MV",2*N5359*IF(L5359="1/C",O5359,1),0)</f>
        <v/>
      </c>
      <c r="Y5359" s="12">
        <f>IF(OR(LEFT(K5359,4)="LVAX",LEFT(K5359,6)="MV15AX",LEFT(K5359,4)="CTAX",LEFT(K5359,2)="W|"),2*N5359*O5359,0)</f>
        <v/>
      </c>
      <c r="Z5359" s="12" t="inlineStr">
        <is>
          <t>portable, on grade</t>
        </is>
      </c>
      <c r="AA5359" s="12">
        <f>N5359*O5359</f>
        <v/>
      </c>
    </row>
    <row r="5360">
      <c r="A5360" s="12" t="inlineStr">
        <is>
          <t>I-PP-0004</t>
        </is>
      </c>
      <c r="B5360" s="12" t="inlineStr">
        <is>
          <t>I</t>
        </is>
      </c>
      <c r="C5360" s="12" t="inlineStr">
        <is>
          <t>Modular / portable power</t>
        </is>
      </c>
      <c r="D5360" s="12" t="inlineStr">
        <is>
          <t>CONT-2 13.8 kV leads to GSP-2</t>
        </is>
      </c>
      <c r="E5360" s="12" t="inlineStr">
        <is>
          <t>CONT-2</t>
        </is>
      </c>
      <c r="F5360" s="12" t="inlineStr">
        <is>
          <t>CONT-2: containerized genset 13.8 kV (40 ft)</t>
        </is>
      </c>
      <c r="G5360" s="12" t="inlineStr">
        <is>
          <t>GSP-2</t>
        </is>
      </c>
      <c r="H5360" s="12" t="inlineStr">
        <is>
          <t>GSP-2: generator breaker / protection</t>
        </is>
      </c>
      <c r="I5360" s="12" t="inlineStr">
        <is>
          <t>Portable MV</t>
        </is>
      </c>
      <c r="J5360" s="12" t="inlineStr">
        <is>
          <t>Type SHD-GC 15 kV 3/C Cu, 2 grounds + GC, yellow CPE (portable)</t>
        </is>
      </c>
      <c r="K5360" s="12" t="inlineStr">
        <is>
          <t>SHD|3/C|2</t>
        </is>
      </c>
      <c r="L5360" s="12" t="inlineStr">
        <is>
          <t>3/C</t>
        </is>
      </c>
      <c r="M5360" s="12" t="inlineStr">
        <is>
          <t>2</t>
        </is>
      </c>
      <c r="N5360" s="12" t="n">
        <v>1</v>
      </c>
      <c r="O5360" s="12" t="n">
        <v>1</v>
      </c>
      <c r="P5360" s="12" t="n">
        <v>13800</v>
      </c>
      <c r="Q5360" s="12" t="n">
        <v>2000</v>
      </c>
      <c r="R5360" s="12" t="n">
        <v>93</v>
      </c>
      <c r="S5360" s="12" t="inlineStr">
        <is>
          <t>Riser</t>
        </is>
      </c>
      <c r="T5360" s="16" t="n">
        <v>2</v>
      </c>
      <c r="U5360" s="16" t="n">
        <v>27</v>
      </c>
      <c r="V5360" s="16">
        <f>ROUNDUP((T5360+U5360+2*'Read Me'!$B$13)*(1+'Read Me'!$B$12),-1)</f>
        <v/>
      </c>
      <c r="W5360" s="16">
        <f>V5360*N5360*O5360</f>
        <v/>
      </c>
      <c r="X5360" s="12">
        <f>IF(LEFT(I5360,2)="MV",2*N5360*IF(L5360="1/C",O5360,1),0)</f>
        <v/>
      </c>
      <c r="Y5360" s="12">
        <f>IF(OR(LEFT(K5360,4)="LVAX",LEFT(K5360,6)="MV15AX",LEFT(K5360,4)="CTAX",LEFT(K5360,2)="W|"),2*N5360*O5360,0)</f>
        <v/>
      </c>
      <c r="Z5360" s="12" t="inlineStr">
        <is>
          <t>portable, on grade</t>
        </is>
      </c>
      <c r="AA5360" s="12">
        <f>N5360*O5360</f>
        <v/>
      </c>
    </row>
    <row r="5361">
      <c r="A5361" s="12" t="inlineStr">
        <is>
          <t>I-PP-0005</t>
        </is>
      </c>
      <c r="B5361" s="12" t="inlineStr">
        <is>
          <t>I</t>
        </is>
      </c>
      <c r="C5361" s="12" t="inlineStr">
        <is>
          <t>Modular / portable power</t>
        </is>
      </c>
      <c r="D5361" s="12" t="inlineStr">
        <is>
          <t>PIC to commissioning load bank</t>
        </is>
      </c>
      <c r="E5361" s="12" t="inlineStr">
        <is>
          <t>PIC</t>
        </is>
      </c>
      <c r="F5361" s="12" t="inlineStr">
        <is>
          <t>PIC: portable input cabinet</t>
        </is>
      </c>
      <c r="G5361" s="12" t="inlineStr">
        <is>
          <t>LB</t>
        </is>
      </c>
      <c r="H5361" s="12" t="inlineStr">
        <is>
          <t>LB: commissioning load bank (trailer)</t>
        </is>
      </c>
      <c r="I5361" s="12" t="inlineStr">
        <is>
          <t>Portable MV</t>
        </is>
      </c>
      <c r="J5361" s="12" t="inlineStr">
        <is>
          <t>Type SHD-GC 15 kV 3/C Cu, 2 grounds + GC, yellow CPE (portable)</t>
        </is>
      </c>
      <c r="K5361" s="12" t="inlineStr">
        <is>
          <t>SHD|3/C|2</t>
        </is>
      </c>
      <c r="L5361" s="12" t="inlineStr">
        <is>
          <t>3/C</t>
        </is>
      </c>
      <c r="M5361" s="12" t="inlineStr">
        <is>
          <t>2</t>
        </is>
      </c>
      <c r="N5361" s="12" t="n">
        <v>1</v>
      </c>
      <c r="O5361" s="12" t="n">
        <v>1</v>
      </c>
      <c r="P5361" s="12" t="n">
        <v>13800</v>
      </c>
      <c r="Q5361" s="12" t="n">
        <v>2000</v>
      </c>
      <c r="R5361" s="12" t="n">
        <v>93</v>
      </c>
      <c r="S5361" s="12" t="inlineStr">
        <is>
          <t>Surface</t>
        </is>
      </c>
      <c r="T5361" s="16" t="n">
        <v>27</v>
      </c>
      <c r="U5361" s="16" t="n">
        <v>39</v>
      </c>
      <c r="V5361" s="16">
        <f>ROUNDUP((T5361+U5361+2*'Read Me'!$B$13)*(1+'Read Me'!$B$12),-1)</f>
        <v/>
      </c>
      <c r="W5361" s="16">
        <f>V5361*N5361*O5361</f>
        <v/>
      </c>
      <c r="X5361" s="12">
        <f>IF(LEFT(I5361,2)="MV",2*N5361*IF(L5361="1/C",O5361,1),0)</f>
        <v/>
      </c>
      <c r="Y5361" s="12">
        <f>IF(OR(LEFT(K5361,4)="LVAX",LEFT(K5361,6)="MV15AX",LEFT(K5361,4)="CTAX",LEFT(K5361,2)="W|"),2*N5361*O5361,0)</f>
        <v/>
      </c>
      <c r="Z5361" s="12" t="inlineStr">
        <is>
          <t>portable</t>
        </is>
      </c>
      <c r="AA5361" s="12">
        <f>N5361*O5361</f>
        <v/>
      </c>
    </row>
    <row r="5362">
      <c r="A5362" s="12" t="inlineStr">
        <is>
          <t>I-PP-0006</t>
        </is>
      </c>
      <c r="B5362" s="12" t="inlineStr">
        <is>
          <t>I</t>
        </is>
      </c>
      <c r="C5362" s="12" t="inlineStr">
        <is>
          <t>Modular / portable power</t>
        </is>
      </c>
      <c r="D5362" s="12" t="inlineStr">
        <is>
          <t>GSP-1 to PAD-EH</t>
        </is>
      </c>
      <c r="E5362" s="12" t="inlineStr">
        <is>
          <t>GSP-1</t>
        </is>
      </c>
      <c r="F5362" s="12" t="inlineStr">
        <is>
          <t>GSP-1: generator breaker / protection</t>
        </is>
      </c>
      <c r="G5362" s="12" t="inlineStr">
        <is>
          <t>PAD-EH</t>
        </is>
      </c>
      <c r="H5362" s="12" t="inlineStr">
        <is>
          <t>PAD-EH 13.8 kV switchgear e-house</t>
        </is>
      </c>
      <c r="I5362" s="12" t="inlineStr">
        <is>
          <t>Portable MV</t>
        </is>
      </c>
      <c r="J5362" s="12" t="inlineStr">
        <is>
          <t>Type SHD-GC 15 kV 3/C Cu, 2 grounds + GC, yellow CPE (portable)</t>
        </is>
      </c>
      <c r="K5362" s="12" t="inlineStr">
        <is>
          <t>SHD|3/C|2</t>
        </is>
      </c>
      <c r="L5362" s="12" t="inlineStr">
        <is>
          <t>3/C</t>
        </is>
      </c>
      <c r="M5362" s="12" t="inlineStr">
        <is>
          <t>2</t>
        </is>
      </c>
      <c r="N5362" s="12" t="n">
        <v>1</v>
      </c>
      <c r="O5362" s="12" t="n">
        <v>1</v>
      </c>
      <c r="P5362" s="12" t="n">
        <v>13800</v>
      </c>
      <c r="Q5362" s="12" t="n">
        <v>2000</v>
      </c>
      <c r="R5362" s="12" t="n">
        <v>93</v>
      </c>
      <c r="S5362" s="12" t="inlineStr">
        <is>
          <t>Surface</t>
        </is>
      </c>
      <c r="T5362" s="16" t="n">
        <v>298</v>
      </c>
      <c r="U5362" s="16" t="n">
        <v>37</v>
      </c>
      <c r="V5362" s="16">
        <f>ROUNDUP((T5362+U5362+2*'Read Me'!$B$13)*(1+'Read Me'!$B$12),-1)</f>
        <v/>
      </c>
      <c r="W5362" s="16">
        <f>V5362*N5362*O5362</f>
        <v/>
      </c>
      <c r="X5362" s="12">
        <f>IF(LEFT(I5362,2)="MV",2*N5362*IF(L5362="1/C",O5362,1),0)</f>
        <v/>
      </c>
      <c r="Y5362" s="12">
        <f>IF(OR(LEFT(K5362,4)="LVAX",LEFT(K5362,6)="MV15AX",LEFT(K5362,4)="CTAX",LEFT(K5362,2)="W|"),2*N5362*O5362,0)</f>
        <v/>
      </c>
      <c r="Z5362" s="12" t="inlineStr">
        <is>
          <t>portable, on grade</t>
        </is>
      </c>
      <c r="AA5362" s="12">
        <f>N5362*O5362</f>
        <v/>
      </c>
    </row>
    <row r="5363">
      <c r="A5363" s="12" t="inlineStr">
        <is>
          <t>I-PP-0007</t>
        </is>
      </c>
      <c r="B5363" s="12" t="inlineStr">
        <is>
          <t>I</t>
        </is>
      </c>
      <c r="C5363" s="12" t="inlineStr">
        <is>
          <t>Modular / portable power</t>
        </is>
      </c>
      <c r="D5363" s="12" t="inlineStr">
        <is>
          <t>GSP-2 to PAD-EH</t>
        </is>
      </c>
      <c r="E5363" s="12" t="inlineStr">
        <is>
          <t>GSP-2</t>
        </is>
      </c>
      <c r="F5363" s="12" t="inlineStr">
        <is>
          <t>GSP-2: generator breaker / protection</t>
        </is>
      </c>
      <c r="G5363" s="12" t="inlineStr">
        <is>
          <t>PAD-EH</t>
        </is>
      </c>
      <c r="H5363" s="12" t="inlineStr">
        <is>
          <t>PAD-EH 13.8 kV switchgear e-house</t>
        </is>
      </c>
      <c r="I5363" s="12" t="inlineStr">
        <is>
          <t>Portable MV</t>
        </is>
      </c>
      <c r="J5363" s="12" t="inlineStr">
        <is>
          <t>Type SHD-GC 15 kV 3/C Cu, 2 grounds + GC, yellow CPE (portable)</t>
        </is>
      </c>
      <c r="K5363" s="12" t="inlineStr">
        <is>
          <t>SHD|3/C|2</t>
        </is>
      </c>
      <c r="L5363" s="12" t="inlineStr">
        <is>
          <t>3/C</t>
        </is>
      </c>
      <c r="M5363" s="12" t="inlineStr">
        <is>
          <t>2</t>
        </is>
      </c>
      <c r="N5363" s="12" t="n">
        <v>1</v>
      </c>
      <c r="O5363" s="12" t="n">
        <v>1</v>
      </c>
      <c r="P5363" s="12" t="n">
        <v>13800</v>
      </c>
      <c r="Q5363" s="12" t="n">
        <v>2000</v>
      </c>
      <c r="R5363" s="12" t="n">
        <v>93</v>
      </c>
      <c r="S5363" s="12" t="inlineStr">
        <is>
          <t>Surface</t>
        </is>
      </c>
      <c r="T5363" s="16" t="n">
        <v>269</v>
      </c>
      <c r="U5363" s="16" t="n">
        <v>37</v>
      </c>
      <c r="V5363" s="16">
        <f>ROUNDUP((T5363+U5363+2*'Read Me'!$B$13)*(1+'Read Me'!$B$12),-1)</f>
        <v/>
      </c>
      <c r="W5363" s="16">
        <f>V5363*N5363*O5363</f>
        <v/>
      </c>
      <c r="X5363" s="12">
        <f>IF(LEFT(I5363,2)="MV",2*N5363*IF(L5363="1/C",O5363,1),0)</f>
        <v/>
      </c>
      <c r="Y5363" s="12">
        <f>IF(OR(LEFT(K5363,4)="LVAX",LEFT(K5363,6)="MV15AX",LEFT(K5363,4)="CTAX",LEFT(K5363,2)="W|"),2*N5363*O5363,0)</f>
        <v/>
      </c>
      <c r="Z5363" s="12" t="inlineStr">
        <is>
          <t>portable, on grade</t>
        </is>
      </c>
      <c r="AA5363" s="12">
        <f>N5363*O5363</f>
        <v/>
      </c>
    </row>
    <row r="5364">
      <c r="A5364" s="12" t="inlineStr">
        <is>
          <t>I-PP-0008</t>
        </is>
      </c>
      <c r="B5364" s="12" t="inlineStr">
        <is>
          <t>I</t>
        </is>
      </c>
      <c r="C5364" s="12" t="inlineStr">
        <is>
          <t>Modular / portable power</t>
        </is>
      </c>
      <c r="D5364" s="12" t="inlineStr">
        <is>
          <t>MOB-1 13.8 kV to PIC through the C-L01 ramp</t>
        </is>
      </c>
      <c r="E5364" s="12" t="inlineStr">
        <is>
          <t>MOB-1</t>
        </is>
      </c>
      <c r="F5364" s="12" t="inlineStr">
        <is>
          <t>MOB-1: trailer genset</t>
        </is>
      </c>
      <c r="G5364" s="12" t="inlineStr">
        <is>
          <t>PIC</t>
        </is>
      </c>
      <c r="H5364" s="12" t="inlineStr">
        <is>
          <t>PIC: portable input cabinet</t>
        </is>
      </c>
      <c r="I5364" s="12" t="inlineStr">
        <is>
          <t>Portable MV</t>
        </is>
      </c>
      <c r="J5364" s="12" t="inlineStr">
        <is>
          <t>Type SHD-GC 15 kV 3/C Cu, 2 grounds + GC, yellow CPE (portable)</t>
        </is>
      </c>
      <c r="K5364" s="12" t="inlineStr">
        <is>
          <t>SHD|3/C|2</t>
        </is>
      </c>
      <c r="L5364" s="12" t="inlineStr">
        <is>
          <t>3/C</t>
        </is>
      </c>
      <c r="M5364" s="12" t="inlineStr">
        <is>
          <t>2</t>
        </is>
      </c>
      <c r="N5364" s="12" t="n">
        <v>1</v>
      </c>
      <c r="O5364" s="12" t="n">
        <v>1</v>
      </c>
      <c r="P5364" s="12" t="n">
        <v>13800</v>
      </c>
      <c r="Q5364" s="12" t="n">
        <v>2000</v>
      </c>
      <c r="R5364" s="12" t="n">
        <v>93</v>
      </c>
      <c r="S5364" s="12" t="inlineStr">
        <is>
          <t>Surface</t>
        </is>
      </c>
      <c r="T5364" s="16" t="n">
        <v>162</v>
      </c>
      <c r="U5364" s="16" t="n">
        <v>27</v>
      </c>
      <c r="V5364" s="16">
        <f>ROUNDUP((T5364+U5364+2*'Read Me'!$B$13)*(1+'Read Me'!$B$12),-1)</f>
        <v/>
      </c>
      <c r="W5364" s="16">
        <f>V5364*N5364*O5364</f>
        <v/>
      </c>
      <c r="X5364" s="12">
        <f>IF(LEFT(I5364,2)="MV",2*N5364*IF(L5364="1/C",O5364,1),0)</f>
        <v/>
      </c>
      <c r="Y5364" s="12">
        <f>IF(OR(LEFT(K5364,4)="LVAX",LEFT(K5364,6)="MV15AX",LEFT(K5364,4)="CTAX",LEFT(K5364,2)="W|"),2*N5364*O5364,0)</f>
        <v/>
      </c>
      <c r="Z5364" s="12" t="inlineStr">
        <is>
          <t>portable</t>
        </is>
      </c>
      <c r="AA5364" s="12">
        <f>N5364*O5364</f>
        <v/>
      </c>
    </row>
    <row r="5365">
      <c r="A5365" s="12" t="inlineStr">
        <is>
          <t>J-C-0001</t>
        </is>
      </c>
      <c r="B5365" s="12" t="inlineStr">
        <is>
          <t>J</t>
        </is>
      </c>
      <c r="C5365" s="12" t="inlineStr">
        <is>
          <t>GT inlet chilling</t>
        </is>
      </c>
      <c r="D5365" s="12" t="inlineStr">
        <is>
          <t>Motor 1 of 4: control / local station</t>
        </is>
      </c>
      <c r="E5365" s="12" t="inlineStr"/>
      <c r="F5365" s="12" t="inlineStr">
        <is>
          <t>Inlet-chilling e-house / transformer</t>
        </is>
      </c>
      <c r="G5365" s="12" t="inlineStr"/>
      <c r="H5365" s="12" t="inlineStr">
        <is>
          <t>CHW pumps</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579</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J-C-0002</t>
        </is>
      </c>
      <c r="B5366" s="12" t="inlineStr">
        <is>
          <t>J</t>
        </is>
      </c>
      <c r="C5366" s="12" t="inlineStr">
        <is>
          <t>GT inlet chilling</t>
        </is>
      </c>
      <c r="D5366" s="12" t="inlineStr">
        <is>
          <t>Motor 2 of 4: control / local station</t>
        </is>
      </c>
      <c r="E5366" s="12" t="inlineStr"/>
      <c r="F5366" s="12" t="inlineStr">
        <is>
          <t>Inlet-chilling e-house / transformer</t>
        </is>
      </c>
      <c r="G5366" s="12" t="inlineStr"/>
      <c r="H5366" s="12" t="inlineStr">
        <is>
          <t>CHW pumps</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579</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J-C-0003</t>
        </is>
      </c>
      <c r="B5367" s="12" t="inlineStr">
        <is>
          <t>J</t>
        </is>
      </c>
      <c r="C5367" s="12" t="inlineStr">
        <is>
          <t>GT inlet chilling</t>
        </is>
      </c>
      <c r="D5367" s="12" t="inlineStr">
        <is>
          <t>Motor 3 of 4: control / local station</t>
        </is>
      </c>
      <c r="E5367" s="12" t="inlineStr"/>
      <c r="F5367" s="12" t="inlineStr">
        <is>
          <t>Inlet-chilling e-house / transformer</t>
        </is>
      </c>
      <c r="G5367" s="12" t="inlineStr"/>
      <c r="H5367" s="12" t="inlineStr">
        <is>
          <t>CHW pumps</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Duct bank</t>
        </is>
      </c>
      <c r="T5367" s="16" t="n">
        <v>579</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J-C-0004</t>
        </is>
      </c>
      <c r="B5368" s="12" t="inlineStr">
        <is>
          <t>J</t>
        </is>
      </c>
      <c r="C5368" s="12" t="inlineStr">
        <is>
          <t>GT inlet chilling</t>
        </is>
      </c>
      <c r="D5368" s="12" t="inlineStr">
        <is>
          <t>Motor 4 of 4: control / local station</t>
        </is>
      </c>
      <c r="E5368" s="12" t="inlineStr"/>
      <c r="F5368" s="12" t="inlineStr">
        <is>
          <t>Inlet-chilling e-house / transformer</t>
        </is>
      </c>
      <c r="G5368" s="12" t="inlineStr"/>
      <c r="H5368" s="12" t="inlineStr">
        <is>
          <t>CHW pumps</t>
        </is>
      </c>
      <c r="I5368" s="12" t="inlineStr">
        <is>
          <t>Control</t>
        </is>
      </c>
      <c r="J5368" s="12" t="inlineStr">
        <is>
          <t>Control cable 600 V Type TC-ER, Cu #14 AWG, PVC jacket</t>
        </is>
      </c>
      <c r="K5368" s="12" t="inlineStr">
        <is>
          <t>CT|7/C|14</t>
        </is>
      </c>
      <c r="L5368" s="12" t="inlineStr">
        <is>
          <t>7/C</t>
        </is>
      </c>
      <c r="M5368" s="12" t="inlineStr">
        <is>
          <t>14</t>
        </is>
      </c>
      <c r="N5368" s="12" t="n">
        <v>1</v>
      </c>
      <c r="O5368" s="12" t="n">
        <v>1</v>
      </c>
      <c r="P5368" s="12" t="n"/>
      <c r="Q5368" s="12" t="n"/>
      <c r="R5368" s="12" t="n"/>
      <c r="S5368" s="12" t="inlineStr">
        <is>
          <t>Duct bank</t>
        </is>
      </c>
      <c r="T5368" s="16" t="n">
        <v>579</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J-C-0005</t>
        </is>
      </c>
      <c r="B5369" s="12" t="inlineStr">
        <is>
          <t>J</t>
        </is>
      </c>
      <c r="C5369" s="12" t="inlineStr">
        <is>
          <t>GT inlet chilling</t>
        </is>
      </c>
      <c r="D5369" s="12" t="inlineStr">
        <is>
          <t>Motor 1 of 6: control / local station</t>
        </is>
      </c>
      <c r="E5369" s="12" t="inlineStr"/>
      <c r="F5369" s="12" t="inlineStr">
        <is>
          <t>Inlet-chilling e-house / transformer</t>
        </is>
      </c>
      <c r="G5369" s="12" t="inlineStr"/>
      <c r="H5369" s="12" t="inlineStr">
        <is>
          <t>Chillers x6 (water-cooled)</t>
        </is>
      </c>
      <c r="I5369" s="12" t="inlineStr">
        <is>
          <t>Control</t>
        </is>
      </c>
      <c r="J5369" s="12" t="inlineStr">
        <is>
          <t>Control cable 600 V Type TC-ER, Cu #14 AWG, PVC jacket</t>
        </is>
      </c>
      <c r="K5369" s="12" t="inlineStr">
        <is>
          <t>CT|7/C|14</t>
        </is>
      </c>
      <c r="L5369" s="12" t="inlineStr">
        <is>
          <t>7/C</t>
        </is>
      </c>
      <c r="M5369" s="12" t="inlineStr">
        <is>
          <t>14</t>
        </is>
      </c>
      <c r="N5369" s="12" t="n">
        <v>1</v>
      </c>
      <c r="O5369" s="12" t="n">
        <v>1</v>
      </c>
      <c r="P5369" s="12" t="n"/>
      <c r="Q5369" s="12" t="n"/>
      <c r="R5369" s="12" t="n"/>
      <c r="S5369" s="12" t="inlineStr">
        <is>
          <t>Duct bank</t>
        </is>
      </c>
      <c r="T5369" s="16" t="n">
        <v>10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J-C-0006</t>
        </is>
      </c>
      <c r="B5370" s="12" t="inlineStr">
        <is>
          <t>J</t>
        </is>
      </c>
      <c r="C5370" s="12" t="inlineStr">
        <is>
          <t>GT inlet chilling</t>
        </is>
      </c>
      <c r="D5370" s="12" t="inlineStr">
        <is>
          <t>Motor 2 of 6: control / local station</t>
        </is>
      </c>
      <c r="E5370" s="12" t="inlineStr"/>
      <c r="F5370" s="12" t="inlineStr">
        <is>
          <t>Inlet-chilling e-house / transformer</t>
        </is>
      </c>
      <c r="G5370" s="12" t="inlineStr"/>
      <c r="H5370" s="12" t="inlineStr">
        <is>
          <t>Chillers x6 (water-cooled)</t>
        </is>
      </c>
      <c r="I5370" s="12" t="inlineStr">
        <is>
          <t>Control</t>
        </is>
      </c>
      <c r="J5370" s="12" t="inlineStr">
        <is>
          <t>Control cable 600 V Type TC-ER, Cu #14 AWG, PVC jacket</t>
        </is>
      </c>
      <c r="K5370" s="12" t="inlineStr">
        <is>
          <t>CT|7/C|14</t>
        </is>
      </c>
      <c r="L5370" s="12" t="inlineStr">
        <is>
          <t>7/C</t>
        </is>
      </c>
      <c r="M5370" s="12" t="inlineStr">
        <is>
          <t>14</t>
        </is>
      </c>
      <c r="N5370" s="12" t="n">
        <v>1</v>
      </c>
      <c r="O5370" s="12" t="n">
        <v>1</v>
      </c>
      <c r="P5370" s="12" t="n"/>
      <c r="Q5370" s="12" t="n"/>
      <c r="R5370" s="12" t="n"/>
      <c r="S5370" s="12" t="inlineStr">
        <is>
          <t>Duct bank</t>
        </is>
      </c>
      <c r="T5370" s="16" t="n">
        <v>10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J-C-0007</t>
        </is>
      </c>
      <c r="B5371" s="12" t="inlineStr">
        <is>
          <t>J</t>
        </is>
      </c>
      <c r="C5371" s="12" t="inlineStr">
        <is>
          <t>GT inlet chilling</t>
        </is>
      </c>
      <c r="D5371" s="12" t="inlineStr">
        <is>
          <t>Motor 3 of 6: control / local station</t>
        </is>
      </c>
      <c r="E5371" s="12" t="inlineStr"/>
      <c r="F5371" s="12" t="inlineStr">
        <is>
          <t>Inlet-chilling e-house / transformer</t>
        </is>
      </c>
      <c r="G5371" s="12" t="inlineStr"/>
      <c r="H5371" s="12" t="inlineStr">
        <is>
          <t>Chillers x6 (water-cooled)</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10</v>
      </c>
      <c r="U5371" s="16" t="n">
        <v>32</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J-C-0008</t>
        </is>
      </c>
      <c r="B5372" s="12" t="inlineStr">
        <is>
          <t>J</t>
        </is>
      </c>
      <c r="C5372" s="12" t="inlineStr">
        <is>
          <t>GT inlet chilling</t>
        </is>
      </c>
      <c r="D5372" s="12" t="inlineStr">
        <is>
          <t>Motor 4 of 6: control / local station</t>
        </is>
      </c>
      <c r="E5372" s="12" t="inlineStr"/>
      <c r="F5372" s="12" t="inlineStr">
        <is>
          <t>Inlet-chilling e-house / transformer</t>
        </is>
      </c>
      <c r="G5372" s="12" t="inlineStr"/>
      <c r="H5372" s="12" t="inlineStr">
        <is>
          <t>Chillers x6 (water-cooled)</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10</v>
      </c>
      <c r="U5372" s="16" t="n">
        <v>32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J-C-0009</t>
        </is>
      </c>
      <c r="B5373" s="12" t="inlineStr">
        <is>
          <t>J</t>
        </is>
      </c>
      <c r="C5373" s="12" t="inlineStr">
        <is>
          <t>GT inlet chilling</t>
        </is>
      </c>
      <c r="D5373" s="12" t="inlineStr">
        <is>
          <t>Motor 5 of 6: control / local station</t>
        </is>
      </c>
      <c r="E5373" s="12" t="inlineStr"/>
      <c r="F5373" s="12" t="inlineStr">
        <is>
          <t>Inlet-chilling e-house / transformer</t>
        </is>
      </c>
      <c r="G5373" s="12" t="inlineStr"/>
      <c r="H5373" s="12" t="inlineStr">
        <is>
          <t>Chillers x6 (water-cooled)</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10</v>
      </c>
      <c r="U5373" s="16" t="n">
        <v>32</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J-C-0010</t>
        </is>
      </c>
      <c r="B5374" s="12" t="inlineStr">
        <is>
          <t>J</t>
        </is>
      </c>
      <c r="C5374" s="12" t="inlineStr">
        <is>
          <t>GT inlet chilling</t>
        </is>
      </c>
      <c r="D5374" s="12" t="inlineStr">
        <is>
          <t>Motor 6 of 6: control / local station</t>
        </is>
      </c>
      <c r="E5374" s="12" t="inlineStr"/>
      <c r="F5374" s="12" t="inlineStr">
        <is>
          <t>Inlet-chilling e-house / transformer</t>
        </is>
      </c>
      <c r="G5374" s="12" t="inlineStr"/>
      <c r="H5374" s="12" t="inlineStr">
        <is>
          <t>Chillers x6 (water-cooled)</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10</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J-C-0011</t>
        </is>
      </c>
      <c r="B5375" s="12" t="inlineStr">
        <is>
          <t>J</t>
        </is>
      </c>
      <c r="C5375" s="12" t="inlineStr">
        <is>
          <t>GT inlet chilling</t>
        </is>
      </c>
      <c r="D5375" s="12" t="inlineStr">
        <is>
          <t>Control</t>
        </is>
      </c>
      <c r="E5375" s="12" t="inlineStr"/>
      <c r="F5375" s="12" t="inlineStr">
        <is>
          <t>Inlet-chilling e-house / transformer</t>
        </is>
      </c>
      <c r="G5375" s="12" t="inlineStr"/>
      <c r="H5375" s="12" t="inlineStr">
        <is>
          <t>Inlet-chilling e-house / transformer</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Tray</t>
        </is>
      </c>
      <c r="T5375" s="16" t="n">
        <v>0</v>
      </c>
      <c r="U5375" s="16" t="n">
        <v>32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J-C-0012</t>
        </is>
      </c>
      <c r="B5376" s="12" t="inlineStr">
        <is>
          <t>J</t>
        </is>
      </c>
      <c r="C5376" s="12" t="inlineStr">
        <is>
          <t>GT inlet chilling</t>
        </is>
      </c>
      <c r="D5376" s="12" t="inlineStr">
        <is>
          <t>Control</t>
        </is>
      </c>
      <c r="E5376" s="12" t="inlineStr"/>
      <c r="F5376" s="12" t="inlineStr">
        <is>
          <t>Inlet-chilling e-house / transformer</t>
        </is>
      </c>
      <c r="G5376" s="12" t="inlineStr"/>
      <c r="H5376" s="12" t="inlineStr">
        <is>
          <t>Inlet-chilling e-house / transformer</t>
        </is>
      </c>
      <c r="I5376" s="12" t="inlineStr">
        <is>
          <t>Control</t>
        </is>
      </c>
      <c r="J5376" s="12" t="inlineStr">
        <is>
          <t>Control cable 600 V Type TC-ER, Cu #14 AWG, PVC jacket</t>
        </is>
      </c>
      <c r="K5376" s="12" t="inlineStr">
        <is>
          <t>CT|12/C|14</t>
        </is>
      </c>
      <c r="L5376" s="12" t="inlineStr">
        <is>
          <t>12/C</t>
        </is>
      </c>
      <c r="M5376" s="12" t="inlineStr">
        <is>
          <t>14</t>
        </is>
      </c>
      <c r="N5376" s="12" t="n">
        <v>1</v>
      </c>
      <c r="O5376" s="12" t="n">
        <v>1</v>
      </c>
      <c r="P5376" s="12" t="n"/>
      <c r="Q5376" s="12" t="n"/>
      <c r="R5376" s="12" t="n"/>
      <c r="S5376" s="12" t="inlineStr">
        <is>
          <t>Tray</t>
        </is>
      </c>
      <c r="T5376" s="16" t="n">
        <v>0</v>
      </c>
      <c r="U5376" s="16" t="n">
        <v>32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J-C-0013</t>
        </is>
      </c>
      <c r="B5377" s="12" t="inlineStr">
        <is>
          <t>J</t>
        </is>
      </c>
      <c r="C5377" s="12" t="inlineStr">
        <is>
          <t>GT inlet chilling</t>
        </is>
      </c>
      <c r="D5377" s="12" t="inlineStr">
        <is>
          <t>CT / VT</t>
        </is>
      </c>
      <c r="E5377" s="12" t="inlineStr"/>
      <c r="F5377" s="12" t="inlineStr">
        <is>
          <t>Inlet-chilling e-house / transformer</t>
        </is>
      </c>
      <c r="G5377" s="12" t="inlineStr"/>
      <c r="H5377" s="12" t="inlineStr">
        <is>
          <t>Inlet-chilling e-house / transformer</t>
        </is>
      </c>
      <c r="I5377" s="12" t="inlineStr">
        <is>
          <t>Control</t>
        </is>
      </c>
      <c r="J5377" s="12" t="inlineStr">
        <is>
          <t>Control cable 600 V Type TC-ER, Cu #10 AWG (CT / VT circuits)</t>
        </is>
      </c>
      <c r="K5377" s="12" t="inlineStr">
        <is>
          <t>CTCT|4/C|10</t>
        </is>
      </c>
      <c r="L5377" s="12" t="inlineStr">
        <is>
          <t>4/C</t>
        </is>
      </c>
      <c r="M5377" s="12" t="inlineStr">
        <is>
          <t>10</t>
        </is>
      </c>
      <c r="N5377" s="12" t="n">
        <v>1</v>
      </c>
      <c r="O5377" s="12" t="n">
        <v>1</v>
      </c>
      <c r="P5377" s="12" t="n"/>
      <c r="Q5377" s="12" t="n"/>
      <c r="R5377" s="12" t="n"/>
      <c r="S5377" s="12" t="inlineStr">
        <is>
          <t>Tray</t>
        </is>
      </c>
      <c r="T5377" s="16" t="n">
        <v>0</v>
      </c>
      <c r="U5377" s="16" t="n">
        <v>32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J-C-0014</t>
        </is>
      </c>
      <c r="B5378" s="12" t="inlineStr">
        <is>
          <t>J</t>
        </is>
      </c>
      <c r="C5378" s="12" t="inlineStr">
        <is>
          <t>GT inlet chilling</t>
        </is>
      </c>
      <c r="D5378" s="12" t="inlineStr">
        <is>
          <t>CT / VT</t>
        </is>
      </c>
      <c r="E5378" s="12" t="inlineStr"/>
      <c r="F5378" s="12" t="inlineStr">
        <is>
          <t>Inlet-chilling e-house / transformer</t>
        </is>
      </c>
      <c r="G5378" s="12" t="inlineStr"/>
      <c r="H5378" s="12" t="inlineStr">
        <is>
          <t>Inlet-chilling e-house / transformer</t>
        </is>
      </c>
      <c r="I5378" s="12" t="inlineStr">
        <is>
          <t>Control</t>
        </is>
      </c>
      <c r="J5378" s="12" t="inlineStr">
        <is>
          <t>Control cable 600 V Type TC-ER, Cu #10 AWG (CT / VT circuits)</t>
        </is>
      </c>
      <c r="K5378" s="12" t="inlineStr">
        <is>
          <t>CTCT|4/C|10</t>
        </is>
      </c>
      <c r="L5378" s="12" t="inlineStr">
        <is>
          <t>4/C</t>
        </is>
      </c>
      <c r="M5378" s="12" t="inlineStr">
        <is>
          <t>10</t>
        </is>
      </c>
      <c r="N5378" s="12" t="n">
        <v>1</v>
      </c>
      <c r="O5378" s="12" t="n">
        <v>1</v>
      </c>
      <c r="P5378" s="12" t="n"/>
      <c r="Q5378" s="12" t="n"/>
      <c r="R5378" s="12" t="n"/>
      <c r="S5378" s="12" t="inlineStr">
        <is>
          <t>Tray</t>
        </is>
      </c>
      <c r="T5378" s="16" t="n">
        <v>0</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J-C-0015</t>
        </is>
      </c>
      <c r="B5379" s="12" t="inlineStr">
        <is>
          <t>J</t>
        </is>
      </c>
      <c r="C5379" s="12" t="inlineStr">
        <is>
          <t>GT inlet chilling</t>
        </is>
      </c>
      <c r="D5379" s="12" t="inlineStr">
        <is>
          <t>Motor 1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J-C-0016</t>
        </is>
      </c>
      <c r="B5380" s="12" t="inlineStr">
        <is>
          <t>J</t>
        </is>
      </c>
      <c r="C5380" s="12" t="inlineStr">
        <is>
          <t>GT inlet chilling</t>
        </is>
      </c>
      <c r="D5380" s="12" t="inlineStr">
        <is>
          <t>Motor 2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J-C-0017</t>
        </is>
      </c>
      <c r="B5381" s="12" t="inlineStr">
        <is>
          <t>J</t>
        </is>
      </c>
      <c r="C5381" s="12" t="inlineStr">
        <is>
          <t>GT inlet chilling</t>
        </is>
      </c>
      <c r="D5381" s="12" t="inlineStr">
        <is>
          <t>Motor 3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J-C-0018</t>
        </is>
      </c>
      <c r="B5382" s="12" t="inlineStr">
        <is>
          <t>J</t>
        </is>
      </c>
      <c r="C5382" s="12" t="inlineStr">
        <is>
          <t>GT inlet chilling</t>
        </is>
      </c>
      <c r="D5382" s="12" t="inlineStr">
        <is>
          <t>Motor 4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J-C-0019</t>
        </is>
      </c>
      <c r="B5383" s="12" t="inlineStr">
        <is>
          <t>J</t>
        </is>
      </c>
      <c r="C5383" s="12" t="inlineStr">
        <is>
          <t>GT inlet chilling</t>
        </is>
      </c>
      <c r="D5383" s="12" t="inlineStr">
        <is>
          <t>Motor 5 of 12: control / local station</t>
        </is>
      </c>
      <c r="E5383" s="12" t="inlineStr"/>
      <c r="F5383" s="12" t="inlineStr">
        <is>
          <t>Inlet-chilling e-house / transformer</t>
        </is>
      </c>
      <c r="G5383" s="12" t="inlineStr"/>
      <c r="H5383" s="12" t="inlineStr">
        <is>
          <t>Inlet-chilling tower (12 cells): chiller heat rejection</t>
        </is>
      </c>
      <c r="I5383" s="12" t="inlineStr">
        <is>
          <t>Control</t>
        </is>
      </c>
      <c r="J5383" s="12" t="inlineStr">
        <is>
          <t>Control cable 600 V Type TC-ER, Cu #14 AWG, PVC jacket</t>
        </is>
      </c>
      <c r="K5383" s="12" t="inlineStr">
        <is>
          <t>CT|7/C|14</t>
        </is>
      </c>
      <c r="L5383" s="12" t="inlineStr">
        <is>
          <t>7/C</t>
        </is>
      </c>
      <c r="M5383" s="12" t="inlineStr">
        <is>
          <t>14</t>
        </is>
      </c>
      <c r="N5383" s="12" t="n">
        <v>1</v>
      </c>
      <c r="O5383" s="12" t="n">
        <v>1</v>
      </c>
      <c r="P5383" s="12" t="n"/>
      <c r="Q5383" s="12" t="n"/>
      <c r="R5383" s="12" t="n"/>
      <c r="S5383" s="12" t="inlineStr">
        <is>
          <t>Duct bank</t>
        </is>
      </c>
      <c r="T5383" s="16" t="n">
        <v>478</v>
      </c>
      <c r="U5383" s="16" t="n">
        <v>38</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J-C-0020</t>
        </is>
      </c>
      <c r="B5384" s="12" t="inlineStr">
        <is>
          <t>J</t>
        </is>
      </c>
      <c r="C5384" s="12" t="inlineStr">
        <is>
          <t>GT inlet chilling</t>
        </is>
      </c>
      <c r="D5384" s="12" t="inlineStr">
        <is>
          <t>Motor 6 of 12: control / local station</t>
        </is>
      </c>
      <c r="E5384" s="12" t="inlineStr"/>
      <c r="F5384" s="12" t="inlineStr">
        <is>
          <t>Inlet-chilling e-house / transformer</t>
        </is>
      </c>
      <c r="G5384" s="12" t="inlineStr"/>
      <c r="H5384" s="12" t="inlineStr">
        <is>
          <t>Inlet-chilling tower (12 cells): chiller heat rejection</t>
        </is>
      </c>
      <c r="I5384" s="12" t="inlineStr">
        <is>
          <t>Control</t>
        </is>
      </c>
      <c r="J5384" s="12" t="inlineStr">
        <is>
          <t>Control cable 600 V Type TC-ER, Cu #14 AWG, PVC jacket</t>
        </is>
      </c>
      <c r="K5384" s="12" t="inlineStr">
        <is>
          <t>CT|7/C|14</t>
        </is>
      </c>
      <c r="L5384" s="12" t="inlineStr">
        <is>
          <t>7/C</t>
        </is>
      </c>
      <c r="M5384" s="12" t="inlineStr">
        <is>
          <t>14</t>
        </is>
      </c>
      <c r="N5384" s="12" t="n">
        <v>1</v>
      </c>
      <c r="O5384" s="12" t="n">
        <v>1</v>
      </c>
      <c r="P5384" s="12" t="n"/>
      <c r="Q5384" s="12" t="n"/>
      <c r="R5384" s="12" t="n"/>
      <c r="S5384" s="12" t="inlineStr">
        <is>
          <t>Duct bank</t>
        </is>
      </c>
      <c r="T5384" s="16" t="n">
        <v>478</v>
      </c>
      <c r="U5384" s="16" t="n">
        <v>38</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J-C-0021</t>
        </is>
      </c>
      <c r="B5385" s="12" t="inlineStr">
        <is>
          <t>J</t>
        </is>
      </c>
      <c r="C5385" s="12" t="inlineStr">
        <is>
          <t>GT inlet chilling</t>
        </is>
      </c>
      <c r="D5385" s="12" t="inlineStr">
        <is>
          <t>Motor 7 of 12: control / local station</t>
        </is>
      </c>
      <c r="E5385" s="12" t="inlineStr"/>
      <c r="F5385" s="12" t="inlineStr">
        <is>
          <t>Inlet-chilling e-house / transformer</t>
        </is>
      </c>
      <c r="G5385" s="12" t="inlineStr"/>
      <c r="H5385" s="12" t="inlineStr">
        <is>
          <t>Inlet-chilling tower (12 cells): chiller heat rejection</t>
        </is>
      </c>
      <c r="I5385" s="12" t="inlineStr">
        <is>
          <t>Control</t>
        </is>
      </c>
      <c r="J5385" s="12" t="inlineStr">
        <is>
          <t>Control cable 600 V Type TC-ER, Cu #14 AWG, PVC jacket</t>
        </is>
      </c>
      <c r="K5385" s="12" t="inlineStr">
        <is>
          <t>CT|7/C|14</t>
        </is>
      </c>
      <c r="L5385" s="12" t="inlineStr">
        <is>
          <t>7/C</t>
        </is>
      </c>
      <c r="M5385" s="12" t="inlineStr">
        <is>
          <t>14</t>
        </is>
      </c>
      <c r="N5385" s="12" t="n">
        <v>1</v>
      </c>
      <c r="O5385" s="12" t="n">
        <v>1</v>
      </c>
      <c r="P5385" s="12" t="n"/>
      <c r="Q5385" s="12" t="n"/>
      <c r="R5385" s="12" t="n"/>
      <c r="S5385" s="12" t="inlineStr">
        <is>
          <t>Duct bank</t>
        </is>
      </c>
      <c r="T5385" s="16" t="n">
        <v>478</v>
      </c>
      <c r="U5385" s="16" t="n">
        <v>38</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J-C-0022</t>
        </is>
      </c>
      <c r="B5386" s="12" t="inlineStr">
        <is>
          <t>J</t>
        </is>
      </c>
      <c r="C5386" s="12" t="inlineStr">
        <is>
          <t>GT inlet chilling</t>
        </is>
      </c>
      <c r="D5386" s="12" t="inlineStr">
        <is>
          <t>Motor 8 of 12: control / local station</t>
        </is>
      </c>
      <c r="E5386" s="12" t="inlineStr"/>
      <c r="F5386" s="12" t="inlineStr">
        <is>
          <t>Inlet-chilling e-house / transformer</t>
        </is>
      </c>
      <c r="G5386" s="12" t="inlineStr"/>
      <c r="H5386" s="12" t="inlineStr">
        <is>
          <t>Inlet-chilling tower (12 cells): chiller heat rejection</t>
        </is>
      </c>
      <c r="I5386" s="12" t="inlineStr">
        <is>
          <t>Control</t>
        </is>
      </c>
      <c r="J5386" s="12" t="inlineStr">
        <is>
          <t>Control cable 600 V Type TC-ER, Cu #14 AWG, PVC jacket</t>
        </is>
      </c>
      <c r="K5386" s="12" t="inlineStr">
        <is>
          <t>CT|7/C|14</t>
        </is>
      </c>
      <c r="L5386" s="12" t="inlineStr">
        <is>
          <t>7/C</t>
        </is>
      </c>
      <c r="M5386" s="12" t="inlineStr">
        <is>
          <t>14</t>
        </is>
      </c>
      <c r="N5386" s="12" t="n">
        <v>1</v>
      </c>
      <c r="O5386" s="12" t="n">
        <v>1</v>
      </c>
      <c r="P5386" s="12" t="n"/>
      <c r="Q5386" s="12" t="n"/>
      <c r="R5386" s="12" t="n"/>
      <c r="S5386" s="12" t="inlineStr">
        <is>
          <t>Duct bank</t>
        </is>
      </c>
      <c r="T5386" s="16" t="n">
        <v>478</v>
      </c>
      <c r="U5386" s="16" t="n">
        <v>38</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J-C-0023</t>
        </is>
      </c>
      <c r="B5387" s="12" t="inlineStr">
        <is>
          <t>J</t>
        </is>
      </c>
      <c r="C5387" s="12" t="inlineStr">
        <is>
          <t>GT inlet chilling</t>
        </is>
      </c>
      <c r="D5387" s="12" t="inlineStr">
        <is>
          <t>Motor 9 of 12: control / local station</t>
        </is>
      </c>
      <c r="E5387" s="12" t="inlineStr"/>
      <c r="F5387" s="12" t="inlineStr">
        <is>
          <t>Inlet-chilling e-house / transformer</t>
        </is>
      </c>
      <c r="G5387" s="12" t="inlineStr"/>
      <c r="H5387" s="12" t="inlineStr">
        <is>
          <t>Inlet-chilling tower (12 cells): chiller heat rejection</t>
        </is>
      </c>
      <c r="I5387" s="12" t="inlineStr">
        <is>
          <t>Control</t>
        </is>
      </c>
      <c r="J5387" s="12" t="inlineStr">
        <is>
          <t>Control cable 600 V Type TC-ER, Cu #14 AWG, PVC jacket</t>
        </is>
      </c>
      <c r="K5387" s="12" t="inlineStr">
        <is>
          <t>CT|7/C|14</t>
        </is>
      </c>
      <c r="L5387" s="12" t="inlineStr">
        <is>
          <t>7/C</t>
        </is>
      </c>
      <c r="M5387" s="12" t="inlineStr">
        <is>
          <t>14</t>
        </is>
      </c>
      <c r="N5387" s="12" t="n">
        <v>1</v>
      </c>
      <c r="O5387" s="12" t="n">
        <v>1</v>
      </c>
      <c r="P5387" s="12" t="n"/>
      <c r="Q5387" s="12" t="n"/>
      <c r="R5387" s="12" t="n"/>
      <c r="S5387" s="12" t="inlineStr">
        <is>
          <t>Duct bank</t>
        </is>
      </c>
      <c r="T5387" s="16" t="n">
        <v>478</v>
      </c>
      <c r="U5387" s="16" t="n">
        <v>38</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J-C-0024</t>
        </is>
      </c>
      <c r="B5388" s="12" t="inlineStr">
        <is>
          <t>J</t>
        </is>
      </c>
      <c r="C5388" s="12" t="inlineStr">
        <is>
          <t>GT inlet chilling</t>
        </is>
      </c>
      <c r="D5388" s="12" t="inlineStr">
        <is>
          <t>Motor 10 of 12: control / local station</t>
        </is>
      </c>
      <c r="E5388" s="12" t="inlineStr"/>
      <c r="F5388" s="12" t="inlineStr">
        <is>
          <t>Inlet-chilling e-house / transformer</t>
        </is>
      </c>
      <c r="G5388" s="12" t="inlineStr"/>
      <c r="H5388" s="12" t="inlineStr">
        <is>
          <t>Inlet-chilling tower (12 cells): chiller heat rejection</t>
        </is>
      </c>
      <c r="I5388" s="12" t="inlineStr">
        <is>
          <t>Control</t>
        </is>
      </c>
      <c r="J5388" s="12" t="inlineStr">
        <is>
          <t>Control cable 600 V Type TC-ER, Cu #14 AWG, PVC jacket</t>
        </is>
      </c>
      <c r="K5388" s="12" t="inlineStr">
        <is>
          <t>CT|7/C|14</t>
        </is>
      </c>
      <c r="L5388" s="12" t="inlineStr">
        <is>
          <t>7/C</t>
        </is>
      </c>
      <c r="M5388" s="12" t="inlineStr">
        <is>
          <t>14</t>
        </is>
      </c>
      <c r="N5388" s="12" t="n">
        <v>1</v>
      </c>
      <c r="O5388" s="12" t="n">
        <v>1</v>
      </c>
      <c r="P5388" s="12" t="n"/>
      <c r="Q5388" s="12" t="n"/>
      <c r="R5388" s="12" t="n"/>
      <c r="S5388" s="12" t="inlineStr">
        <is>
          <t>Duct bank</t>
        </is>
      </c>
      <c r="T5388" s="16" t="n">
        <v>478</v>
      </c>
      <c r="U5388" s="16" t="n">
        <v>38</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J-C-0025</t>
        </is>
      </c>
      <c r="B5389" s="12" t="inlineStr">
        <is>
          <t>J</t>
        </is>
      </c>
      <c r="C5389" s="12" t="inlineStr">
        <is>
          <t>GT inlet chilling</t>
        </is>
      </c>
      <c r="D5389" s="12" t="inlineStr">
        <is>
          <t>Motor 11 of 12: control / local station</t>
        </is>
      </c>
      <c r="E5389" s="12" t="inlineStr"/>
      <c r="F5389" s="12" t="inlineStr">
        <is>
          <t>Inlet-chilling e-house / transformer</t>
        </is>
      </c>
      <c r="G5389" s="12" t="inlineStr"/>
      <c r="H5389" s="12" t="inlineStr">
        <is>
          <t>Inlet-chilling tower (12 cells): chiller heat rejection</t>
        </is>
      </c>
      <c r="I5389" s="12" t="inlineStr">
        <is>
          <t>Control</t>
        </is>
      </c>
      <c r="J5389" s="12" t="inlineStr">
        <is>
          <t>Control cable 600 V Type TC-ER, Cu #14 AWG, PVC jacket</t>
        </is>
      </c>
      <c r="K5389" s="12" t="inlineStr">
        <is>
          <t>CT|7/C|14</t>
        </is>
      </c>
      <c r="L5389" s="12" t="inlineStr">
        <is>
          <t>7/C</t>
        </is>
      </c>
      <c r="M5389" s="12" t="inlineStr">
        <is>
          <t>14</t>
        </is>
      </c>
      <c r="N5389" s="12" t="n">
        <v>1</v>
      </c>
      <c r="O5389" s="12" t="n">
        <v>1</v>
      </c>
      <c r="P5389" s="12" t="n"/>
      <c r="Q5389" s="12" t="n"/>
      <c r="R5389" s="12" t="n"/>
      <c r="S5389" s="12" t="inlineStr">
        <is>
          <t>Duct bank</t>
        </is>
      </c>
      <c r="T5389" s="16" t="n">
        <v>478</v>
      </c>
      <c r="U5389" s="16" t="n">
        <v>38</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J-C-0026</t>
        </is>
      </c>
      <c r="B5390" s="12" t="inlineStr">
        <is>
          <t>J</t>
        </is>
      </c>
      <c r="C5390" s="12" t="inlineStr">
        <is>
          <t>GT inlet chilling</t>
        </is>
      </c>
      <c r="D5390" s="12" t="inlineStr">
        <is>
          <t>Motor 12 of 12: control / local station</t>
        </is>
      </c>
      <c r="E5390" s="12" t="inlineStr"/>
      <c r="F5390" s="12" t="inlineStr">
        <is>
          <t>Inlet-chilling e-house / transformer</t>
        </is>
      </c>
      <c r="G5390" s="12" t="inlineStr"/>
      <c r="H5390" s="12" t="inlineStr">
        <is>
          <t>Inlet-chilling tower (12 cells): chiller heat rejection</t>
        </is>
      </c>
      <c r="I5390" s="12" t="inlineStr">
        <is>
          <t>Control</t>
        </is>
      </c>
      <c r="J5390" s="12" t="inlineStr">
        <is>
          <t>Control cable 600 V Type TC-ER, Cu #14 AWG, PVC jacket</t>
        </is>
      </c>
      <c r="K5390" s="12" t="inlineStr">
        <is>
          <t>CT|7/C|14</t>
        </is>
      </c>
      <c r="L5390" s="12" t="inlineStr">
        <is>
          <t>7/C</t>
        </is>
      </c>
      <c r="M5390" s="12" t="inlineStr">
        <is>
          <t>14</t>
        </is>
      </c>
      <c r="N5390" s="12" t="n">
        <v>1</v>
      </c>
      <c r="O5390" s="12" t="n">
        <v>1</v>
      </c>
      <c r="P5390" s="12" t="n"/>
      <c r="Q5390" s="12" t="n"/>
      <c r="R5390" s="12" t="n"/>
      <c r="S5390" s="12" t="inlineStr">
        <is>
          <t>Duct bank</t>
        </is>
      </c>
      <c r="T5390" s="16" t="n">
        <v>478</v>
      </c>
      <c r="U5390" s="16" t="n">
        <v>38</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J-I-0001</t>
        </is>
      </c>
      <c r="B5391" s="12" t="inlineStr">
        <is>
          <t>J</t>
        </is>
      </c>
      <c r="C5391" s="12" t="inlineStr">
        <is>
          <t>GT inlet chilling</t>
        </is>
      </c>
      <c r="D5391" s="12" t="inlineStr">
        <is>
          <t>Analog instrument to JB JB-CHW pumps-AI01: 12 x 1 pr (field cables)</t>
        </is>
      </c>
      <c r="E5391" s="12" t="inlineStr"/>
      <c r="F5391" s="12" t="inlineStr">
        <is>
          <t>CHW pumps</t>
        </is>
      </c>
      <c r="G5391" s="12" t="inlineStr">
        <is>
          <t>JB-CHW pumps-AI01</t>
        </is>
      </c>
      <c r="H5391" s="12" t="inlineStr">
        <is>
          <t>CHW pumps</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12</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J-I-0002</t>
        </is>
      </c>
      <c r="B5392" s="12" t="inlineStr">
        <is>
          <t>J</t>
        </is>
      </c>
      <c r="C5392" s="12" t="inlineStr">
        <is>
          <t>GT inlet chilling</t>
        </is>
      </c>
      <c r="D5392" s="12" t="inlineStr">
        <is>
          <t>Home run JB-CHW pumps-AI01 to the control / marshalling room</t>
        </is>
      </c>
      <c r="E5392" s="12" t="inlineStr"/>
      <c r="F5392" s="12" t="inlineStr">
        <is>
          <t>Inlet-chilling e-house / transformer</t>
        </is>
      </c>
      <c r="G5392" s="12" t="inlineStr">
        <is>
          <t>JB-CHW pumps-AI01</t>
        </is>
      </c>
      <c r="H5392" s="12" t="inlineStr">
        <is>
          <t>CHW pumps</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Duct bank</t>
        </is>
      </c>
      <c r="T5392" s="16" t="n">
        <v>579</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J-I-0003</t>
        </is>
      </c>
      <c r="B5393" s="12" t="inlineStr">
        <is>
          <t>J</t>
        </is>
      </c>
      <c r="C5393" s="12" t="inlineStr">
        <is>
          <t>GT inlet chilling</t>
        </is>
      </c>
      <c r="D5393" s="12" t="inlineStr">
        <is>
          <t>Discrete device to JB JB-CHW pumps-DI01: 12 x 1 pr (field cables)</t>
        </is>
      </c>
      <c r="E5393" s="12" t="inlineStr"/>
      <c r="F5393" s="12" t="inlineStr">
        <is>
          <t>CHW pumps</t>
        </is>
      </c>
      <c r="G5393" s="12" t="inlineStr">
        <is>
          <t>JB-CHW pumps-DI01</t>
        </is>
      </c>
      <c r="H5393" s="12" t="inlineStr">
        <is>
          <t>CHW pumps</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12</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J-I-0004</t>
        </is>
      </c>
      <c r="B5394" s="12" t="inlineStr">
        <is>
          <t>J</t>
        </is>
      </c>
      <c r="C5394" s="12" t="inlineStr">
        <is>
          <t>GT inlet chilling</t>
        </is>
      </c>
      <c r="D5394" s="12" t="inlineStr">
        <is>
          <t>Home run JB-CHW pumps-DI01 to the control / marshalling room</t>
        </is>
      </c>
      <c r="E5394" s="12" t="inlineStr"/>
      <c r="F5394" s="12" t="inlineStr">
        <is>
          <t>Inlet-chilling e-house / transformer</t>
        </is>
      </c>
      <c r="G5394" s="12" t="inlineStr">
        <is>
          <t>JB-CHW pumps-DI01</t>
        </is>
      </c>
      <c r="H5394" s="12" t="inlineStr">
        <is>
          <t>CHW pumps</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Duct bank</t>
        </is>
      </c>
      <c r="T5394" s="16" t="n">
        <v>579</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J-I-0005</t>
        </is>
      </c>
      <c r="B5395" s="12" t="inlineStr">
        <is>
          <t>J</t>
        </is>
      </c>
      <c r="C5395" s="12" t="inlineStr">
        <is>
          <t>GT inlet chilling</t>
        </is>
      </c>
      <c r="D5395" s="12" t="inlineStr">
        <is>
          <t>Analog instrument to JB JB-CONDITIONAL: TES c-AI01: 4 x 1 pr (field cables)</t>
        </is>
      </c>
      <c r="E5395" s="12" t="inlineStr"/>
      <c r="F5395" s="12" t="inlineStr">
        <is>
          <t>CONDITIONAL: TES chilled-water tank</t>
        </is>
      </c>
      <c r="G5395" s="12" t="inlineStr">
        <is>
          <t>JB-CONDITIONAL: TES c-AI01</t>
        </is>
      </c>
      <c r="H5395" s="12" t="inlineStr">
        <is>
          <t>CONDITIONAL: TES chilled-water tank</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4</v>
      </c>
      <c r="O5395" s="12" t="n">
        <v>1</v>
      </c>
      <c r="P5395" s="12" t="n"/>
      <c r="Q5395" s="12" t="n"/>
      <c r="R5395" s="12" t="n"/>
      <c r="S5395" s="12" t="inlineStr">
        <is>
          <t>Tray / conduit</t>
        </is>
      </c>
      <c r="T5395" s="16" t="n">
        <v>91</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J-I-0006</t>
        </is>
      </c>
      <c r="B5396" s="12" t="inlineStr">
        <is>
          <t>J</t>
        </is>
      </c>
      <c r="C5396" s="12" t="inlineStr">
        <is>
          <t>GT inlet chilling</t>
        </is>
      </c>
      <c r="D5396" s="12" t="inlineStr">
        <is>
          <t>Home run JB-CONDITIONAL: TES c-AI01 to the control / marshalling room</t>
        </is>
      </c>
      <c r="E5396" s="12" t="inlineStr"/>
      <c r="F5396" s="12" t="inlineStr">
        <is>
          <t>Inlet-chilling e-house / transformer</t>
        </is>
      </c>
      <c r="G5396" s="12" t="inlineStr">
        <is>
          <t>JB-CONDITIONAL: TES c-AI01</t>
        </is>
      </c>
      <c r="H5396" s="12" t="inlineStr">
        <is>
          <t>CONDITIONAL: TES chilled-water tank</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Duct bank</t>
        </is>
      </c>
      <c r="T5396" s="16" t="n">
        <v>271</v>
      </c>
      <c r="U5396" s="16" t="n">
        <v>217</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J-I-0007</t>
        </is>
      </c>
      <c r="B5397" s="12" t="inlineStr">
        <is>
          <t>J</t>
        </is>
      </c>
      <c r="C5397" s="12" t="inlineStr">
        <is>
          <t>GT inlet chilling</t>
        </is>
      </c>
      <c r="D5397" s="12" t="inlineStr">
        <is>
          <t>Discrete device to JB JB-CONDITIONAL: TES c-DI01: 4 x 1 pr (field cables)</t>
        </is>
      </c>
      <c r="E5397" s="12" t="inlineStr"/>
      <c r="F5397" s="12" t="inlineStr">
        <is>
          <t>CONDITIONAL: TES chilled-water tank</t>
        </is>
      </c>
      <c r="G5397" s="12" t="inlineStr">
        <is>
          <t>JB-CONDITIONAL: TES c-DI01</t>
        </is>
      </c>
      <c r="H5397" s="12" t="inlineStr">
        <is>
          <t>CONDITIONAL: TES chilled-water tank</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91</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J-I-0008</t>
        </is>
      </c>
      <c r="B5398" s="12" t="inlineStr">
        <is>
          <t>J</t>
        </is>
      </c>
      <c r="C5398" s="12" t="inlineStr">
        <is>
          <t>GT inlet chilling</t>
        </is>
      </c>
      <c r="D5398" s="12" t="inlineStr">
        <is>
          <t>Home run JB-CONDITIONAL: TES c-DI01 to the control / marshalling room</t>
        </is>
      </c>
      <c r="E5398" s="12" t="inlineStr"/>
      <c r="F5398" s="12" t="inlineStr">
        <is>
          <t>Inlet-chilling e-house / transformer</t>
        </is>
      </c>
      <c r="G5398" s="12" t="inlineStr">
        <is>
          <t>JB-CONDITIONAL: TES c-DI01</t>
        </is>
      </c>
      <c r="H5398" s="12" t="inlineStr">
        <is>
          <t>CONDITIONAL: TES chilled-water tank</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Duct bank</t>
        </is>
      </c>
      <c r="T5398" s="16" t="n">
        <v>271</v>
      </c>
      <c r="U5398" s="16" t="n">
        <v>217</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J-I-0009</t>
        </is>
      </c>
      <c r="B5399" s="12" t="inlineStr">
        <is>
          <t>J</t>
        </is>
      </c>
      <c r="C5399" s="12" t="inlineStr">
        <is>
          <t>GT inlet chilling</t>
        </is>
      </c>
      <c r="D5399" s="12" t="inlineStr">
        <is>
          <t>Analog instrument to JB JB-CW pumps (inlet ch-AI01: 20 x 1 pr (field cables)</t>
        </is>
      </c>
      <c r="E5399" s="12" t="inlineStr"/>
      <c r="F5399" s="12" t="inlineStr">
        <is>
          <t>CW pumps (inlet chilling)</t>
        </is>
      </c>
      <c r="G5399" s="12" t="inlineStr">
        <is>
          <t>JB-CW pumps (inlet ch-AI01</t>
        </is>
      </c>
      <c r="H5399" s="12" t="inlineStr">
        <is>
          <t>CW pumps (inlet chilling)</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92</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J-I-0010</t>
        </is>
      </c>
      <c r="B5400" s="12" t="inlineStr">
        <is>
          <t>J</t>
        </is>
      </c>
      <c r="C5400" s="12" t="inlineStr">
        <is>
          <t>GT inlet chilling</t>
        </is>
      </c>
      <c r="D5400" s="12" t="inlineStr">
        <is>
          <t>Home run JB-CW pumps (inlet ch-AI01 to the control / marshalling room</t>
        </is>
      </c>
      <c r="E5400" s="12" t="inlineStr"/>
      <c r="F5400" s="12" t="inlineStr">
        <is>
          <t>Inlet-chilling e-house / transformer</t>
        </is>
      </c>
      <c r="G5400" s="12" t="inlineStr">
        <is>
          <t>JB-CW pumps (inlet ch-AI01</t>
        </is>
      </c>
      <c r="H5400" s="12" t="inlineStr">
        <is>
          <t>CW pumps (inlet chilling)</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Tray</t>
        </is>
      </c>
      <c r="T5400" s="16" t="n">
        <v>0</v>
      </c>
      <c r="U5400" s="16" t="n">
        <v>70</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J-I-0011</t>
        </is>
      </c>
      <c r="B5401" s="12" t="inlineStr">
        <is>
          <t>J</t>
        </is>
      </c>
      <c r="C5401" s="12" t="inlineStr">
        <is>
          <t>GT inlet chilling</t>
        </is>
      </c>
      <c r="D5401" s="12" t="inlineStr">
        <is>
          <t>Analog instrument to JB JB-CW pumps (inlet ch-AI02: 4 x 1 pr (field cables)</t>
        </is>
      </c>
      <c r="E5401" s="12" t="inlineStr"/>
      <c r="F5401" s="12" t="inlineStr">
        <is>
          <t>CW pumps (inlet chilling)</t>
        </is>
      </c>
      <c r="G5401" s="12" t="inlineStr">
        <is>
          <t>JB-CW pumps (inlet ch-AI02</t>
        </is>
      </c>
      <c r="H5401" s="12" t="inlineStr">
        <is>
          <t>CW pumps (inlet chilling)</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4</v>
      </c>
      <c r="O5401" s="12" t="n">
        <v>1</v>
      </c>
      <c r="P5401" s="12" t="n"/>
      <c r="Q5401" s="12" t="n"/>
      <c r="R5401" s="12" t="n"/>
      <c r="S5401" s="12" t="inlineStr">
        <is>
          <t>Tray / conduit</t>
        </is>
      </c>
      <c r="T5401" s="16" t="n">
        <v>92</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J-I-0012</t>
        </is>
      </c>
      <c r="B5402" s="12" t="inlineStr">
        <is>
          <t>J</t>
        </is>
      </c>
      <c r="C5402" s="12" t="inlineStr">
        <is>
          <t>GT inlet chilling</t>
        </is>
      </c>
      <c r="D5402" s="12" t="inlineStr">
        <is>
          <t>Home run JB-CW pumps (inlet ch-AI02 to the control / marshalling room</t>
        </is>
      </c>
      <c r="E5402" s="12" t="inlineStr"/>
      <c r="F5402" s="12" t="inlineStr">
        <is>
          <t>Inlet-chilling e-house / transformer</t>
        </is>
      </c>
      <c r="G5402" s="12" t="inlineStr">
        <is>
          <t>JB-CW pumps (inlet ch-AI02</t>
        </is>
      </c>
      <c r="H5402" s="12" t="inlineStr">
        <is>
          <t>CW pumps (inlet chilling)</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Tray</t>
        </is>
      </c>
      <c r="T5402" s="16" t="n">
        <v>0</v>
      </c>
      <c r="U5402" s="16" t="n">
        <v>70</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J-I-0013</t>
        </is>
      </c>
      <c r="B5403" s="12" t="inlineStr">
        <is>
          <t>J</t>
        </is>
      </c>
      <c r="C5403" s="12" t="inlineStr">
        <is>
          <t>GT inlet chilling</t>
        </is>
      </c>
      <c r="D5403" s="12" t="inlineStr">
        <is>
          <t>Discrete device to JB JB-CW pumps (inlet ch-DI01: 20 x 1 pr (field cables)</t>
        </is>
      </c>
      <c r="E5403" s="12" t="inlineStr"/>
      <c r="F5403" s="12" t="inlineStr">
        <is>
          <t>CW pumps (inlet chilling)</t>
        </is>
      </c>
      <c r="G5403" s="12" t="inlineStr">
        <is>
          <t>JB-CW pumps (inlet ch-DI01</t>
        </is>
      </c>
      <c r="H5403" s="12" t="inlineStr">
        <is>
          <t>CW pumps (inlet chilling)</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92</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J-I-0014</t>
        </is>
      </c>
      <c r="B5404" s="12" t="inlineStr">
        <is>
          <t>J</t>
        </is>
      </c>
      <c r="C5404" s="12" t="inlineStr">
        <is>
          <t>GT inlet chilling</t>
        </is>
      </c>
      <c r="D5404" s="12" t="inlineStr">
        <is>
          <t>Home run JB-CW pumps (inlet ch-DI01 to the control / marshalling room</t>
        </is>
      </c>
      <c r="E5404" s="12" t="inlineStr"/>
      <c r="F5404" s="12" t="inlineStr">
        <is>
          <t>Inlet-chilling e-house / transformer</t>
        </is>
      </c>
      <c r="G5404" s="12" t="inlineStr">
        <is>
          <t>JB-CW pumps (inlet ch-DI01</t>
        </is>
      </c>
      <c r="H5404" s="12" t="inlineStr">
        <is>
          <t>CW pumps (inlet chilling)</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Tray</t>
        </is>
      </c>
      <c r="T5404" s="16" t="n">
        <v>0</v>
      </c>
      <c r="U5404" s="16" t="n">
        <v>70</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J-I-0015</t>
        </is>
      </c>
      <c r="B5405" s="12" t="inlineStr">
        <is>
          <t>J</t>
        </is>
      </c>
      <c r="C5405" s="12" t="inlineStr">
        <is>
          <t>GT inlet chilling</t>
        </is>
      </c>
      <c r="D5405" s="12" t="inlineStr">
        <is>
          <t>Discrete device to JB JB-CW pumps (inlet ch-DI02: 4 x 1 pr (field cables)</t>
        </is>
      </c>
      <c r="E5405" s="12" t="inlineStr"/>
      <c r="F5405" s="12" t="inlineStr">
        <is>
          <t>CW pumps (inlet chilling)</t>
        </is>
      </c>
      <c r="G5405" s="12" t="inlineStr">
        <is>
          <t>JB-CW pumps (inlet ch-DI02</t>
        </is>
      </c>
      <c r="H5405" s="12" t="inlineStr">
        <is>
          <t>CW pumps (inlet chilling)</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4</v>
      </c>
      <c r="O5405" s="12" t="n">
        <v>1</v>
      </c>
      <c r="P5405" s="12" t="n"/>
      <c r="Q5405" s="12" t="n"/>
      <c r="R5405" s="12" t="n"/>
      <c r="S5405" s="12" t="inlineStr">
        <is>
          <t>Tray / conduit</t>
        </is>
      </c>
      <c r="T5405" s="16" t="n">
        <v>92</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J-I-0016</t>
        </is>
      </c>
      <c r="B5406" s="12" t="inlineStr">
        <is>
          <t>J</t>
        </is>
      </c>
      <c r="C5406" s="12" t="inlineStr">
        <is>
          <t>GT inlet chilling</t>
        </is>
      </c>
      <c r="D5406" s="12" t="inlineStr">
        <is>
          <t>Home run JB-CW pumps (inlet ch-DI02 to the control / marshalling room</t>
        </is>
      </c>
      <c r="E5406" s="12" t="inlineStr"/>
      <c r="F5406" s="12" t="inlineStr">
        <is>
          <t>Inlet-chilling e-house / transformer</t>
        </is>
      </c>
      <c r="G5406" s="12" t="inlineStr">
        <is>
          <t>JB-CW pumps (inlet ch-DI02</t>
        </is>
      </c>
      <c r="H5406" s="12" t="inlineStr">
        <is>
          <t>CW pumps (inlet chilling)</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Tray</t>
        </is>
      </c>
      <c r="T5406" s="16" t="n">
        <v>0</v>
      </c>
      <c r="U5406" s="16" t="n">
        <v>70</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J-I-0017</t>
        </is>
      </c>
      <c r="B5407" s="12" t="inlineStr">
        <is>
          <t>J</t>
        </is>
      </c>
      <c r="C5407" s="12" t="inlineStr">
        <is>
          <t>GT inlet chilling</t>
        </is>
      </c>
      <c r="D5407" s="12" t="inlineStr">
        <is>
          <t>Analog instrument to JB JB-Chillers x6 (water-AI01: 20 x 1 pr (field cables)</t>
        </is>
      </c>
      <c r="E5407" s="12" t="inlineStr"/>
      <c r="F5407" s="12" t="inlineStr">
        <is>
          <t>Chillers x6 (water-cooled)</t>
        </is>
      </c>
      <c r="G5407" s="12" t="inlineStr">
        <is>
          <t>JB-Chillers x6 (water-AI01</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J-I-0018</t>
        </is>
      </c>
      <c r="B5408" s="12" t="inlineStr">
        <is>
          <t>J</t>
        </is>
      </c>
      <c r="C5408" s="12" t="inlineStr">
        <is>
          <t>GT inlet chilling</t>
        </is>
      </c>
      <c r="D5408" s="12" t="inlineStr">
        <is>
          <t>Home run JB-Chillers x6 (water-AI01 to the control / marshalling room</t>
        </is>
      </c>
      <c r="E5408" s="12" t="inlineStr"/>
      <c r="F5408" s="12" t="inlineStr">
        <is>
          <t>Inlet-chilling e-house / transformer</t>
        </is>
      </c>
      <c r="G5408" s="12" t="inlineStr">
        <is>
          <t>JB-Chillers x6 (water-AI01</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J-I-0019</t>
        </is>
      </c>
      <c r="B5409" s="12" t="inlineStr">
        <is>
          <t>J</t>
        </is>
      </c>
      <c r="C5409" s="12" t="inlineStr">
        <is>
          <t>GT inlet chilling</t>
        </is>
      </c>
      <c r="D5409" s="12" t="inlineStr">
        <is>
          <t>Analog instrument to JB JB-Chillers x6 (water-AI02: 20 x 1 pr (field cables)</t>
        </is>
      </c>
      <c r="E5409" s="12" t="inlineStr"/>
      <c r="F5409" s="12" t="inlineStr">
        <is>
          <t>Chillers x6 (water-cooled)</t>
        </is>
      </c>
      <c r="G5409" s="12" t="inlineStr">
        <is>
          <t>JB-Chillers x6 (water-AI02</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J-I-0020</t>
        </is>
      </c>
      <c r="B5410" s="12" t="inlineStr">
        <is>
          <t>J</t>
        </is>
      </c>
      <c r="C5410" s="12" t="inlineStr">
        <is>
          <t>GT inlet chilling</t>
        </is>
      </c>
      <c r="D5410" s="12" t="inlineStr">
        <is>
          <t>Home run JB-Chillers x6 (water-AI02 to the control / marshalling room</t>
        </is>
      </c>
      <c r="E5410" s="12" t="inlineStr"/>
      <c r="F5410" s="12" t="inlineStr">
        <is>
          <t>Inlet-chilling e-house / transformer</t>
        </is>
      </c>
      <c r="G5410" s="12" t="inlineStr">
        <is>
          <t>JB-Chillers x6 (water-AI02</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J-I-0021</t>
        </is>
      </c>
      <c r="B5411" s="12" t="inlineStr">
        <is>
          <t>J</t>
        </is>
      </c>
      <c r="C5411" s="12" t="inlineStr">
        <is>
          <t>GT inlet chilling</t>
        </is>
      </c>
      <c r="D5411" s="12" t="inlineStr">
        <is>
          <t>Analog instrument to JB JB-Chillers x6 (water-AI03: 20 x 1 pr (field cables)</t>
        </is>
      </c>
      <c r="E5411" s="12" t="inlineStr"/>
      <c r="F5411" s="12" t="inlineStr">
        <is>
          <t>Chillers x6 (water-cooled)</t>
        </is>
      </c>
      <c r="G5411" s="12" t="inlineStr">
        <is>
          <t>JB-Chillers x6 (water-AI03</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J-I-0022</t>
        </is>
      </c>
      <c r="B5412" s="12" t="inlineStr">
        <is>
          <t>J</t>
        </is>
      </c>
      <c r="C5412" s="12" t="inlineStr">
        <is>
          <t>GT inlet chilling</t>
        </is>
      </c>
      <c r="D5412" s="12" t="inlineStr">
        <is>
          <t>Home run JB-Chillers x6 (water-AI03 to the control / marshalling room</t>
        </is>
      </c>
      <c r="E5412" s="12" t="inlineStr"/>
      <c r="F5412" s="12" t="inlineStr">
        <is>
          <t>Inlet-chilling e-house / transformer</t>
        </is>
      </c>
      <c r="G5412" s="12" t="inlineStr">
        <is>
          <t>JB-Chillers x6 (water-AI03</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J-I-0023</t>
        </is>
      </c>
      <c r="B5413" s="12" t="inlineStr">
        <is>
          <t>J</t>
        </is>
      </c>
      <c r="C5413" s="12" t="inlineStr">
        <is>
          <t>GT inlet chilling</t>
        </is>
      </c>
      <c r="D5413" s="12" t="inlineStr">
        <is>
          <t>Analog instrument to JB JB-Chillers x6 (water-AI04: 20 x 1 pr (field cables)</t>
        </is>
      </c>
      <c r="E5413" s="12" t="inlineStr"/>
      <c r="F5413" s="12" t="inlineStr">
        <is>
          <t>Chillers x6 (water-cooled)</t>
        </is>
      </c>
      <c r="G5413" s="12" t="inlineStr">
        <is>
          <t>JB-Chillers x6 (water-AI04</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J-I-0024</t>
        </is>
      </c>
      <c r="B5414" s="12" t="inlineStr">
        <is>
          <t>J</t>
        </is>
      </c>
      <c r="C5414" s="12" t="inlineStr">
        <is>
          <t>GT inlet chilling</t>
        </is>
      </c>
      <c r="D5414" s="12" t="inlineStr">
        <is>
          <t>Home run JB-Chillers x6 (water-AI04 to the control / marshalling room</t>
        </is>
      </c>
      <c r="E5414" s="12" t="inlineStr"/>
      <c r="F5414" s="12" t="inlineStr">
        <is>
          <t>Inlet-chilling e-house / transformer</t>
        </is>
      </c>
      <c r="G5414" s="12" t="inlineStr">
        <is>
          <t>JB-Chillers x6 (water-AI04</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J-I-0025</t>
        </is>
      </c>
      <c r="B5415" s="12" t="inlineStr">
        <is>
          <t>J</t>
        </is>
      </c>
      <c r="C5415" s="12" t="inlineStr">
        <is>
          <t>GT inlet chilling</t>
        </is>
      </c>
      <c r="D5415" s="12" t="inlineStr">
        <is>
          <t>Analog instrument to JB JB-Chillers x6 (water-AI05: 20 x 1 pr (field cables)</t>
        </is>
      </c>
      <c r="E5415" s="12" t="inlineStr"/>
      <c r="F5415" s="12" t="inlineStr">
        <is>
          <t>Chillers x6 (water-cooled)</t>
        </is>
      </c>
      <c r="G5415" s="12" t="inlineStr">
        <is>
          <t>JB-Chillers x6 (water-AI05</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J-I-0026</t>
        </is>
      </c>
      <c r="B5416" s="12" t="inlineStr">
        <is>
          <t>J</t>
        </is>
      </c>
      <c r="C5416" s="12" t="inlineStr">
        <is>
          <t>GT inlet chilling</t>
        </is>
      </c>
      <c r="D5416" s="12" t="inlineStr">
        <is>
          <t>Home run JB-Chillers x6 (water-AI05 to the control / marshalling room</t>
        </is>
      </c>
      <c r="E5416" s="12" t="inlineStr"/>
      <c r="F5416" s="12" t="inlineStr">
        <is>
          <t>Inlet-chilling e-house / transformer</t>
        </is>
      </c>
      <c r="G5416" s="12" t="inlineStr">
        <is>
          <t>JB-Chillers x6 (water-AI05</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J-I-0027</t>
        </is>
      </c>
      <c r="B5417" s="12" t="inlineStr">
        <is>
          <t>J</t>
        </is>
      </c>
      <c r="C5417" s="12" t="inlineStr">
        <is>
          <t>GT inlet chilling</t>
        </is>
      </c>
      <c r="D5417" s="12" t="inlineStr">
        <is>
          <t>Analog instrument to JB JB-Chillers x6 (water-AI06: 20 x 1 pr (field cables)</t>
        </is>
      </c>
      <c r="E5417" s="12" t="inlineStr"/>
      <c r="F5417" s="12" t="inlineStr">
        <is>
          <t>Chillers x6 (water-cooled)</t>
        </is>
      </c>
      <c r="G5417" s="12" t="inlineStr">
        <is>
          <t>JB-Chillers x6 (water-AI06</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J-I-0028</t>
        </is>
      </c>
      <c r="B5418" s="12" t="inlineStr">
        <is>
          <t>J</t>
        </is>
      </c>
      <c r="C5418" s="12" t="inlineStr">
        <is>
          <t>GT inlet chilling</t>
        </is>
      </c>
      <c r="D5418" s="12" t="inlineStr">
        <is>
          <t>Home run JB-Chillers x6 (water-AI06 to the control / marshalling room</t>
        </is>
      </c>
      <c r="E5418" s="12" t="inlineStr"/>
      <c r="F5418" s="12" t="inlineStr">
        <is>
          <t>Inlet-chilling e-house / transformer</t>
        </is>
      </c>
      <c r="G5418" s="12" t="inlineStr">
        <is>
          <t>JB-Chillers x6 (water-AI06</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J-I-0029</t>
        </is>
      </c>
      <c r="B5419" s="12" t="inlineStr">
        <is>
          <t>J</t>
        </is>
      </c>
      <c r="C5419" s="12" t="inlineStr">
        <is>
          <t>GT inlet chilling</t>
        </is>
      </c>
      <c r="D5419" s="12" t="inlineStr">
        <is>
          <t>Discrete device to JB JB-Chillers x6 (water-DI01: 20 x 1 pr (field cables)</t>
        </is>
      </c>
      <c r="E5419" s="12" t="inlineStr"/>
      <c r="F5419" s="12" t="inlineStr">
        <is>
          <t>Chillers x6 (water-cooled)</t>
        </is>
      </c>
      <c r="G5419" s="12" t="inlineStr">
        <is>
          <t>JB-Chillers x6 (water-DI01</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J-I-0030</t>
        </is>
      </c>
      <c r="B5420" s="12" t="inlineStr">
        <is>
          <t>J</t>
        </is>
      </c>
      <c r="C5420" s="12" t="inlineStr">
        <is>
          <t>GT inlet chilling</t>
        </is>
      </c>
      <c r="D5420" s="12" t="inlineStr">
        <is>
          <t>Home run JB-Chillers x6 (water-DI01 to the control / marshalling room</t>
        </is>
      </c>
      <c r="E5420" s="12" t="inlineStr"/>
      <c r="F5420" s="12" t="inlineStr">
        <is>
          <t>Inlet-chilling e-house / transformer</t>
        </is>
      </c>
      <c r="G5420" s="12" t="inlineStr">
        <is>
          <t>JB-Chillers x6 (water-DI01</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J-I-0031</t>
        </is>
      </c>
      <c r="B5421" s="12" t="inlineStr">
        <is>
          <t>J</t>
        </is>
      </c>
      <c r="C5421" s="12" t="inlineStr">
        <is>
          <t>GT inlet chilling</t>
        </is>
      </c>
      <c r="D5421" s="12" t="inlineStr">
        <is>
          <t>Discrete device to JB JB-Chillers x6 (water-DI02: 20 x 1 pr (field cables)</t>
        </is>
      </c>
      <c r="E5421" s="12" t="inlineStr"/>
      <c r="F5421" s="12" t="inlineStr">
        <is>
          <t>Chillers x6 (water-cooled)</t>
        </is>
      </c>
      <c r="G5421" s="12" t="inlineStr">
        <is>
          <t>JB-Chillers x6 (water-DI02</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J-I-0032</t>
        </is>
      </c>
      <c r="B5422" s="12" t="inlineStr">
        <is>
          <t>J</t>
        </is>
      </c>
      <c r="C5422" s="12" t="inlineStr">
        <is>
          <t>GT inlet chilling</t>
        </is>
      </c>
      <c r="D5422" s="12" t="inlineStr">
        <is>
          <t>Home run JB-Chillers x6 (water-DI02 to the control / marshalling room</t>
        </is>
      </c>
      <c r="E5422" s="12" t="inlineStr"/>
      <c r="F5422" s="12" t="inlineStr">
        <is>
          <t>Inlet-chilling e-house / transformer</t>
        </is>
      </c>
      <c r="G5422" s="12" t="inlineStr">
        <is>
          <t>JB-Chillers x6 (water-DI02</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J-I-0033</t>
        </is>
      </c>
      <c r="B5423" s="12" t="inlineStr">
        <is>
          <t>J</t>
        </is>
      </c>
      <c r="C5423" s="12" t="inlineStr">
        <is>
          <t>GT inlet chilling</t>
        </is>
      </c>
      <c r="D5423" s="12" t="inlineStr">
        <is>
          <t>Discrete device to JB JB-Chillers x6 (water-DI03: 20 x 1 pr (field cables)</t>
        </is>
      </c>
      <c r="E5423" s="12" t="inlineStr"/>
      <c r="F5423" s="12" t="inlineStr">
        <is>
          <t>Chillers x6 (water-cooled)</t>
        </is>
      </c>
      <c r="G5423" s="12" t="inlineStr">
        <is>
          <t>JB-Chillers x6 (water-DI03</t>
        </is>
      </c>
      <c r="H5423" s="12" t="inlineStr">
        <is>
          <t>Chillers x6 (water-cooled)</t>
        </is>
      </c>
      <c r="I5423" s="12" t="inlineStr">
        <is>
          <t>Instrumentation</t>
        </is>
      </c>
      <c r="J5423" s="12" t="inlineStr">
        <is>
          <t>Instrumentation PLTC / TC-ER 300 V, #18 twisted shielded pairs, overall shield</t>
        </is>
      </c>
      <c r="K5423" s="12" t="inlineStr">
        <is>
          <t>PLTC|1 pr|16</t>
        </is>
      </c>
      <c r="L5423" s="12" t="inlineStr">
        <is>
          <t>1 pr</t>
        </is>
      </c>
      <c r="M5423" s="12" t="inlineStr">
        <is>
          <t>16</t>
        </is>
      </c>
      <c r="N5423" s="12" t="n">
        <v>20</v>
      </c>
      <c r="O5423" s="12" t="n">
        <v>1</v>
      </c>
      <c r="P5423" s="12" t="n"/>
      <c r="Q5423" s="12" t="n"/>
      <c r="R5423" s="12" t="n"/>
      <c r="S5423" s="12" t="inlineStr">
        <is>
          <t>Tray / conduit</t>
        </is>
      </c>
      <c r="T5423" s="16" t="n">
        <v>190</v>
      </c>
      <c r="U5423" s="16" t="n">
        <v>10</v>
      </c>
      <c r="V5423" s="16">
        <f>ROUNDUP((T5423+U5423+2*'Read Me'!$B$13)*(1+'Read Me'!$B$12),-1)</f>
        <v/>
      </c>
      <c r="W5423" s="16">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J-I-0034</t>
        </is>
      </c>
      <c r="B5424" s="12" t="inlineStr">
        <is>
          <t>J</t>
        </is>
      </c>
      <c r="C5424" s="12" t="inlineStr">
        <is>
          <t>GT inlet chilling</t>
        </is>
      </c>
      <c r="D5424" s="12" t="inlineStr">
        <is>
          <t>Home run JB-Chillers x6 (water-DI03 to the control / marshalling room</t>
        </is>
      </c>
      <c r="E5424" s="12" t="inlineStr"/>
      <c r="F5424" s="12" t="inlineStr">
        <is>
          <t>Inlet-chilling e-house / transformer</t>
        </is>
      </c>
      <c r="G5424" s="12" t="inlineStr">
        <is>
          <t>JB-Chillers x6 (water-DI03</t>
        </is>
      </c>
      <c r="H5424" s="12" t="inlineStr">
        <is>
          <t>Chillers x6 (water-cooled)</t>
        </is>
      </c>
      <c r="I5424" s="12" t="inlineStr">
        <is>
          <t>Instrumentation</t>
        </is>
      </c>
      <c r="J5424" s="12" t="inlineStr">
        <is>
          <t>Instrumentation PLTC / TC-ER 300 V, #18 twisted shielded pairs, overall shield</t>
        </is>
      </c>
      <c r="K5424" s="12" t="inlineStr">
        <is>
          <t>PLTC|24 pr|18</t>
        </is>
      </c>
      <c r="L5424" s="12" t="inlineStr">
        <is>
          <t>24 pr</t>
        </is>
      </c>
      <c r="M5424" s="12" t="inlineStr">
        <is>
          <t>18</t>
        </is>
      </c>
      <c r="N5424" s="12" t="n">
        <v>1</v>
      </c>
      <c r="O5424" s="12" t="n">
        <v>1</v>
      </c>
      <c r="P5424" s="12" t="n"/>
      <c r="Q5424" s="12" t="n"/>
      <c r="R5424" s="12" t="n"/>
      <c r="S5424" s="12" t="inlineStr">
        <is>
          <t>Duct bank</t>
        </is>
      </c>
      <c r="T5424" s="16" t="n">
        <v>10</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J-I-0035</t>
        </is>
      </c>
      <c r="B5425" s="12" t="inlineStr">
        <is>
          <t>J</t>
        </is>
      </c>
      <c r="C5425" s="12" t="inlineStr">
        <is>
          <t>GT inlet chilling</t>
        </is>
      </c>
      <c r="D5425" s="12" t="inlineStr">
        <is>
          <t>Discrete device to JB JB-Chillers x6 (water-DI04: 20 x 1 pr (field cables)</t>
        </is>
      </c>
      <c r="E5425" s="12" t="inlineStr"/>
      <c r="F5425" s="12" t="inlineStr">
        <is>
          <t>Chillers x6 (water-cooled)</t>
        </is>
      </c>
      <c r="G5425" s="12" t="inlineStr">
        <is>
          <t>JB-Chillers x6 (water-DI04</t>
        </is>
      </c>
      <c r="H5425" s="12" t="inlineStr">
        <is>
          <t>Chillers x6 (water-cooled)</t>
        </is>
      </c>
      <c r="I5425" s="12" t="inlineStr">
        <is>
          <t>Instrumentation</t>
        </is>
      </c>
      <c r="J5425" s="12" t="inlineStr">
        <is>
          <t>Instrumentation PLTC / TC-ER 300 V, #18 twisted shielded pairs, overall shield</t>
        </is>
      </c>
      <c r="K5425" s="12" t="inlineStr">
        <is>
          <t>PLTC|1 pr|16</t>
        </is>
      </c>
      <c r="L5425" s="12" t="inlineStr">
        <is>
          <t>1 pr</t>
        </is>
      </c>
      <c r="M5425" s="12" t="inlineStr">
        <is>
          <t>16</t>
        </is>
      </c>
      <c r="N5425" s="12" t="n">
        <v>20</v>
      </c>
      <c r="O5425" s="12" t="n">
        <v>1</v>
      </c>
      <c r="P5425" s="12" t="n"/>
      <c r="Q5425" s="12" t="n"/>
      <c r="R5425" s="12" t="n"/>
      <c r="S5425" s="12" t="inlineStr">
        <is>
          <t>Tray / conduit</t>
        </is>
      </c>
      <c r="T5425" s="16" t="n">
        <v>190</v>
      </c>
      <c r="U5425" s="16" t="n">
        <v>10</v>
      </c>
      <c r="V5425" s="16">
        <f>ROUNDUP((T5425+U5425+2*'Read Me'!$B$13)*(1+'Read Me'!$B$12),-1)</f>
        <v/>
      </c>
      <c r="W5425" s="16">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J-I-0036</t>
        </is>
      </c>
      <c r="B5426" s="12" t="inlineStr">
        <is>
          <t>J</t>
        </is>
      </c>
      <c r="C5426" s="12" t="inlineStr">
        <is>
          <t>GT inlet chilling</t>
        </is>
      </c>
      <c r="D5426" s="12" t="inlineStr">
        <is>
          <t>Home run JB-Chillers x6 (water-DI04 to the control / marshalling room</t>
        </is>
      </c>
      <c r="E5426" s="12" t="inlineStr"/>
      <c r="F5426" s="12" t="inlineStr">
        <is>
          <t>Inlet-chilling e-house / transformer</t>
        </is>
      </c>
      <c r="G5426" s="12" t="inlineStr">
        <is>
          <t>JB-Chillers x6 (water-DI04</t>
        </is>
      </c>
      <c r="H5426" s="12" t="inlineStr">
        <is>
          <t>Chillers x6 (water-cooled)</t>
        </is>
      </c>
      <c r="I5426" s="12" t="inlineStr">
        <is>
          <t>Instrumentation</t>
        </is>
      </c>
      <c r="J5426" s="12" t="inlineStr">
        <is>
          <t>Instrumentation PLTC / TC-ER 300 V, #18 twisted shielded pairs, overall shield</t>
        </is>
      </c>
      <c r="K5426" s="12" t="inlineStr">
        <is>
          <t>PLTC|24 pr|18</t>
        </is>
      </c>
      <c r="L5426" s="12" t="inlineStr">
        <is>
          <t>24 pr</t>
        </is>
      </c>
      <c r="M5426" s="12" t="inlineStr">
        <is>
          <t>18</t>
        </is>
      </c>
      <c r="N5426" s="12" t="n">
        <v>1</v>
      </c>
      <c r="O5426" s="12" t="n">
        <v>1</v>
      </c>
      <c r="P5426" s="12" t="n"/>
      <c r="Q5426" s="12" t="n"/>
      <c r="R5426" s="12" t="n"/>
      <c r="S5426" s="12" t="inlineStr">
        <is>
          <t>Duct bank</t>
        </is>
      </c>
      <c r="T5426" s="16" t="n">
        <v>10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J-I-0037</t>
        </is>
      </c>
      <c r="B5427" s="12" t="inlineStr">
        <is>
          <t>J</t>
        </is>
      </c>
      <c r="C5427" s="12" t="inlineStr">
        <is>
          <t>GT inlet chilling</t>
        </is>
      </c>
      <c r="D5427" s="12" t="inlineStr">
        <is>
          <t>Discrete device to JB JB-Chillers x6 (water-DI05: 20 x 1 pr (field cables)</t>
        </is>
      </c>
      <c r="E5427" s="12" t="inlineStr"/>
      <c r="F5427" s="12" t="inlineStr">
        <is>
          <t>Chillers x6 (water-cooled)</t>
        </is>
      </c>
      <c r="G5427" s="12" t="inlineStr">
        <is>
          <t>JB-Chillers x6 (water-DI05</t>
        </is>
      </c>
      <c r="H5427" s="12" t="inlineStr">
        <is>
          <t>Chillers x6 (water-cooled)</t>
        </is>
      </c>
      <c r="I5427" s="12" t="inlineStr">
        <is>
          <t>Instrumentation</t>
        </is>
      </c>
      <c r="J5427" s="12" t="inlineStr">
        <is>
          <t>Instrumentation PLTC / TC-ER 300 V, #18 twisted shielded pairs, overall shield</t>
        </is>
      </c>
      <c r="K5427" s="12" t="inlineStr">
        <is>
          <t>PLTC|1 pr|16</t>
        </is>
      </c>
      <c r="L5427" s="12" t="inlineStr">
        <is>
          <t>1 pr</t>
        </is>
      </c>
      <c r="M5427" s="12" t="inlineStr">
        <is>
          <t>16</t>
        </is>
      </c>
      <c r="N5427" s="12" t="n">
        <v>20</v>
      </c>
      <c r="O5427" s="12" t="n">
        <v>1</v>
      </c>
      <c r="P5427" s="12" t="n"/>
      <c r="Q5427" s="12" t="n"/>
      <c r="R5427" s="12" t="n"/>
      <c r="S5427" s="12" t="inlineStr">
        <is>
          <t>Tray / conduit</t>
        </is>
      </c>
      <c r="T5427" s="16" t="n">
        <v>190</v>
      </c>
      <c r="U5427" s="16" t="n">
        <v>10</v>
      </c>
      <c r="V5427" s="16">
        <f>ROUNDUP((T5427+U5427+2*'Read Me'!$B$13)*(1+'Read Me'!$B$12),-1)</f>
        <v/>
      </c>
      <c r="W5427" s="16">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J-I-0038</t>
        </is>
      </c>
      <c r="B5428" s="12" t="inlineStr">
        <is>
          <t>J</t>
        </is>
      </c>
      <c r="C5428" s="12" t="inlineStr">
        <is>
          <t>GT inlet chilling</t>
        </is>
      </c>
      <c r="D5428" s="12" t="inlineStr">
        <is>
          <t>Home run JB-Chillers x6 (water-DI05 to the control / marshalling room</t>
        </is>
      </c>
      <c r="E5428" s="12" t="inlineStr"/>
      <c r="F5428" s="12" t="inlineStr">
        <is>
          <t>Inlet-chilling e-house / transformer</t>
        </is>
      </c>
      <c r="G5428" s="12" t="inlineStr">
        <is>
          <t>JB-Chillers x6 (water-DI05</t>
        </is>
      </c>
      <c r="H5428" s="12" t="inlineStr">
        <is>
          <t>Chillers x6 (water-cooled)</t>
        </is>
      </c>
      <c r="I5428" s="12" t="inlineStr">
        <is>
          <t>Instrumentation</t>
        </is>
      </c>
      <c r="J5428" s="12" t="inlineStr">
        <is>
          <t>Instrumentation PLTC / TC-ER 300 V, #18 twisted shielded pairs, overall shield</t>
        </is>
      </c>
      <c r="K5428" s="12" t="inlineStr">
        <is>
          <t>PLTC|24 pr|18</t>
        </is>
      </c>
      <c r="L5428" s="12" t="inlineStr">
        <is>
          <t>24 pr</t>
        </is>
      </c>
      <c r="M5428" s="12" t="inlineStr">
        <is>
          <t>18</t>
        </is>
      </c>
      <c r="N5428" s="12" t="n">
        <v>1</v>
      </c>
      <c r="O5428" s="12" t="n">
        <v>1</v>
      </c>
      <c r="P5428" s="12" t="n"/>
      <c r="Q5428" s="12" t="n"/>
      <c r="R5428" s="12" t="n"/>
      <c r="S5428" s="12" t="inlineStr">
        <is>
          <t>Duct bank</t>
        </is>
      </c>
      <c r="T5428" s="16" t="n">
        <v>10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J-I-0039</t>
        </is>
      </c>
      <c r="B5429" s="12" t="inlineStr">
        <is>
          <t>J</t>
        </is>
      </c>
      <c r="C5429" s="12" t="inlineStr">
        <is>
          <t>GT inlet chilling</t>
        </is>
      </c>
      <c r="D5429" s="12" t="inlineStr">
        <is>
          <t>Discrete device to JB JB-Chillers x6 (water-DI06: 20 x 1 pr (field cables)</t>
        </is>
      </c>
      <c r="E5429" s="12" t="inlineStr"/>
      <c r="F5429" s="12" t="inlineStr">
        <is>
          <t>Chillers x6 (water-cooled)</t>
        </is>
      </c>
      <c r="G5429" s="12" t="inlineStr">
        <is>
          <t>JB-Chillers x6 (water-DI06</t>
        </is>
      </c>
      <c r="H5429" s="12" t="inlineStr">
        <is>
          <t>Chillers x6 (water-cooled)</t>
        </is>
      </c>
      <c r="I5429" s="12" t="inlineStr">
        <is>
          <t>Instrumentation</t>
        </is>
      </c>
      <c r="J5429" s="12" t="inlineStr">
        <is>
          <t>Instrumentation PLTC / TC-ER 300 V, #18 twisted shielded pairs, overall shield</t>
        </is>
      </c>
      <c r="K5429" s="12" t="inlineStr">
        <is>
          <t>PLTC|1 pr|16</t>
        </is>
      </c>
      <c r="L5429" s="12" t="inlineStr">
        <is>
          <t>1 pr</t>
        </is>
      </c>
      <c r="M5429" s="12" t="inlineStr">
        <is>
          <t>16</t>
        </is>
      </c>
      <c r="N5429" s="12" t="n">
        <v>20</v>
      </c>
      <c r="O5429" s="12" t="n">
        <v>1</v>
      </c>
      <c r="P5429" s="12" t="n"/>
      <c r="Q5429" s="12" t="n"/>
      <c r="R5429" s="12" t="n"/>
      <c r="S5429" s="12" t="inlineStr">
        <is>
          <t>Tray / conduit</t>
        </is>
      </c>
      <c r="T5429" s="16" t="n">
        <v>190</v>
      </c>
      <c r="U5429" s="16" t="n">
        <v>10</v>
      </c>
      <c r="V5429" s="16">
        <f>ROUNDUP((T5429+U5429+2*'Read Me'!$B$13)*(1+'Read Me'!$B$12),-1)</f>
        <v/>
      </c>
      <c r="W5429" s="16">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J-I-0040</t>
        </is>
      </c>
      <c r="B5430" s="12" t="inlineStr">
        <is>
          <t>J</t>
        </is>
      </c>
      <c r="C5430" s="12" t="inlineStr">
        <is>
          <t>GT inlet chilling</t>
        </is>
      </c>
      <c r="D5430" s="12" t="inlineStr">
        <is>
          <t>Home run JB-Chillers x6 (water-DI06 to the control / marshalling room</t>
        </is>
      </c>
      <c r="E5430" s="12" t="inlineStr"/>
      <c r="F5430" s="12" t="inlineStr">
        <is>
          <t>Inlet-chilling e-house / transformer</t>
        </is>
      </c>
      <c r="G5430" s="12" t="inlineStr">
        <is>
          <t>JB-Chillers x6 (water-DI06</t>
        </is>
      </c>
      <c r="H5430" s="12" t="inlineStr">
        <is>
          <t>Chillers x6 (water-cooled)</t>
        </is>
      </c>
      <c r="I5430" s="12" t="inlineStr">
        <is>
          <t>Instrumentation</t>
        </is>
      </c>
      <c r="J5430" s="12" t="inlineStr">
        <is>
          <t>Instrumentation PLTC / TC-ER 300 V, #18 twisted shielded pairs, overall shield</t>
        </is>
      </c>
      <c r="K5430" s="12" t="inlineStr">
        <is>
          <t>PLTC|24 pr|18</t>
        </is>
      </c>
      <c r="L5430" s="12" t="inlineStr">
        <is>
          <t>24 pr</t>
        </is>
      </c>
      <c r="M5430" s="12" t="inlineStr">
        <is>
          <t>18</t>
        </is>
      </c>
      <c r="N5430" s="12" t="n">
        <v>1</v>
      </c>
      <c r="O5430" s="12" t="n">
        <v>1</v>
      </c>
      <c r="P5430" s="12" t="n"/>
      <c r="Q5430" s="12" t="n"/>
      <c r="R5430" s="12" t="n"/>
      <c r="S5430" s="12" t="inlineStr">
        <is>
          <t>Duct bank</t>
        </is>
      </c>
      <c r="T5430" s="16" t="n">
        <v>10</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J-I-0041</t>
        </is>
      </c>
      <c r="B5431" s="12" t="inlineStr">
        <is>
          <t>J</t>
        </is>
      </c>
      <c r="C5431" s="12" t="inlineStr">
        <is>
          <t>GT inlet chilling</t>
        </is>
      </c>
      <c r="D5431" s="12" t="inlineStr">
        <is>
          <t>Instrumentation</t>
        </is>
      </c>
      <c r="E5431" s="12" t="inlineStr"/>
      <c r="F5431" s="12" t="inlineStr">
        <is>
          <t>Inlet-chilling e-house / transformer</t>
        </is>
      </c>
      <c r="G5431" s="12" t="inlineStr"/>
      <c r="H5431" s="12" t="inlineStr">
        <is>
          <t>Inlet-chilling e-house / transformer</t>
        </is>
      </c>
      <c r="I5431" s="12" t="inlineStr">
        <is>
          <t>Instrumentation</t>
        </is>
      </c>
      <c r="J5431" s="12" t="inlineStr">
        <is>
          <t>Instrumentation PLTC / TC-ER 300 V, #18 twisted shielded pairs, overall shield</t>
        </is>
      </c>
      <c r="K5431" s="12" t="inlineStr">
        <is>
          <t>PLTC|4 pr|18</t>
        </is>
      </c>
      <c r="L5431" s="12" t="inlineStr">
        <is>
          <t>4 pr</t>
        </is>
      </c>
      <c r="M5431" s="12" t="inlineStr">
        <is>
          <t>18</t>
        </is>
      </c>
      <c r="N5431" s="12" t="n">
        <v>1</v>
      </c>
      <c r="O5431" s="12" t="n">
        <v>1</v>
      </c>
      <c r="P5431" s="12" t="n"/>
      <c r="Q5431" s="12" t="n"/>
      <c r="R5431" s="12" t="n"/>
      <c r="S5431" s="12" t="inlineStr">
        <is>
          <t>Tray</t>
        </is>
      </c>
      <c r="T5431" s="16" t="n">
        <v>0</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J-I-0042</t>
        </is>
      </c>
      <c r="B5432" s="12" t="inlineStr">
        <is>
          <t>J</t>
        </is>
      </c>
      <c r="C5432" s="12" t="inlineStr">
        <is>
          <t>GT inlet chilling</t>
        </is>
      </c>
      <c r="D5432" s="12" t="inlineStr">
        <is>
          <t>Analog instrument to JB JB-Inlet-chilling tow-AI01: 12 x 1 pr (field cables)</t>
        </is>
      </c>
      <c r="E5432" s="12" t="inlineStr"/>
      <c r="F5432" s="12" t="inlineStr">
        <is>
          <t>Inlet-chilling tower (12 cells): chiller heat rejection</t>
        </is>
      </c>
      <c r="G5432" s="12" t="inlineStr">
        <is>
          <t>JB-Inlet-chilling tow-AI01</t>
        </is>
      </c>
      <c r="H5432" s="12" t="inlineStr">
        <is>
          <t>Inlet-chilling tower (12 cells): chiller heat rejection</t>
        </is>
      </c>
      <c r="I5432" s="12" t="inlineStr">
        <is>
          <t>Instrumentation</t>
        </is>
      </c>
      <c r="J5432" s="12" t="inlineStr">
        <is>
          <t>Instrumentation PLTC / TC-ER 300 V, #18 twisted shielded pairs, overall shield</t>
        </is>
      </c>
      <c r="K5432" s="12" t="inlineStr">
        <is>
          <t>PLTC|1 pr|16</t>
        </is>
      </c>
      <c r="L5432" s="12" t="inlineStr">
        <is>
          <t>1 pr</t>
        </is>
      </c>
      <c r="M5432" s="12" t="inlineStr">
        <is>
          <t>16</t>
        </is>
      </c>
      <c r="N5432" s="12" t="n">
        <v>12</v>
      </c>
      <c r="O5432" s="12" t="n">
        <v>1</v>
      </c>
      <c r="P5432" s="12" t="n"/>
      <c r="Q5432" s="12" t="n"/>
      <c r="R5432" s="12" t="n"/>
      <c r="S5432" s="12" t="inlineStr">
        <is>
          <t>Tray / conduit</t>
        </is>
      </c>
      <c r="T5432" s="16" t="n">
        <v>205</v>
      </c>
      <c r="U5432" s="16" t="n">
        <v>10</v>
      </c>
      <c r="V5432" s="16">
        <f>ROUNDUP((T5432+U5432+2*'Read Me'!$B$13)*(1+'Read Me'!$B$12),-1)</f>
        <v/>
      </c>
      <c r="W5432" s="16">
        <f>V5432*N5432*O5432</f>
        <v/>
      </c>
      <c r="X5432" s="12">
        <f>IF(LEFT(I5432,2)="MV",2*N5432*IF(L5432="1/C",O5432,1),0)</f>
        <v/>
      </c>
      <c r="Y5432" s="12">
        <f>IF(OR(LEFT(K5432,4)="LVAX",LEFT(K5432,6)="MV15AX",LEFT(K5432,4)="CTAX",LEFT(K5432,2)="W|"),2*N5432*O5432,0)</f>
        <v/>
      </c>
      <c r="Z5432" s="12" t="inlineStr">
        <is>
          <t>device-to-JB field wiring, one cable per device</t>
        </is>
      </c>
      <c r="AA5432" s="12">
        <f>N5432*O5432</f>
        <v/>
      </c>
    </row>
    <row r="5433">
      <c r="A5433" s="12" t="inlineStr">
        <is>
          <t>J-I-0043</t>
        </is>
      </c>
      <c r="B5433" s="12" t="inlineStr">
        <is>
          <t>J</t>
        </is>
      </c>
      <c r="C5433" s="12" t="inlineStr">
        <is>
          <t>GT inlet chilling</t>
        </is>
      </c>
      <c r="D5433" s="12" t="inlineStr">
        <is>
          <t>Home run JB-Inlet-chilling tow-AI01 to the control / marshalling room</t>
        </is>
      </c>
      <c r="E5433" s="12" t="inlineStr"/>
      <c r="F5433" s="12" t="inlineStr">
        <is>
          <t>Inlet-chilling e-house / transformer</t>
        </is>
      </c>
      <c r="G5433" s="12" t="inlineStr">
        <is>
          <t>JB-Inlet-chilling tow-AI01</t>
        </is>
      </c>
      <c r="H5433" s="12" t="inlineStr">
        <is>
          <t>Inlet-chilling tower (12 cells): chiller heat rejection</t>
        </is>
      </c>
      <c r="I5433" s="12" t="inlineStr">
        <is>
          <t>Instrumentation</t>
        </is>
      </c>
      <c r="J5433" s="12" t="inlineStr">
        <is>
          <t>Instrumentation PLTC / TC-ER 300 V, #18 twisted shielded pairs, overall shield</t>
        </is>
      </c>
      <c r="K5433" s="12" t="inlineStr">
        <is>
          <t>PLTC|24 pr|18</t>
        </is>
      </c>
      <c r="L5433" s="12" t="inlineStr">
        <is>
          <t>24 pr</t>
        </is>
      </c>
      <c r="M5433" s="12" t="inlineStr">
        <is>
          <t>18</t>
        </is>
      </c>
      <c r="N5433" s="12" t="n">
        <v>1</v>
      </c>
      <c r="O5433" s="12" t="n">
        <v>1</v>
      </c>
      <c r="P5433" s="12" t="n"/>
      <c r="Q5433" s="12" t="n"/>
      <c r="R5433" s="12" t="n"/>
      <c r="S5433" s="12" t="inlineStr">
        <is>
          <t>Duct bank</t>
        </is>
      </c>
      <c r="T5433" s="16" t="n">
        <v>478</v>
      </c>
      <c r="U5433" s="16" t="n">
        <v>38</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J-I-0044</t>
        </is>
      </c>
      <c r="B5434" s="12" t="inlineStr">
        <is>
          <t>J</t>
        </is>
      </c>
      <c r="C5434" s="12" t="inlineStr">
        <is>
          <t>GT inlet chilling</t>
        </is>
      </c>
      <c r="D5434" s="12" t="inlineStr">
        <is>
          <t>Discrete device to JB JB-Inlet-chilling tow-DI01: 20 x 1 pr (field cables)</t>
        </is>
      </c>
      <c r="E5434" s="12" t="inlineStr"/>
      <c r="F5434" s="12" t="inlineStr">
        <is>
          <t>Inlet-chilling tower (12 cells): chiller heat rejection</t>
        </is>
      </c>
      <c r="G5434" s="12" t="inlineStr">
        <is>
          <t>JB-Inlet-chilling tow-DI01</t>
        </is>
      </c>
      <c r="H5434" s="12" t="inlineStr">
        <is>
          <t>Inlet-chilling tower (12 cells): chiller heat rejection</t>
        </is>
      </c>
      <c r="I5434" s="12" t="inlineStr">
        <is>
          <t>Instrumentation</t>
        </is>
      </c>
      <c r="J5434" s="12" t="inlineStr">
        <is>
          <t>Instrumentation PLTC / TC-ER 300 V, #18 twisted shielded pairs, overall shield</t>
        </is>
      </c>
      <c r="K5434" s="12" t="inlineStr">
        <is>
          <t>PLTC|1 pr|16</t>
        </is>
      </c>
      <c r="L5434" s="12" t="inlineStr">
        <is>
          <t>1 pr</t>
        </is>
      </c>
      <c r="M5434" s="12" t="inlineStr">
        <is>
          <t>16</t>
        </is>
      </c>
      <c r="N5434" s="12" t="n">
        <v>20</v>
      </c>
      <c r="O5434" s="12" t="n">
        <v>1</v>
      </c>
      <c r="P5434" s="12" t="n"/>
      <c r="Q5434" s="12" t="n"/>
      <c r="R5434" s="12" t="n"/>
      <c r="S5434" s="12" t="inlineStr">
        <is>
          <t>Tray / conduit</t>
        </is>
      </c>
      <c r="T5434" s="16" t="n">
        <v>205</v>
      </c>
      <c r="U5434" s="16" t="n">
        <v>10</v>
      </c>
      <c r="V5434" s="16">
        <f>ROUNDUP((T5434+U5434+2*'Read Me'!$B$13)*(1+'Read Me'!$B$12),-1)</f>
        <v/>
      </c>
      <c r="W5434" s="16">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J-I-0045</t>
        </is>
      </c>
      <c r="B5435" s="12" t="inlineStr">
        <is>
          <t>J</t>
        </is>
      </c>
      <c r="C5435" s="12" t="inlineStr">
        <is>
          <t>GT inlet chilling</t>
        </is>
      </c>
      <c r="D5435" s="12" t="inlineStr">
        <is>
          <t>Home run JB-Inlet-chilling tow-DI01 to the control / marshalling room</t>
        </is>
      </c>
      <c r="E5435" s="12" t="inlineStr"/>
      <c r="F5435" s="12" t="inlineStr">
        <is>
          <t>Inlet-chilling e-house / transformer</t>
        </is>
      </c>
      <c r="G5435" s="12" t="inlineStr">
        <is>
          <t>JB-Inlet-chilling tow-DI01</t>
        </is>
      </c>
      <c r="H5435" s="12" t="inlineStr">
        <is>
          <t>Inlet-chilling tower (12 cells): chiller heat rejection</t>
        </is>
      </c>
      <c r="I5435" s="12" t="inlineStr">
        <is>
          <t>Instrumentation</t>
        </is>
      </c>
      <c r="J5435" s="12" t="inlineStr">
        <is>
          <t>Instrumentation PLTC / TC-ER 300 V, #18 twisted shielded pairs, overall shield</t>
        </is>
      </c>
      <c r="K5435" s="12" t="inlineStr">
        <is>
          <t>PLTC|24 pr|18</t>
        </is>
      </c>
      <c r="L5435" s="12" t="inlineStr">
        <is>
          <t>24 pr</t>
        </is>
      </c>
      <c r="M5435" s="12" t="inlineStr">
        <is>
          <t>18</t>
        </is>
      </c>
      <c r="N5435" s="12" t="n">
        <v>1</v>
      </c>
      <c r="O5435" s="12" t="n">
        <v>1</v>
      </c>
      <c r="P5435" s="12" t="n"/>
      <c r="Q5435" s="12" t="n"/>
      <c r="R5435" s="12" t="n"/>
      <c r="S5435" s="12" t="inlineStr">
        <is>
          <t>Duct bank</t>
        </is>
      </c>
      <c r="T5435" s="16" t="n">
        <v>478</v>
      </c>
      <c r="U5435" s="16" t="n">
        <v>38</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J-I-0046</t>
        </is>
      </c>
      <c r="B5436" s="12" t="inlineStr">
        <is>
          <t>J</t>
        </is>
      </c>
      <c r="C5436" s="12" t="inlineStr">
        <is>
          <t>GT inlet chilling</t>
        </is>
      </c>
      <c r="D5436" s="12" t="inlineStr">
        <is>
          <t>Discrete device to JB JB-Inlet-chilling tow-DI02: 4 x 1 pr (field cables)</t>
        </is>
      </c>
      <c r="E5436" s="12" t="inlineStr"/>
      <c r="F5436" s="12" t="inlineStr">
        <is>
          <t>Inlet-chilling tower (12 cells): chiller heat rejection</t>
        </is>
      </c>
      <c r="G5436" s="12" t="inlineStr">
        <is>
          <t>JB-Inlet-chilling tow-DI02</t>
        </is>
      </c>
      <c r="H5436" s="12" t="inlineStr">
        <is>
          <t>Inlet-chilling tower (12 cells): chiller heat rejection</t>
        </is>
      </c>
      <c r="I5436" s="12" t="inlineStr">
        <is>
          <t>Instrumentation</t>
        </is>
      </c>
      <c r="J5436" s="12" t="inlineStr">
        <is>
          <t>Instrumentation PLTC / TC-ER 300 V, #18 twisted shielded pairs, overall shield</t>
        </is>
      </c>
      <c r="K5436" s="12" t="inlineStr">
        <is>
          <t>PLTC|1 pr|16</t>
        </is>
      </c>
      <c r="L5436" s="12" t="inlineStr">
        <is>
          <t>1 pr</t>
        </is>
      </c>
      <c r="M5436" s="12" t="inlineStr">
        <is>
          <t>16</t>
        </is>
      </c>
      <c r="N5436" s="12" t="n">
        <v>4</v>
      </c>
      <c r="O5436" s="12" t="n">
        <v>1</v>
      </c>
      <c r="P5436" s="12" t="n"/>
      <c r="Q5436" s="12" t="n"/>
      <c r="R5436" s="12" t="n"/>
      <c r="S5436" s="12" t="inlineStr">
        <is>
          <t>Tray / conduit</t>
        </is>
      </c>
      <c r="T5436" s="16" t="n">
        <v>205</v>
      </c>
      <c r="U5436" s="16" t="n">
        <v>10</v>
      </c>
      <c r="V5436" s="16">
        <f>ROUNDUP((T5436+U5436+2*'Read Me'!$B$13)*(1+'Read Me'!$B$12),-1)</f>
        <v/>
      </c>
      <c r="W5436" s="16">
        <f>V5436*N5436*O5436</f>
        <v/>
      </c>
      <c r="X5436" s="12">
        <f>IF(LEFT(I5436,2)="MV",2*N5436*IF(L5436="1/C",O5436,1),0)</f>
        <v/>
      </c>
      <c r="Y5436" s="12">
        <f>IF(OR(LEFT(K5436,4)="LVAX",LEFT(K5436,6)="MV15AX",LEFT(K5436,4)="CTAX",LEFT(K5436,2)="W|"),2*N5436*O5436,0)</f>
        <v/>
      </c>
      <c r="Z5436" s="12" t="inlineStr">
        <is>
          <t>device-to-JB field wiring, one cable per device</t>
        </is>
      </c>
      <c r="AA5436" s="12">
        <f>N5436*O5436</f>
        <v/>
      </c>
    </row>
    <row r="5437">
      <c r="A5437" s="12" t="inlineStr">
        <is>
          <t>J-I-0047</t>
        </is>
      </c>
      <c r="B5437" s="12" t="inlineStr">
        <is>
          <t>J</t>
        </is>
      </c>
      <c r="C5437" s="12" t="inlineStr">
        <is>
          <t>GT inlet chilling</t>
        </is>
      </c>
      <c r="D5437" s="12" t="inlineStr">
        <is>
          <t>Home run JB-Inlet-chilling tow-DI02 to the control / marshalling room</t>
        </is>
      </c>
      <c r="E5437" s="12" t="inlineStr"/>
      <c r="F5437" s="12" t="inlineStr">
        <is>
          <t>Inlet-chilling e-house / transformer</t>
        </is>
      </c>
      <c r="G5437" s="12" t="inlineStr">
        <is>
          <t>JB-Inlet-chilling tow-DI02</t>
        </is>
      </c>
      <c r="H5437" s="12" t="inlineStr">
        <is>
          <t>Inlet-chilling tower (12 cells): chiller heat rejection</t>
        </is>
      </c>
      <c r="I5437" s="12" t="inlineStr">
        <is>
          <t>Instrumentation</t>
        </is>
      </c>
      <c r="J5437" s="12" t="inlineStr">
        <is>
          <t>Instrumentation PLTC / TC-ER 300 V, #18 twisted shielded pairs, overall shield</t>
        </is>
      </c>
      <c r="K5437" s="12" t="inlineStr">
        <is>
          <t>PLTC|24 pr|18</t>
        </is>
      </c>
      <c r="L5437" s="12" t="inlineStr">
        <is>
          <t>24 pr</t>
        </is>
      </c>
      <c r="M5437" s="12" t="inlineStr">
        <is>
          <t>18</t>
        </is>
      </c>
      <c r="N5437" s="12" t="n">
        <v>1</v>
      </c>
      <c r="O5437" s="12" t="n">
        <v>1</v>
      </c>
      <c r="P5437" s="12" t="n"/>
      <c r="Q5437" s="12" t="n"/>
      <c r="R5437" s="12" t="n"/>
      <c r="S5437" s="12" t="inlineStr">
        <is>
          <t>Duct bank</t>
        </is>
      </c>
      <c r="T5437" s="16" t="n">
        <v>478</v>
      </c>
      <c r="U5437" s="16" t="n">
        <v>38</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J-P-0001</t>
        </is>
      </c>
      <c r="B5438" s="12" t="inlineStr">
        <is>
          <t>J</t>
        </is>
      </c>
      <c r="C5438" s="12" t="inlineStr">
        <is>
          <t>GT inlet chilling</t>
        </is>
      </c>
      <c r="D5438" s="12" t="inlineStr">
        <is>
          <t>Motor 1 of 4, 150 kW</t>
        </is>
      </c>
      <c r="E5438" s="12" t="inlineStr"/>
      <c r="F5438" s="12" t="inlineStr">
        <is>
          <t>Inlet-chilling e-house / transformer</t>
        </is>
      </c>
      <c r="G5438" s="12" t="inlineStr"/>
      <c r="H5438" s="12" t="inlineStr">
        <is>
          <t>CHW pumps</t>
        </is>
      </c>
      <c r="I5438" s="12" t="inlineStr">
        <is>
          <t>LV 600 V</t>
        </is>
      </c>
      <c r="J5438" s="12" t="inlineStr">
        <is>
          <t>Type TC-ER 600 V 3/C Cu XHHW-2 + ground, PVC jacket</t>
        </is>
      </c>
      <c r="K5438" s="12" t="inlineStr">
        <is>
          <t>LV|3/C+G|350</t>
        </is>
      </c>
      <c r="L5438" s="12" t="inlineStr">
        <is>
          <t>3/C+G</t>
        </is>
      </c>
      <c r="M5438" s="12" t="inlineStr">
        <is>
          <t>350 kcmil</t>
        </is>
      </c>
      <c r="N5438" s="12" t="n">
        <v>1</v>
      </c>
      <c r="O5438" s="12" t="n">
        <v>1</v>
      </c>
      <c r="P5438" s="12" t="n">
        <v>480</v>
      </c>
      <c r="Q5438" s="12" t="n">
        <v>150</v>
      </c>
      <c r="R5438" s="12" t="n">
        <v>212.3</v>
      </c>
      <c r="S5438" s="12" t="inlineStr">
        <is>
          <t>Duct bank</t>
        </is>
      </c>
      <c r="T5438" s="16" t="n">
        <v>579</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1.9 %</t>
        </is>
      </c>
      <c r="AA5438" s="12">
        <f>N5438*O5438</f>
        <v/>
      </c>
    </row>
    <row r="5439">
      <c r="A5439" s="12" t="inlineStr">
        <is>
          <t>J-P-0002</t>
        </is>
      </c>
      <c r="B5439" s="12" t="inlineStr">
        <is>
          <t>J</t>
        </is>
      </c>
      <c r="C5439" s="12" t="inlineStr">
        <is>
          <t>GT inlet chilling</t>
        </is>
      </c>
      <c r="D5439" s="12" t="inlineStr">
        <is>
          <t>Motor 2 of 4, 150 kW</t>
        </is>
      </c>
      <c r="E5439" s="12" t="inlineStr"/>
      <c r="F5439" s="12" t="inlineStr">
        <is>
          <t>Inlet-chilling e-house / transformer</t>
        </is>
      </c>
      <c r="G5439" s="12" t="inlineStr"/>
      <c r="H5439" s="12" t="inlineStr">
        <is>
          <t>CHW pumps</t>
        </is>
      </c>
      <c r="I5439" s="12" t="inlineStr">
        <is>
          <t>LV 600 V</t>
        </is>
      </c>
      <c r="J5439" s="12" t="inlineStr">
        <is>
          <t>Type TC-ER 600 V 3/C Cu XHHW-2 + ground, PVC jacket</t>
        </is>
      </c>
      <c r="K5439" s="12" t="inlineStr">
        <is>
          <t>LV|3/C+G|350</t>
        </is>
      </c>
      <c r="L5439" s="12" t="inlineStr">
        <is>
          <t>3/C+G</t>
        </is>
      </c>
      <c r="M5439" s="12" t="inlineStr">
        <is>
          <t>350 kcmil</t>
        </is>
      </c>
      <c r="N5439" s="12" t="n">
        <v>1</v>
      </c>
      <c r="O5439" s="12" t="n">
        <v>1</v>
      </c>
      <c r="P5439" s="12" t="n">
        <v>480</v>
      </c>
      <c r="Q5439" s="12" t="n">
        <v>150</v>
      </c>
      <c r="R5439" s="12" t="n">
        <v>212.3</v>
      </c>
      <c r="S5439" s="12" t="inlineStr">
        <is>
          <t>Duct bank</t>
        </is>
      </c>
      <c r="T5439" s="16" t="n">
        <v>579</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1.9 %</t>
        </is>
      </c>
      <c r="AA5439" s="12">
        <f>N5439*O5439</f>
        <v/>
      </c>
    </row>
    <row r="5440">
      <c r="A5440" s="12" t="inlineStr">
        <is>
          <t>J-P-0003</t>
        </is>
      </c>
      <c r="B5440" s="12" t="inlineStr">
        <is>
          <t>J</t>
        </is>
      </c>
      <c r="C5440" s="12" t="inlineStr">
        <is>
          <t>GT inlet chilling</t>
        </is>
      </c>
      <c r="D5440" s="12" t="inlineStr">
        <is>
          <t>Motor 3 of 4, 150 kW</t>
        </is>
      </c>
      <c r="E5440" s="12" t="inlineStr"/>
      <c r="F5440" s="12" t="inlineStr">
        <is>
          <t>Inlet-chilling e-house / transformer</t>
        </is>
      </c>
      <c r="G5440" s="12" t="inlineStr"/>
      <c r="H5440" s="12" t="inlineStr">
        <is>
          <t>CHW pumps</t>
        </is>
      </c>
      <c r="I5440" s="12" t="inlineStr">
        <is>
          <t>LV 600 V</t>
        </is>
      </c>
      <c r="J5440" s="12" t="inlineStr">
        <is>
          <t>Type TC-ER 600 V 3/C Cu XHHW-2 + ground, PVC jacket</t>
        </is>
      </c>
      <c r="K5440" s="12" t="inlineStr">
        <is>
          <t>LV|3/C+G|350</t>
        </is>
      </c>
      <c r="L5440" s="12" t="inlineStr">
        <is>
          <t>3/C+G</t>
        </is>
      </c>
      <c r="M5440" s="12" t="inlineStr">
        <is>
          <t>350 kcmil</t>
        </is>
      </c>
      <c r="N5440" s="12" t="n">
        <v>1</v>
      </c>
      <c r="O5440" s="12" t="n">
        <v>1</v>
      </c>
      <c r="P5440" s="12" t="n">
        <v>480</v>
      </c>
      <c r="Q5440" s="12" t="n">
        <v>150</v>
      </c>
      <c r="R5440" s="12" t="n">
        <v>212.3</v>
      </c>
      <c r="S5440" s="12" t="inlineStr">
        <is>
          <t>Duct bank</t>
        </is>
      </c>
      <c r="T5440" s="16" t="n">
        <v>579</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1.9 %</t>
        </is>
      </c>
      <c r="AA5440" s="12">
        <f>N5440*O5440</f>
        <v/>
      </c>
    </row>
    <row r="5441">
      <c r="A5441" s="12" t="inlineStr">
        <is>
          <t>J-P-0004</t>
        </is>
      </c>
      <c r="B5441" s="12" t="inlineStr">
        <is>
          <t>J</t>
        </is>
      </c>
      <c r="C5441" s="12" t="inlineStr">
        <is>
          <t>GT inlet chilling</t>
        </is>
      </c>
      <c r="D5441" s="12" t="inlineStr">
        <is>
          <t>Motor 4 of 4, 150 kW</t>
        </is>
      </c>
      <c r="E5441" s="12" t="inlineStr"/>
      <c r="F5441" s="12" t="inlineStr">
        <is>
          <t>Inlet-chilling e-house / transformer</t>
        </is>
      </c>
      <c r="G5441" s="12" t="inlineStr"/>
      <c r="H5441" s="12" t="inlineStr">
        <is>
          <t>CHW pumps</t>
        </is>
      </c>
      <c r="I5441" s="12" t="inlineStr">
        <is>
          <t>LV 600 V</t>
        </is>
      </c>
      <c r="J5441" s="12" t="inlineStr">
        <is>
          <t>Type TC-ER 600 V 3/C Cu XHHW-2 + ground, PVC jacket</t>
        </is>
      </c>
      <c r="K5441" s="12" t="inlineStr">
        <is>
          <t>LV|3/C+G|350</t>
        </is>
      </c>
      <c r="L5441" s="12" t="inlineStr">
        <is>
          <t>3/C+G</t>
        </is>
      </c>
      <c r="M5441" s="12" t="inlineStr">
        <is>
          <t>350 kcmil</t>
        </is>
      </c>
      <c r="N5441" s="12" t="n">
        <v>1</v>
      </c>
      <c r="O5441" s="12" t="n">
        <v>1</v>
      </c>
      <c r="P5441" s="12" t="n">
        <v>480</v>
      </c>
      <c r="Q5441" s="12" t="n">
        <v>150</v>
      </c>
      <c r="R5441" s="12" t="n">
        <v>212.3</v>
      </c>
      <c r="S5441" s="12" t="inlineStr">
        <is>
          <t>Duct bank</t>
        </is>
      </c>
      <c r="T5441" s="16" t="n">
        <v>579</v>
      </c>
      <c r="U5441" s="16" t="n">
        <v>32</v>
      </c>
      <c r="V5441" s="16">
        <f>ROUNDUP((T5441+U5441+2*'Read Me'!$B$13)*(1+'Read Me'!$B$12),-1)</f>
        <v/>
      </c>
      <c r="W5441" s="16">
        <f>V5441*N5441*O5441</f>
        <v/>
      </c>
      <c r="X5441" s="12">
        <f>IF(LEFT(I5441,2)="MV",2*N5441*IF(L5441="1/C",O5441,1),0)</f>
        <v/>
      </c>
      <c r="Y5441" s="12">
        <f>IF(OR(LEFT(K5441,4)="LVAX",LEFT(K5441,6)="MV15AX",LEFT(K5441,4)="CTAX",LEFT(K5441,2)="W|"),2*N5441*O5441,0)</f>
        <v/>
      </c>
      <c r="Z5441" s="12" t="inlineStr">
        <is>
          <t>VD 1.9 %</t>
        </is>
      </c>
      <c r="AA5441" s="12">
        <f>N5441*O5441</f>
        <v/>
      </c>
    </row>
    <row r="5442">
      <c r="A5442" s="12" t="inlineStr">
        <is>
          <t>J-P-0005</t>
        </is>
      </c>
      <c r="B5442" s="12" t="inlineStr">
        <is>
          <t>J</t>
        </is>
      </c>
      <c r="C5442" s="12" t="inlineStr">
        <is>
          <t>GT inlet chilling</t>
        </is>
      </c>
      <c r="D5442" s="12" t="inlineStr">
        <is>
          <t>LV power feeder</t>
        </is>
      </c>
      <c r="E5442" s="12" t="inlineStr"/>
      <c r="F5442" s="12" t="inlineStr">
        <is>
          <t>Inlet-chilling e-house / transformer</t>
        </is>
      </c>
      <c r="G5442" s="12" t="inlineStr"/>
      <c r="H5442" s="12" t="inlineStr">
        <is>
          <t>CONDITIONAL: TES chilled-water tank</t>
        </is>
      </c>
      <c r="I5442" s="12" t="inlineStr">
        <is>
          <t>LV 600 V</t>
        </is>
      </c>
      <c r="J5442" s="12" t="inlineStr">
        <is>
          <t>Type TC-ER 600 V 3/C Cu XHHW-2 + ground, PVC jacket</t>
        </is>
      </c>
      <c r="K5442" s="12" t="inlineStr">
        <is>
          <t>LV|3/C+G|8</t>
        </is>
      </c>
      <c r="L5442" s="12" t="inlineStr">
        <is>
          <t>3/C+G</t>
        </is>
      </c>
      <c r="M5442" s="12" t="inlineStr">
        <is>
          <t>8</t>
        </is>
      </c>
      <c r="N5442" s="12" t="n">
        <v>1</v>
      </c>
      <c r="O5442" s="12" t="n">
        <v>1</v>
      </c>
      <c r="P5442" s="12" t="n">
        <v>480</v>
      </c>
      <c r="Q5442" s="12" t="n">
        <v>10</v>
      </c>
      <c r="R5442" s="12" t="n">
        <v>14.2</v>
      </c>
      <c r="S5442" s="12" t="inlineStr">
        <is>
          <t>Duct bank</t>
        </is>
      </c>
      <c r="T5442" s="16" t="n">
        <v>271</v>
      </c>
      <c r="U5442" s="16" t="n">
        <v>217</v>
      </c>
      <c r="V5442" s="16">
        <f>ROUNDUP((T5442+U5442+2*'Read Me'!$B$13)*(1+'Read Me'!$B$12),-1)</f>
        <v/>
      </c>
      <c r="W5442" s="16">
        <f>V5442*N5442*O5442</f>
        <v/>
      </c>
      <c r="X5442" s="12">
        <f>IF(LEFT(I5442,2)="MV",2*N5442*IF(L5442="1/C",O5442,1),0)</f>
        <v/>
      </c>
      <c r="Y5442" s="12">
        <f>IF(OR(LEFT(K5442,4)="LVAX",LEFT(K5442,6)="MV15AX",LEFT(K5442,4)="CTAX",LEFT(K5442,2)="W|"),2*N5442*O5442,0)</f>
        <v/>
      </c>
      <c r="Z5442" s="12" t="inlineStr">
        <is>
          <t>VD 2.1 %</t>
        </is>
      </c>
      <c r="AA5442" s="12">
        <f>N5442*O5442</f>
        <v/>
      </c>
    </row>
    <row r="5443">
      <c r="A5443" s="12" t="inlineStr">
        <is>
          <t>J-P-0006</t>
        </is>
      </c>
      <c r="B5443" s="12" t="inlineStr">
        <is>
          <t>J</t>
        </is>
      </c>
      <c r="C5443" s="12" t="inlineStr">
        <is>
          <t>GT inlet chilling</t>
        </is>
      </c>
      <c r="D5443" s="12" t="inlineStr">
        <is>
          <t>Motor 1 of 6, 7 kW</t>
        </is>
      </c>
      <c r="E5443" s="12" t="inlineStr"/>
      <c r="F5443" s="12" t="inlineStr">
        <is>
          <t>Inlet-chilling e-house / transformer</t>
        </is>
      </c>
      <c r="G5443" s="12" t="inlineStr"/>
      <c r="H5443" s="12" t="inlineStr">
        <is>
          <t>Chillers x6 (water-cooled)</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7</v>
      </c>
      <c r="R5443" s="12" t="n">
        <v>9.9</v>
      </c>
      <c r="S5443" s="12" t="inlineStr">
        <is>
          <t>Duct bank</t>
        </is>
      </c>
      <c r="T5443" s="16" t="n">
        <v>10</v>
      </c>
      <c r="U5443" s="16" t="n">
        <v>32</v>
      </c>
      <c r="V5443" s="16">
        <f>ROUNDUP((T5443+U5443+2*'Read Me'!$B$13)*(1+'Read Me'!$B$12),-1)</f>
        <v/>
      </c>
      <c r="W5443" s="16">
        <f>V5443*N5443*O5443</f>
        <v/>
      </c>
      <c r="X5443" s="12">
        <f>IF(LEFT(I5443,2)="MV",2*N5443*IF(L5443="1/C",O5443,1),0)</f>
        <v/>
      </c>
      <c r="Y5443" s="12">
        <f>IF(OR(LEFT(K5443,4)="LVAX",LEFT(K5443,6)="MV15AX",LEFT(K5443,4)="CTAX",LEFT(K5443,2)="W|"),2*N5443*O5443,0)</f>
        <v/>
      </c>
      <c r="Z5443" s="12" t="inlineStr">
        <is>
          <t>VD 0.2 %</t>
        </is>
      </c>
      <c r="AA5443" s="12">
        <f>N5443*O5443</f>
        <v/>
      </c>
    </row>
    <row r="5444">
      <c r="A5444" s="12" t="inlineStr">
        <is>
          <t>J-P-0007</t>
        </is>
      </c>
      <c r="B5444" s="12" t="inlineStr">
        <is>
          <t>J</t>
        </is>
      </c>
      <c r="C5444" s="12" t="inlineStr">
        <is>
          <t>GT inlet chilling</t>
        </is>
      </c>
      <c r="D5444" s="12" t="inlineStr">
        <is>
          <t>Motor 2 of 6, 7 kW</t>
        </is>
      </c>
      <c r="E5444" s="12" t="inlineStr"/>
      <c r="F5444" s="12" t="inlineStr">
        <is>
          <t>Inlet-chilling e-house / transformer</t>
        </is>
      </c>
      <c r="G5444" s="12" t="inlineStr"/>
      <c r="H5444" s="12" t="inlineStr">
        <is>
          <t>Chillers x6 (water-cooled)</t>
        </is>
      </c>
      <c r="I5444" s="12" t="inlineStr">
        <is>
          <t>LV 600 V</t>
        </is>
      </c>
      <c r="J5444" s="12" t="inlineStr">
        <is>
          <t>Type TC-ER 600 V 3/C Cu XHHW-2 + ground, PVC jacket</t>
        </is>
      </c>
      <c r="K5444" s="12" t="inlineStr">
        <is>
          <t>LV|3/C+G|10</t>
        </is>
      </c>
      <c r="L5444" s="12" t="inlineStr">
        <is>
          <t>3/C+G</t>
        </is>
      </c>
      <c r="M5444" s="12" t="inlineStr">
        <is>
          <t>10</t>
        </is>
      </c>
      <c r="N5444" s="12" t="n">
        <v>1</v>
      </c>
      <c r="O5444" s="12" t="n">
        <v>1</v>
      </c>
      <c r="P5444" s="12" t="n">
        <v>480</v>
      </c>
      <c r="Q5444" s="12" t="n">
        <v>7</v>
      </c>
      <c r="R5444" s="12" t="n">
        <v>9.9</v>
      </c>
      <c r="S5444" s="12" t="inlineStr">
        <is>
          <t>Duct bank</t>
        </is>
      </c>
      <c r="T5444" s="16" t="n">
        <v>10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is>
          <t>VD 0.2 %</t>
        </is>
      </c>
      <c r="AA5444" s="12">
        <f>N5444*O5444</f>
        <v/>
      </c>
    </row>
    <row r="5445">
      <c r="A5445" s="12" t="inlineStr">
        <is>
          <t>J-P-0008</t>
        </is>
      </c>
      <c r="B5445" s="12" t="inlineStr">
        <is>
          <t>J</t>
        </is>
      </c>
      <c r="C5445" s="12" t="inlineStr">
        <is>
          <t>GT inlet chilling</t>
        </is>
      </c>
      <c r="D5445" s="12" t="inlineStr">
        <is>
          <t>Motor 3 of 6, 7 kW</t>
        </is>
      </c>
      <c r="E5445" s="12" t="inlineStr"/>
      <c r="F5445" s="12" t="inlineStr">
        <is>
          <t>Inlet-chilling e-house / transformer</t>
        </is>
      </c>
      <c r="G5445" s="12" t="inlineStr"/>
      <c r="H5445" s="12" t="inlineStr">
        <is>
          <t>Chillers x6 (water-cooled)</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7</v>
      </c>
      <c r="R5445" s="12" t="n">
        <v>9.9</v>
      </c>
      <c r="S5445" s="12" t="inlineStr">
        <is>
          <t>Duct bank</t>
        </is>
      </c>
      <c r="T5445" s="16" t="n">
        <v>10</v>
      </c>
      <c r="U5445" s="16" t="n">
        <v>32</v>
      </c>
      <c r="V5445" s="16">
        <f>ROUNDUP((T5445+U5445+2*'Read Me'!$B$13)*(1+'Read Me'!$B$12),-1)</f>
        <v/>
      </c>
      <c r="W5445" s="16">
        <f>V5445*N5445*O5445</f>
        <v/>
      </c>
      <c r="X5445" s="12">
        <f>IF(LEFT(I5445,2)="MV",2*N5445*IF(L5445="1/C",O5445,1),0)</f>
        <v/>
      </c>
      <c r="Y5445" s="12">
        <f>IF(OR(LEFT(K5445,4)="LVAX",LEFT(K5445,6)="MV15AX",LEFT(K5445,4)="CTAX",LEFT(K5445,2)="W|"),2*N5445*O5445,0)</f>
        <v/>
      </c>
      <c r="Z5445" s="12" t="inlineStr">
        <is>
          <t>VD 0.2 %</t>
        </is>
      </c>
      <c r="AA5445" s="12">
        <f>N5445*O5445</f>
        <v/>
      </c>
    </row>
    <row r="5446">
      <c r="A5446" s="12" t="inlineStr">
        <is>
          <t>J-P-0009</t>
        </is>
      </c>
      <c r="B5446" s="12" t="inlineStr">
        <is>
          <t>J</t>
        </is>
      </c>
      <c r="C5446" s="12" t="inlineStr">
        <is>
          <t>GT inlet chilling</t>
        </is>
      </c>
      <c r="D5446" s="12" t="inlineStr">
        <is>
          <t>Motor 4 of 6, 7 kW</t>
        </is>
      </c>
      <c r="E5446" s="12" t="inlineStr"/>
      <c r="F5446" s="12" t="inlineStr">
        <is>
          <t>Inlet-chilling e-house / transformer</t>
        </is>
      </c>
      <c r="G5446" s="12" t="inlineStr"/>
      <c r="H5446" s="12" t="inlineStr">
        <is>
          <t>Chillers x6 (water-cooled)</t>
        </is>
      </c>
      <c r="I5446" s="12" t="inlineStr">
        <is>
          <t>LV 600 V</t>
        </is>
      </c>
      <c r="J5446" s="12" t="inlineStr">
        <is>
          <t>Type TC-ER 600 V 3/C Cu XHHW-2 + ground, PVC jacket</t>
        </is>
      </c>
      <c r="K5446" s="12" t="inlineStr">
        <is>
          <t>LV|3/C+G|10</t>
        </is>
      </c>
      <c r="L5446" s="12" t="inlineStr">
        <is>
          <t>3/C+G</t>
        </is>
      </c>
      <c r="M5446" s="12" t="inlineStr">
        <is>
          <t>10</t>
        </is>
      </c>
      <c r="N5446" s="12" t="n">
        <v>1</v>
      </c>
      <c r="O5446" s="12" t="n">
        <v>1</v>
      </c>
      <c r="P5446" s="12" t="n">
        <v>480</v>
      </c>
      <c r="Q5446" s="12" t="n">
        <v>7</v>
      </c>
      <c r="R5446" s="12" t="n">
        <v>9.9</v>
      </c>
      <c r="S5446" s="12" t="inlineStr">
        <is>
          <t>Duct bank</t>
        </is>
      </c>
      <c r="T5446" s="16" t="n">
        <v>10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is>
          <t>VD 0.2 %</t>
        </is>
      </c>
      <c r="AA5446" s="12">
        <f>N5446*O5446</f>
        <v/>
      </c>
    </row>
    <row r="5447">
      <c r="A5447" s="12" t="inlineStr">
        <is>
          <t>J-P-0010</t>
        </is>
      </c>
      <c r="B5447" s="12" t="inlineStr">
        <is>
          <t>J</t>
        </is>
      </c>
      <c r="C5447" s="12" t="inlineStr">
        <is>
          <t>GT inlet chilling</t>
        </is>
      </c>
      <c r="D5447" s="12" t="inlineStr">
        <is>
          <t>Motor 5 of 6, 7 kW</t>
        </is>
      </c>
      <c r="E5447" s="12" t="inlineStr"/>
      <c r="F5447" s="12" t="inlineStr">
        <is>
          <t>Inlet-chilling e-house / transformer</t>
        </is>
      </c>
      <c r="G5447" s="12" t="inlineStr"/>
      <c r="H5447" s="12" t="inlineStr">
        <is>
          <t>Chillers x6 (water-cooled)</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7</v>
      </c>
      <c r="R5447" s="12" t="n">
        <v>9.9</v>
      </c>
      <c r="S5447" s="12" t="inlineStr">
        <is>
          <t>Duct bank</t>
        </is>
      </c>
      <c r="T5447" s="16" t="n">
        <v>10</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is>
          <t>VD 0.2 %</t>
        </is>
      </c>
      <c r="AA5447" s="12">
        <f>N5447*O5447</f>
        <v/>
      </c>
    </row>
    <row r="5448">
      <c r="A5448" s="12" t="inlineStr">
        <is>
          <t>J-P-0011</t>
        </is>
      </c>
      <c r="B5448" s="12" t="inlineStr">
        <is>
          <t>J</t>
        </is>
      </c>
      <c r="C5448" s="12" t="inlineStr">
        <is>
          <t>GT inlet chilling</t>
        </is>
      </c>
      <c r="D5448" s="12" t="inlineStr">
        <is>
          <t>Motor 6 of 6, 7 kW</t>
        </is>
      </c>
      <c r="E5448" s="12" t="inlineStr"/>
      <c r="F5448" s="12" t="inlineStr">
        <is>
          <t>Inlet-chilling e-house / transformer</t>
        </is>
      </c>
      <c r="G5448" s="12" t="inlineStr"/>
      <c r="H5448" s="12" t="inlineStr">
        <is>
          <t>Chillers x6 (water-cooled)</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7</v>
      </c>
      <c r="R5448" s="12" t="n">
        <v>9.9</v>
      </c>
      <c r="S5448" s="12" t="inlineStr">
        <is>
          <t>Duct bank</t>
        </is>
      </c>
      <c r="T5448" s="16" t="n">
        <v>10</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is>
          <t>VD 0.2 %</t>
        </is>
      </c>
      <c r="AA5448" s="12">
        <f>N5448*O5448</f>
        <v/>
      </c>
    </row>
    <row r="5449">
      <c r="A5449" s="12" t="inlineStr">
        <is>
          <t>J-P-0012</t>
        </is>
      </c>
      <c r="B5449" s="12" t="inlineStr">
        <is>
          <t>J</t>
        </is>
      </c>
      <c r="C5449" s="12" t="inlineStr">
        <is>
          <t>GT inlet chilling</t>
        </is>
      </c>
      <c r="D5449" s="12" t="inlineStr">
        <is>
          <t>Motor 1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J-P-0013</t>
        </is>
      </c>
      <c r="B5450" s="12" t="inlineStr">
        <is>
          <t>J</t>
        </is>
      </c>
      <c r="C5450" s="12" t="inlineStr">
        <is>
          <t>GT inlet chilling</t>
        </is>
      </c>
      <c r="D5450" s="12" t="inlineStr">
        <is>
          <t>Motor 2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J-P-0014</t>
        </is>
      </c>
      <c r="B5451" s="12" t="inlineStr">
        <is>
          <t>J</t>
        </is>
      </c>
      <c r="C5451" s="12" t="inlineStr">
        <is>
          <t>GT inlet chilling</t>
        </is>
      </c>
      <c r="D5451" s="12" t="inlineStr">
        <is>
          <t>Motor 3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J-P-0015</t>
        </is>
      </c>
      <c r="B5452" s="12" t="inlineStr">
        <is>
          <t>J</t>
        </is>
      </c>
      <c r="C5452" s="12" t="inlineStr">
        <is>
          <t>GT inlet chilling</t>
        </is>
      </c>
      <c r="D5452" s="12" t="inlineStr">
        <is>
          <t>Motor 4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J-P-0016</t>
        </is>
      </c>
      <c r="B5453" s="12" t="inlineStr">
        <is>
          <t>J</t>
        </is>
      </c>
      <c r="C5453" s="12" t="inlineStr">
        <is>
          <t>GT inlet chilling</t>
        </is>
      </c>
      <c r="D5453" s="12" t="inlineStr">
        <is>
          <t>Motor 5 of 12, 75 kW (VFD output)</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VFD cable 600 V 3/C Cu XHHW-2, 3 symmetrical grounds, overall Cu tape shield, TC-ER</t>
        </is>
      </c>
      <c r="K5453" s="12" t="inlineStr">
        <is>
          <t>VFD|3/C+3G|2/0</t>
        </is>
      </c>
      <c r="L5453" s="12" t="inlineStr">
        <is>
          <t>3/C+3G</t>
        </is>
      </c>
      <c r="M5453" s="12" t="inlineStr">
        <is>
          <t>2/0</t>
        </is>
      </c>
      <c r="N5453" s="12" t="n">
        <v>1</v>
      </c>
      <c r="O5453" s="12" t="n">
        <v>1</v>
      </c>
      <c r="P5453" s="12" t="n">
        <v>480</v>
      </c>
      <c r="Q5453" s="12" t="n">
        <v>75</v>
      </c>
      <c r="R5453" s="12" t="n">
        <v>106</v>
      </c>
      <c r="S5453" s="12" t="inlineStr">
        <is>
          <t>Duct bank</t>
        </is>
      </c>
      <c r="T5453" s="16" t="n">
        <v>683</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VD 2.9 %</t>
        </is>
      </c>
      <c r="AA5453" s="12">
        <f>N5453*O5453</f>
        <v/>
      </c>
    </row>
    <row r="5454">
      <c r="A5454" s="12" t="inlineStr">
        <is>
          <t>J-P-0017</t>
        </is>
      </c>
      <c r="B5454" s="12" t="inlineStr">
        <is>
          <t>J</t>
        </is>
      </c>
      <c r="C5454" s="12" t="inlineStr">
        <is>
          <t>GT inlet chilling</t>
        </is>
      </c>
      <c r="D5454" s="12" t="inlineStr">
        <is>
          <t>Motor 6 of 12, 75 kW (VFD output)</t>
        </is>
      </c>
      <c r="E5454" s="12" t="inlineStr"/>
      <c r="F5454" s="12" t="inlineStr">
        <is>
          <t>Inlet-chilling e-house / transformer</t>
        </is>
      </c>
      <c r="G5454" s="12" t="inlineStr"/>
      <c r="H5454" s="12" t="inlineStr">
        <is>
          <t>Inlet-chilling tower (12 cells): chiller heat rejection</t>
        </is>
      </c>
      <c r="I5454" s="12" t="inlineStr">
        <is>
          <t>LV 600 V</t>
        </is>
      </c>
      <c r="J5454" s="12" t="inlineStr">
        <is>
          <t>VFD cable 600 V 3/C Cu XHHW-2, 3 symmetrical grounds, overall Cu tape shield, TC-ER</t>
        </is>
      </c>
      <c r="K5454" s="12" t="inlineStr">
        <is>
          <t>VFD|3/C+3G|2/0</t>
        </is>
      </c>
      <c r="L5454" s="12" t="inlineStr">
        <is>
          <t>3/C+3G</t>
        </is>
      </c>
      <c r="M5454" s="12" t="inlineStr">
        <is>
          <t>2/0</t>
        </is>
      </c>
      <c r="N5454" s="12" t="n">
        <v>1</v>
      </c>
      <c r="O5454" s="12" t="n">
        <v>1</v>
      </c>
      <c r="P5454" s="12" t="n">
        <v>480</v>
      </c>
      <c r="Q5454" s="12" t="n">
        <v>75</v>
      </c>
      <c r="R5454" s="12" t="n">
        <v>106</v>
      </c>
      <c r="S5454" s="12" t="inlineStr">
        <is>
          <t>Duct bank</t>
        </is>
      </c>
      <c r="T5454" s="16" t="n">
        <v>683</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is>
          <t>VD 2.9 %</t>
        </is>
      </c>
      <c r="AA5454" s="12">
        <f>N5454*O5454</f>
        <v/>
      </c>
    </row>
    <row r="5455">
      <c r="A5455" s="12" t="inlineStr">
        <is>
          <t>J-P-0018</t>
        </is>
      </c>
      <c r="B5455" s="12" t="inlineStr">
        <is>
          <t>J</t>
        </is>
      </c>
      <c r="C5455" s="12" t="inlineStr">
        <is>
          <t>GT inlet chilling</t>
        </is>
      </c>
      <c r="D5455" s="12" t="inlineStr">
        <is>
          <t>Motor 7 of 12, 75 kW (VFD output)</t>
        </is>
      </c>
      <c r="E5455" s="12" t="inlineStr"/>
      <c r="F5455" s="12" t="inlineStr">
        <is>
          <t>Inlet-chilling e-house / transformer</t>
        </is>
      </c>
      <c r="G5455" s="12" t="inlineStr"/>
      <c r="H5455" s="12" t="inlineStr">
        <is>
          <t>Inlet-chilling tower (12 cells): chiller heat rejection</t>
        </is>
      </c>
      <c r="I5455" s="12" t="inlineStr">
        <is>
          <t>LV 600 V</t>
        </is>
      </c>
      <c r="J5455" s="12" t="inlineStr">
        <is>
          <t>VFD cable 600 V 3/C Cu XHHW-2, 3 symmetrical grounds, overall Cu tape shield, TC-ER</t>
        </is>
      </c>
      <c r="K5455" s="12" t="inlineStr">
        <is>
          <t>VFD|3/C+3G|2/0</t>
        </is>
      </c>
      <c r="L5455" s="12" t="inlineStr">
        <is>
          <t>3/C+3G</t>
        </is>
      </c>
      <c r="M5455" s="12" t="inlineStr">
        <is>
          <t>2/0</t>
        </is>
      </c>
      <c r="N5455" s="12" t="n">
        <v>1</v>
      </c>
      <c r="O5455" s="12" t="n">
        <v>1</v>
      </c>
      <c r="P5455" s="12" t="n">
        <v>480</v>
      </c>
      <c r="Q5455" s="12" t="n">
        <v>75</v>
      </c>
      <c r="R5455" s="12" t="n">
        <v>106</v>
      </c>
      <c r="S5455" s="12" t="inlineStr">
        <is>
          <t>Duct bank</t>
        </is>
      </c>
      <c r="T5455" s="16" t="n">
        <v>683</v>
      </c>
      <c r="U5455" s="16" t="n">
        <v>38</v>
      </c>
      <c r="V5455" s="16">
        <f>ROUNDUP((T5455+U5455+2*'Read Me'!$B$13)*(1+'Read Me'!$B$12),-1)</f>
        <v/>
      </c>
      <c r="W5455" s="16">
        <f>V5455*N5455*O5455</f>
        <v/>
      </c>
      <c r="X5455" s="12">
        <f>IF(LEFT(I5455,2)="MV",2*N5455*IF(L5455="1/C",O5455,1),0)</f>
        <v/>
      </c>
      <c r="Y5455" s="12">
        <f>IF(OR(LEFT(K5455,4)="LVAX",LEFT(K5455,6)="MV15AX",LEFT(K5455,4)="CTAX",LEFT(K5455,2)="W|"),2*N5455*O5455,0)</f>
        <v/>
      </c>
      <c r="Z5455" s="12" t="inlineStr">
        <is>
          <t>VD 2.9 %</t>
        </is>
      </c>
      <c r="AA5455" s="12">
        <f>N5455*O5455</f>
        <v/>
      </c>
    </row>
    <row r="5456">
      <c r="A5456" s="12" t="inlineStr">
        <is>
          <t>J-P-0019</t>
        </is>
      </c>
      <c r="B5456" s="12" t="inlineStr">
        <is>
          <t>J</t>
        </is>
      </c>
      <c r="C5456" s="12" t="inlineStr">
        <is>
          <t>GT inlet chilling</t>
        </is>
      </c>
      <c r="D5456" s="12" t="inlineStr">
        <is>
          <t>Motor 8 of 12, 75 kW (VFD output)</t>
        </is>
      </c>
      <c r="E5456" s="12" t="inlineStr"/>
      <c r="F5456" s="12" t="inlineStr">
        <is>
          <t>Inlet-chilling e-house / transformer</t>
        </is>
      </c>
      <c r="G5456" s="12" t="inlineStr"/>
      <c r="H5456" s="12" t="inlineStr">
        <is>
          <t>Inlet-chilling tower (12 cells): chiller heat rejection</t>
        </is>
      </c>
      <c r="I5456" s="12" t="inlineStr">
        <is>
          <t>LV 600 V</t>
        </is>
      </c>
      <c r="J5456" s="12" t="inlineStr">
        <is>
          <t>VFD cable 600 V 3/C Cu XHHW-2, 3 symmetrical grounds, overall Cu tape shield, TC-ER</t>
        </is>
      </c>
      <c r="K5456" s="12" t="inlineStr">
        <is>
          <t>VFD|3/C+3G|2/0</t>
        </is>
      </c>
      <c r="L5456" s="12" t="inlineStr">
        <is>
          <t>3/C+3G</t>
        </is>
      </c>
      <c r="M5456" s="12" t="inlineStr">
        <is>
          <t>2/0</t>
        </is>
      </c>
      <c r="N5456" s="12" t="n">
        <v>1</v>
      </c>
      <c r="O5456" s="12" t="n">
        <v>1</v>
      </c>
      <c r="P5456" s="12" t="n">
        <v>480</v>
      </c>
      <c r="Q5456" s="12" t="n">
        <v>75</v>
      </c>
      <c r="R5456" s="12" t="n">
        <v>106</v>
      </c>
      <c r="S5456" s="12" t="inlineStr">
        <is>
          <t>Duct bank</t>
        </is>
      </c>
      <c r="T5456" s="16" t="n">
        <v>683</v>
      </c>
      <c r="U5456" s="16" t="n">
        <v>38</v>
      </c>
      <c r="V5456" s="16">
        <f>ROUNDUP((T5456+U5456+2*'Read Me'!$B$13)*(1+'Read Me'!$B$12),-1)</f>
        <v/>
      </c>
      <c r="W5456" s="16">
        <f>V5456*N5456*O5456</f>
        <v/>
      </c>
      <c r="X5456" s="12">
        <f>IF(LEFT(I5456,2)="MV",2*N5456*IF(L5456="1/C",O5456,1),0)</f>
        <v/>
      </c>
      <c r="Y5456" s="12">
        <f>IF(OR(LEFT(K5456,4)="LVAX",LEFT(K5456,6)="MV15AX",LEFT(K5456,4)="CTAX",LEFT(K5456,2)="W|"),2*N5456*O5456,0)</f>
        <v/>
      </c>
      <c r="Z5456" s="12" t="inlineStr">
        <is>
          <t>VD 2.9 %</t>
        </is>
      </c>
      <c r="AA5456" s="12">
        <f>N5456*O5456</f>
        <v/>
      </c>
    </row>
    <row r="5457">
      <c r="A5457" s="12" t="inlineStr">
        <is>
          <t>J-P-0020</t>
        </is>
      </c>
      <c r="B5457" s="12" t="inlineStr">
        <is>
          <t>J</t>
        </is>
      </c>
      <c r="C5457" s="12" t="inlineStr">
        <is>
          <t>GT inlet chilling</t>
        </is>
      </c>
      <c r="D5457" s="12" t="inlineStr">
        <is>
          <t>Motor 9 of 12, 75 kW (VFD output)</t>
        </is>
      </c>
      <c r="E5457" s="12" t="inlineStr"/>
      <c r="F5457" s="12" t="inlineStr">
        <is>
          <t>Inlet-chilling e-house / transformer</t>
        </is>
      </c>
      <c r="G5457" s="12" t="inlineStr"/>
      <c r="H5457" s="12" t="inlineStr">
        <is>
          <t>Inlet-chilling tower (12 cells): chiller heat rejection</t>
        </is>
      </c>
      <c r="I5457" s="12" t="inlineStr">
        <is>
          <t>LV 600 V</t>
        </is>
      </c>
      <c r="J5457" s="12" t="inlineStr">
        <is>
          <t>VFD cable 600 V 3/C Cu XHHW-2, 3 symmetrical grounds, overall Cu tape shield, TC-ER</t>
        </is>
      </c>
      <c r="K5457" s="12" t="inlineStr">
        <is>
          <t>VFD|3/C+3G|2/0</t>
        </is>
      </c>
      <c r="L5457" s="12" t="inlineStr">
        <is>
          <t>3/C+3G</t>
        </is>
      </c>
      <c r="M5457" s="12" t="inlineStr">
        <is>
          <t>2/0</t>
        </is>
      </c>
      <c r="N5457" s="12" t="n">
        <v>1</v>
      </c>
      <c r="O5457" s="12" t="n">
        <v>1</v>
      </c>
      <c r="P5457" s="12" t="n">
        <v>480</v>
      </c>
      <c r="Q5457" s="12" t="n">
        <v>75</v>
      </c>
      <c r="R5457" s="12" t="n">
        <v>106</v>
      </c>
      <c r="S5457" s="12" t="inlineStr">
        <is>
          <t>Duct bank</t>
        </is>
      </c>
      <c r="T5457" s="16" t="n">
        <v>683</v>
      </c>
      <c r="U5457" s="16" t="n">
        <v>38</v>
      </c>
      <c r="V5457" s="16">
        <f>ROUNDUP((T5457+U5457+2*'Read Me'!$B$13)*(1+'Read Me'!$B$12),-1)</f>
        <v/>
      </c>
      <c r="W5457" s="16">
        <f>V5457*N5457*O5457</f>
        <v/>
      </c>
      <c r="X5457" s="12">
        <f>IF(LEFT(I5457,2)="MV",2*N5457*IF(L5457="1/C",O5457,1),0)</f>
        <v/>
      </c>
      <c r="Y5457" s="12">
        <f>IF(OR(LEFT(K5457,4)="LVAX",LEFT(K5457,6)="MV15AX",LEFT(K5457,4)="CTAX",LEFT(K5457,2)="W|"),2*N5457*O5457,0)</f>
        <v/>
      </c>
      <c r="Z5457" s="12" t="inlineStr">
        <is>
          <t>VD 2.9 %</t>
        </is>
      </c>
      <c r="AA5457" s="12">
        <f>N5457*O5457</f>
        <v/>
      </c>
    </row>
    <row r="5458">
      <c r="A5458" s="12" t="inlineStr">
        <is>
          <t>J-P-0021</t>
        </is>
      </c>
      <c r="B5458" s="12" t="inlineStr">
        <is>
          <t>J</t>
        </is>
      </c>
      <c r="C5458" s="12" t="inlineStr">
        <is>
          <t>GT inlet chilling</t>
        </is>
      </c>
      <c r="D5458" s="12" t="inlineStr">
        <is>
          <t>Motor 10 of 12, 75 kW (VFD output)</t>
        </is>
      </c>
      <c r="E5458" s="12" t="inlineStr"/>
      <c r="F5458" s="12" t="inlineStr">
        <is>
          <t>Inlet-chilling e-house / transformer</t>
        </is>
      </c>
      <c r="G5458" s="12" t="inlineStr"/>
      <c r="H5458" s="12" t="inlineStr">
        <is>
          <t>Inlet-chilling tower (12 cells): chiller heat rejection</t>
        </is>
      </c>
      <c r="I5458" s="12" t="inlineStr">
        <is>
          <t>LV 600 V</t>
        </is>
      </c>
      <c r="J5458" s="12" t="inlineStr">
        <is>
          <t>VFD cable 600 V 3/C Cu XHHW-2, 3 symmetrical grounds, overall Cu tape shield, TC-ER</t>
        </is>
      </c>
      <c r="K5458" s="12" t="inlineStr">
        <is>
          <t>VFD|3/C+3G|2/0</t>
        </is>
      </c>
      <c r="L5458" s="12" t="inlineStr">
        <is>
          <t>3/C+3G</t>
        </is>
      </c>
      <c r="M5458" s="12" t="inlineStr">
        <is>
          <t>2/0</t>
        </is>
      </c>
      <c r="N5458" s="12" t="n">
        <v>1</v>
      </c>
      <c r="O5458" s="12" t="n">
        <v>1</v>
      </c>
      <c r="P5458" s="12" t="n">
        <v>480</v>
      </c>
      <c r="Q5458" s="12" t="n">
        <v>75</v>
      </c>
      <c r="R5458" s="12" t="n">
        <v>106</v>
      </c>
      <c r="S5458" s="12" t="inlineStr">
        <is>
          <t>Duct bank</t>
        </is>
      </c>
      <c r="T5458" s="16" t="n">
        <v>683</v>
      </c>
      <c r="U5458" s="16" t="n">
        <v>38</v>
      </c>
      <c r="V5458" s="16">
        <f>ROUNDUP((T5458+U5458+2*'Read Me'!$B$13)*(1+'Read Me'!$B$12),-1)</f>
        <v/>
      </c>
      <c r="W5458" s="16">
        <f>V5458*N5458*O5458</f>
        <v/>
      </c>
      <c r="X5458" s="12">
        <f>IF(LEFT(I5458,2)="MV",2*N5458*IF(L5458="1/C",O5458,1),0)</f>
        <v/>
      </c>
      <c r="Y5458" s="12">
        <f>IF(OR(LEFT(K5458,4)="LVAX",LEFT(K5458,6)="MV15AX",LEFT(K5458,4)="CTAX",LEFT(K5458,2)="W|"),2*N5458*O5458,0)</f>
        <v/>
      </c>
      <c r="Z5458" s="12" t="inlineStr">
        <is>
          <t>VD 2.9 %</t>
        </is>
      </c>
      <c r="AA5458" s="12">
        <f>N5458*O5458</f>
        <v/>
      </c>
    </row>
    <row r="5459">
      <c r="A5459" s="12" t="inlineStr">
        <is>
          <t>J-P-0022</t>
        </is>
      </c>
      <c r="B5459" s="12" t="inlineStr">
        <is>
          <t>J</t>
        </is>
      </c>
      <c r="C5459" s="12" t="inlineStr">
        <is>
          <t>GT inlet chilling</t>
        </is>
      </c>
      <c r="D5459" s="12" t="inlineStr">
        <is>
          <t>Motor 11 of 12, 75 kW (VFD output)</t>
        </is>
      </c>
      <c r="E5459" s="12" t="inlineStr"/>
      <c r="F5459" s="12" t="inlineStr">
        <is>
          <t>Inlet-chilling e-house / transformer</t>
        </is>
      </c>
      <c r="G5459" s="12" t="inlineStr"/>
      <c r="H5459" s="12" t="inlineStr">
        <is>
          <t>Inlet-chilling tower (12 cells): chiller heat rejection</t>
        </is>
      </c>
      <c r="I5459" s="12" t="inlineStr">
        <is>
          <t>LV 600 V</t>
        </is>
      </c>
      <c r="J5459" s="12" t="inlineStr">
        <is>
          <t>VFD cable 600 V 3/C Cu XHHW-2, 3 symmetrical grounds, overall Cu tape shield, TC-ER</t>
        </is>
      </c>
      <c r="K5459" s="12" t="inlineStr">
        <is>
          <t>VFD|3/C+3G|2/0</t>
        </is>
      </c>
      <c r="L5459" s="12" t="inlineStr">
        <is>
          <t>3/C+3G</t>
        </is>
      </c>
      <c r="M5459" s="12" t="inlineStr">
        <is>
          <t>2/0</t>
        </is>
      </c>
      <c r="N5459" s="12" t="n">
        <v>1</v>
      </c>
      <c r="O5459" s="12" t="n">
        <v>1</v>
      </c>
      <c r="P5459" s="12" t="n">
        <v>480</v>
      </c>
      <c r="Q5459" s="12" t="n">
        <v>75</v>
      </c>
      <c r="R5459" s="12" t="n">
        <v>106</v>
      </c>
      <c r="S5459" s="12" t="inlineStr">
        <is>
          <t>Duct bank</t>
        </is>
      </c>
      <c r="T5459" s="16" t="n">
        <v>683</v>
      </c>
      <c r="U5459" s="16" t="n">
        <v>38</v>
      </c>
      <c r="V5459" s="16">
        <f>ROUNDUP((T5459+U5459+2*'Read Me'!$B$13)*(1+'Read Me'!$B$12),-1)</f>
        <v/>
      </c>
      <c r="W5459" s="16">
        <f>V5459*N5459*O5459</f>
        <v/>
      </c>
      <c r="X5459" s="12">
        <f>IF(LEFT(I5459,2)="MV",2*N5459*IF(L5459="1/C",O5459,1),0)</f>
        <v/>
      </c>
      <c r="Y5459" s="12">
        <f>IF(OR(LEFT(K5459,4)="LVAX",LEFT(K5459,6)="MV15AX",LEFT(K5459,4)="CTAX",LEFT(K5459,2)="W|"),2*N5459*O5459,0)</f>
        <v/>
      </c>
      <c r="Z5459" s="12" t="inlineStr">
        <is>
          <t>VD 2.9 %</t>
        </is>
      </c>
      <c r="AA5459" s="12">
        <f>N5459*O5459</f>
        <v/>
      </c>
    </row>
    <row r="5460">
      <c r="A5460" s="12" t="inlineStr">
        <is>
          <t>J-P-0023</t>
        </is>
      </c>
      <c r="B5460" s="12" t="inlineStr">
        <is>
          <t>J</t>
        </is>
      </c>
      <c r="C5460" s="12" t="inlineStr">
        <is>
          <t>GT inlet chilling</t>
        </is>
      </c>
      <c r="D5460" s="12" t="inlineStr">
        <is>
          <t>Motor 12 of 12, 75 kW (VFD output)</t>
        </is>
      </c>
      <c r="E5460" s="12" t="inlineStr"/>
      <c r="F5460" s="12" t="inlineStr">
        <is>
          <t>Inlet-chilling e-house / transformer</t>
        </is>
      </c>
      <c r="G5460" s="12" t="inlineStr"/>
      <c r="H5460" s="12" t="inlineStr">
        <is>
          <t>Inlet-chilling tower (12 cells): chiller heat rejection</t>
        </is>
      </c>
      <c r="I5460" s="12" t="inlineStr">
        <is>
          <t>LV 600 V</t>
        </is>
      </c>
      <c r="J5460" s="12" t="inlineStr">
        <is>
          <t>VFD cable 600 V 3/C Cu XHHW-2, 3 symmetrical grounds, overall Cu tape shield, TC-ER</t>
        </is>
      </c>
      <c r="K5460" s="12" t="inlineStr">
        <is>
          <t>VFD|3/C+3G|2/0</t>
        </is>
      </c>
      <c r="L5460" s="12" t="inlineStr">
        <is>
          <t>3/C+3G</t>
        </is>
      </c>
      <c r="M5460" s="12" t="inlineStr">
        <is>
          <t>2/0</t>
        </is>
      </c>
      <c r="N5460" s="12" t="n">
        <v>1</v>
      </c>
      <c r="O5460" s="12" t="n">
        <v>1</v>
      </c>
      <c r="P5460" s="12" t="n">
        <v>480</v>
      </c>
      <c r="Q5460" s="12" t="n">
        <v>75</v>
      </c>
      <c r="R5460" s="12" t="n">
        <v>106</v>
      </c>
      <c r="S5460" s="12" t="inlineStr">
        <is>
          <t>Duct bank</t>
        </is>
      </c>
      <c r="T5460" s="16" t="n">
        <v>683</v>
      </c>
      <c r="U5460" s="16" t="n">
        <v>38</v>
      </c>
      <c r="V5460" s="16">
        <f>ROUNDUP((T5460+U5460+2*'Read Me'!$B$13)*(1+'Read Me'!$B$12),-1)</f>
        <v/>
      </c>
      <c r="W5460" s="16">
        <f>V5460*N5460*O5460</f>
        <v/>
      </c>
      <c r="X5460" s="12">
        <f>IF(LEFT(I5460,2)="MV",2*N5460*IF(L5460="1/C",O5460,1),0)</f>
        <v/>
      </c>
      <c r="Y5460" s="12">
        <f>IF(OR(LEFT(K5460,4)="LVAX",LEFT(K5460,6)="MV15AX",LEFT(K5460,4)="CTAX",LEFT(K5460,2)="W|"),2*N5460*O5460,0)</f>
        <v/>
      </c>
      <c r="Z5460" s="12" t="inlineStr">
        <is>
          <t>VD 2.9 %</t>
        </is>
      </c>
      <c r="AA5460" s="12">
        <f>N5460*O5460</f>
        <v/>
      </c>
    </row>
    <row r="5461">
      <c r="A5461" s="12" t="inlineStr">
        <is>
          <t>J-P-0024</t>
        </is>
      </c>
      <c r="B5461" s="12" t="inlineStr">
        <is>
          <t>J</t>
        </is>
      </c>
      <c r="C5461" s="12" t="inlineStr">
        <is>
          <t>GT inlet chilling</t>
        </is>
      </c>
      <c r="D5461" s="12" t="inlineStr">
        <is>
          <t>Area / platform lighting circuit 1 (12 fixtures)</t>
        </is>
      </c>
      <c r="E5461" s="12" t="inlineStr"/>
      <c r="F5461" s="12" t="inlineStr">
        <is>
          <t>Inlet-chilling e-house / transformer</t>
        </is>
      </c>
      <c r="G5461" s="12" t="inlineStr"/>
      <c r="H5461" s="12" t="inlineStr">
        <is>
          <t>Inlet-chilling tower (12 cells): chiller heat rejection</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3</v>
      </c>
      <c r="R5461" s="12" t="n">
        <v>5</v>
      </c>
      <c r="S5461" s="12" t="inlineStr">
        <is>
          <t>Duct bank</t>
        </is>
      </c>
      <c r="T5461" s="16" t="n">
        <v>778</v>
      </c>
      <c r="U5461" s="16" t="n">
        <v>38</v>
      </c>
      <c r="V5461" s="16">
        <f>ROUNDUP((T5461+U5461+2*'Read Me'!$B$13)*(1+'Read Me'!$B$12),-1)</f>
        <v/>
      </c>
      <c r="W5461" s="16">
        <f>V5461*N5461*O5461</f>
        <v/>
      </c>
      <c r="X5461" s="12">
        <f>IF(LEFT(I5461,2)="MV",2*N5461*IF(L5461="1/C",O5461,1),0)</f>
        <v/>
      </c>
      <c r="Y5461" s="12">
        <f>IF(OR(LEFT(K5461,4)="LVAX",LEFT(K5461,6)="MV15AX",LEFT(K5461,4)="CTAX",LEFT(K5461,2)="W|"),2*N5461*O5461,0)</f>
        <v/>
      </c>
      <c r="Z5461" s="12" t="inlineStr">
        <is>
          <t>fixture-to-fixture run included</t>
        </is>
      </c>
      <c r="AA5461" s="12">
        <f>N5461*O5461</f>
        <v/>
      </c>
    </row>
    <row r="5462">
      <c r="A5462" s="12" t="inlineStr">
        <is>
          <t>J-MV-0001</t>
        </is>
      </c>
      <c r="B5462" s="12" t="inlineStr">
        <is>
          <t>J</t>
        </is>
      </c>
      <c r="C5462" s="12" t="inlineStr">
        <is>
          <t>GT inlet chilling</t>
        </is>
      </c>
      <c r="D5462" s="12" t="inlineStr">
        <is>
          <t>Inlet-chilling e-house / transformer</t>
        </is>
      </c>
      <c r="E5462" s="12" t="inlineStr">
        <is>
          <t>SWGR-13.8-1</t>
        </is>
      </c>
      <c r="F5462" s="12" t="inlineStr">
        <is>
          <t>R1 SWGR-13.8-1 (11 x 36 in cubicles, 15 kV metal-clad)</t>
        </is>
      </c>
      <c r="G5462" s="12" t="inlineStr"/>
      <c r="H5462" s="12" t="inlineStr">
        <is>
          <t>Inlet-chilling e-house / transformer</t>
        </is>
      </c>
      <c r="I5462" s="12" t="inlineStr">
        <is>
          <t>MV 15 kV</t>
        </is>
      </c>
      <c r="J5462" s="12" t="inlineStr">
        <is>
          <t>MV-105 15 kV 1/C Cu, EPR 133%, Cu tape shield, PVC jacket (triplexed)</t>
        </is>
      </c>
      <c r="K5462" s="12" t="inlineStr">
        <is>
          <t>MV15|1/C|1000</t>
        </is>
      </c>
      <c r="L5462" s="12" t="inlineStr">
        <is>
          <t>1/C</t>
        </is>
      </c>
      <c r="M5462" s="12" t="inlineStr">
        <is>
          <t>1000 kcmil</t>
        </is>
      </c>
      <c r="N5462" s="12" t="n">
        <v>1</v>
      </c>
      <c r="O5462" s="12" t="n">
        <v>3</v>
      </c>
      <c r="P5462" s="12" t="n">
        <v>13800</v>
      </c>
      <c r="Q5462" s="12" t="n">
        <v>12000</v>
      </c>
      <c r="R5462" s="12" t="n">
        <v>502</v>
      </c>
      <c r="S5462" s="12" t="inlineStr">
        <is>
          <t>Duct bank</t>
        </is>
      </c>
      <c r="T5462" s="16" t="n">
        <v>629</v>
      </c>
      <c r="U5462" s="16" t="n">
        <v>38</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J-MV-0002</t>
        </is>
      </c>
      <c r="B5463" s="12" t="inlineStr">
        <is>
          <t>J</t>
        </is>
      </c>
      <c r="C5463" s="12" t="inlineStr">
        <is>
          <t>GT inlet chilling</t>
        </is>
      </c>
      <c r="D5463" s="12" t="inlineStr">
        <is>
          <t>Inlet-chilling CW pump 1</t>
        </is>
      </c>
      <c r="E5463" s="12" t="inlineStr"/>
      <c r="F5463" s="12" t="inlineStr">
        <is>
          <t>Inlet-chilling e-house / transformer</t>
        </is>
      </c>
      <c r="G5463" s="12" t="inlineStr"/>
      <c r="H5463" s="12" t="inlineStr">
        <is>
          <t>CW pumps (inlet chilling)</t>
        </is>
      </c>
      <c r="I5463" s="12" t="inlineStr">
        <is>
          <t>MV 5 kV</t>
        </is>
      </c>
      <c r="J5463" s="12" t="inlineStr">
        <is>
          <t>MV-105 5 kV 3/C Cu, EPR 133%, tape shield, gnd, PVC jacket</t>
        </is>
      </c>
      <c r="K5463" s="12" t="inlineStr">
        <is>
          <t>MV5|3/C|2</t>
        </is>
      </c>
      <c r="L5463" s="12" t="inlineStr">
        <is>
          <t>3/C</t>
        </is>
      </c>
      <c r="M5463" s="12" t="inlineStr">
        <is>
          <t>2</t>
        </is>
      </c>
      <c r="N5463" s="12" t="n">
        <v>1</v>
      </c>
      <c r="O5463" s="12" t="n">
        <v>1</v>
      </c>
      <c r="P5463" s="12" t="n">
        <v>4160</v>
      </c>
      <c r="Q5463" s="12" t="n">
        <v>450</v>
      </c>
      <c r="R5463" s="12" t="n">
        <v>69</v>
      </c>
      <c r="S5463" s="12" t="inlineStr">
        <is>
          <t>Tray</t>
        </is>
      </c>
      <c r="T5463" s="16" t="n">
        <v>0</v>
      </c>
      <c r="U5463" s="16" t="n">
        <v>70</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J-MV-0003</t>
        </is>
      </c>
      <c r="B5464" s="12" t="inlineStr">
        <is>
          <t>J</t>
        </is>
      </c>
      <c r="C5464" s="12" t="inlineStr">
        <is>
          <t>GT inlet chilling</t>
        </is>
      </c>
      <c r="D5464" s="12" t="inlineStr">
        <is>
          <t>Inlet-chilling CW pump 2</t>
        </is>
      </c>
      <c r="E5464" s="12" t="inlineStr"/>
      <c r="F5464" s="12" t="inlineStr">
        <is>
          <t>Inlet-chilling e-house / transformer</t>
        </is>
      </c>
      <c r="G5464" s="12" t="inlineStr"/>
      <c r="H5464" s="12" t="inlineStr">
        <is>
          <t>CW pumps (inlet chilling)</t>
        </is>
      </c>
      <c r="I5464" s="12" t="inlineStr">
        <is>
          <t>MV 5 kV</t>
        </is>
      </c>
      <c r="J5464" s="12" t="inlineStr">
        <is>
          <t>MV-105 5 kV 3/C Cu, EPR 133%, tape shield, gnd, PVC jacket</t>
        </is>
      </c>
      <c r="K5464" s="12" t="inlineStr">
        <is>
          <t>MV5|3/C|2</t>
        </is>
      </c>
      <c r="L5464" s="12" t="inlineStr">
        <is>
          <t>3/C</t>
        </is>
      </c>
      <c r="M5464" s="12" t="inlineStr">
        <is>
          <t>2</t>
        </is>
      </c>
      <c r="N5464" s="12" t="n">
        <v>1</v>
      </c>
      <c r="O5464" s="12" t="n">
        <v>1</v>
      </c>
      <c r="P5464" s="12" t="n">
        <v>4160</v>
      </c>
      <c r="Q5464" s="12" t="n">
        <v>450</v>
      </c>
      <c r="R5464" s="12" t="n">
        <v>69</v>
      </c>
      <c r="S5464" s="12" t="inlineStr">
        <is>
          <t>Tray</t>
        </is>
      </c>
      <c r="T5464" s="16" t="n">
        <v>0</v>
      </c>
      <c r="U5464" s="16" t="n">
        <v>70</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J-MV-0004</t>
        </is>
      </c>
      <c r="B5465" s="12" t="inlineStr">
        <is>
          <t>J</t>
        </is>
      </c>
      <c r="C5465" s="12" t="inlineStr">
        <is>
          <t>GT inlet chilling</t>
        </is>
      </c>
      <c r="D5465" s="12" t="inlineStr">
        <is>
          <t>Inlet-chilling CW pump 3</t>
        </is>
      </c>
      <c r="E5465" s="12" t="inlineStr"/>
      <c r="F5465" s="12" t="inlineStr">
        <is>
          <t>Inlet-chilling e-house / transformer</t>
        </is>
      </c>
      <c r="G5465" s="12" t="inlineStr"/>
      <c r="H5465" s="12" t="inlineStr">
        <is>
          <t>CW pumps (inlet chilling)</t>
        </is>
      </c>
      <c r="I5465" s="12" t="inlineStr">
        <is>
          <t>MV 5 kV</t>
        </is>
      </c>
      <c r="J5465" s="12" t="inlineStr">
        <is>
          <t>MV-105 5 kV 3/C Cu, EPR 133%, tape shield, gnd, PVC jacket</t>
        </is>
      </c>
      <c r="K5465" s="12" t="inlineStr">
        <is>
          <t>MV5|3/C|2</t>
        </is>
      </c>
      <c r="L5465" s="12" t="inlineStr">
        <is>
          <t>3/C</t>
        </is>
      </c>
      <c r="M5465" s="12" t="inlineStr">
        <is>
          <t>2</t>
        </is>
      </c>
      <c r="N5465" s="12" t="n">
        <v>1</v>
      </c>
      <c r="O5465" s="12" t="n">
        <v>1</v>
      </c>
      <c r="P5465" s="12" t="n">
        <v>4160</v>
      </c>
      <c r="Q5465" s="12" t="n">
        <v>450</v>
      </c>
      <c r="R5465" s="12" t="n">
        <v>69</v>
      </c>
      <c r="S5465" s="12" t="inlineStr">
        <is>
          <t>Tray</t>
        </is>
      </c>
      <c r="T5465" s="16" t="n">
        <v>0</v>
      </c>
      <c r="U5465" s="16" t="n">
        <v>70</v>
      </c>
      <c r="V5465" s="16">
        <f>ROUNDUP((T5465+U5465+2*'Read Me'!$B$13)*(1+'Read Me'!$B$12),-1)</f>
        <v/>
      </c>
      <c r="W5465" s="16">
        <f>V5465*N5465*O5465</f>
        <v/>
      </c>
      <c r="X5465" s="12">
        <f>IF(LEFT(I5465,2)="MV",2*N5465*IF(L5465="1/C",O5465,1),0)</f>
        <v/>
      </c>
      <c r="Y5465" s="12">
        <f>IF(OR(LEFT(K5465,4)="LVAX",LEFT(K5465,6)="MV15AX",LEFT(K5465,4)="CTAX",LEFT(K5465,2)="W|"),2*N5465*O5465,0)</f>
        <v/>
      </c>
      <c r="Z5465" s="12" t="inlineStr"/>
      <c r="AA5465" s="12">
        <f>N5465*O5465</f>
        <v/>
      </c>
    </row>
    <row r="5466">
      <c r="A5466" s="12" t="inlineStr">
        <is>
          <t>J-MV-0005</t>
        </is>
      </c>
      <c r="B5466" s="12" t="inlineStr">
        <is>
          <t>J</t>
        </is>
      </c>
      <c r="C5466" s="12" t="inlineStr">
        <is>
          <t>GT inlet chilling</t>
        </is>
      </c>
      <c r="D5466" s="12" t="inlineStr">
        <is>
          <t>Inlet-chilling CW pump 4</t>
        </is>
      </c>
      <c r="E5466" s="12" t="inlineStr"/>
      <c r="F5466" s="12" t="inlineStr">
        <is>
          <t>Inlet-chilling e-house / transformer</t>
        </is>
      </c>
      <c r="G5466" s="12" t="inlineStr"/>
      <c r="H5466" s="12" t="inlineStr">
        <is>
          <t>CW pumps (inlet chilling)</t>
        </is>
      </c>
      <c r="I5466" s="12" t="inlineStr">
        <is>
          <t>MV 5 kV</t>
        </is>
      </c>
      <c r="J5466" s="12" t="inlineStr">
        <is>
          <t>MV-105 5 kV 3/C Cu, EPR 133%, tape shield, gnd, PVC jacket</t>
        </is>
      </c>
      <c r="K5466" s="12" t="inlineStr">
        <is>
          <t>MV5|3/C|2</t>
        </is>
      </c>
      <c r="L5466" s="12" t="inlineStr">
        <is>
          <t>3/C</t>
        </is>
      </c>
      <c r="M5466" s="12" t="inlineStr">
        <is>
          <t>2</t>
        </is>
      </c>
      <c r="N5466" s="12" t="n">
        <v>1</v>
      </c>
      <c r="O5466" s="12" t="n">
        <v>1</v>
      </c>
      <c r="P5466" s="12" t="n">
        <v>4160</v>
      </c>
      <c r="Q5466" s="12" t="n">
        <v>450</v>
      </c>
      <c r="R5466" s="12" t="n">
        <v>69</v>
      </c>
      <c r="S5466" s="12" t="inlineStr">
        <is>
          <t>Tray</t>
        </is>
      </c>
      <c r="T5466" s="16" t="n">
        <v>0</v>
      </c>
      <c r="U5466" s="16" t="n">
        <v>70</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J-MV-0006</t>
        </is>
      </c>
      <c r="B5467" s="12" t="inlineStr">
        <is>
          <t>J</t>
        </is>
      </c>
      <c r="C5467" s="12" t="inlineStr">
        <is>
          <t>GT inlet chilling</t>
        </is>
      </c>
      <c r="D5467" s="12" t="inlineStr">
        <is>
          <t>Water-cooled chiller CH-1</t>
        </is>
      </c>
      <c r="E5467" s="12" t="inlineStr"/>
      <c r="F5467" s="12" t="inlineStr">
        <is>
          <t>Inlet-chilling e-house / transformer</t>
        </is>
      </c>
      <c r="G5467" s="12" t="inlineStr"/>
      <c r="H5467" s="12" t="inlineStr">
        <is>
          <t>Chillers x6 (water-cooled)</t>
        </is>
      </c>
      <c r="I5467" s="12" t="inlineStr">
        <is>
          <t>MV 5 kV</t>
        </is>
      </c>
      <c r="J5467" s="12" t="inlineStr">
        <is>
          <t>MV-105 5 kV 3/C Cu, EPR 133%, tape shield, gnd, PVC jacket</t>
        </is>
      </c>
      <c r="K5467" s="12" t="inlineStr">
        <is>
          <t>MV5|3/C|250</t>
        </is>
      </c>
      <c r="L5467" s="12" t="inlineStr">
        <is>
          <t>3/C</t>
        </is>
      </c>
      <c r="M5467" s="12" t="inlineStr">
        <is>
          <t>250 kcmil</t>
        </is>
      </c>
      <c r="N5467" s="12" t="n">
        <v>1</v>
      </c>
      <c r="O5467" s="12" t="n">
        <v>1</v>
      </c>
      <c r="P5467" s="12" t="n">
        <v>4160</v>
      </c>
      <c r="Q5467" s="12" t="n">
        <v>1500</v>
      </c>
      <c r="R5467" s="12" t="n">
        <v>231</v>
      </c>
      <c r="S5467" s="12" t="inlineStr">
        <is>
          <t>Duct bank</t>
        </is>
      </c>
      <c r="T5467" s="16" t="n">
        <v>10</v>
      </c>
      <c r="U5467" s="16" t="n">
        <v>32</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J-MV-0007</t>
        </is>
      </c>
      <c r="B5468" s="12" t="inlineStr">
        <is>
          <t>J</t>
        </is>
      </c>
      <c r="C5468" s="12" t="inlineStr">
        <is>
          <t>GT inlet chilling</t>
        </is>
      </c>
      <c r="D5468" s="12" t="inlineStr">
        <is>
          <t>Water-cooled chiller CH-2</t>
        </is>
      </c>
      <c r="E5468" s="12" t="inlineStr"/>
      <c r="F5468" s="12" t="inlineStr">
        <is>
          <t>Inlet-chilling e-house / transformer</t>
        </is>
      </c>
      <c r="G5468" s="12" t="inlineStr"/>
      <c r="H5468" s="12" t="inlineStr">
        <is>
          <t>Chillers x6 (water-cooled)</t>
        </is>
      </c>
      <c r="I5468" s="12" t="inlineStr">
        <is>
          <t>MV 5 kV</t>
        </is>
      </c>
      <c r="J5468" s="12" t="inlineStr">
        <is>
          <t>MV-105 5 kV 3/C Cu, EPR 133%, tape shield, gnd, PVC jacket</t>
        </is>
      </c>
      <c r="K5468" s="12" t="inlineStr">
        <is>
          <t>MV5|3/C|250</t>
        </is>
      </c>
      <c r="L5468" s="12" t="inlineStr">
        <is>
          <t>3/C</t>
        </is>
      </c>
      <c r="M5468" s="12" t="inlineStr">
        <is>
          <t>250 kcmil</t>
        </is>
      </c>
      <c r="N5468" s="12" t="n">
        <v>1</v>
      </c>
      <c r="O5468" s="12" t="n">
        <v>1</v>
      </c>
      <c r="P5468" s="12" t="n">
        <v>4160</v>
      </c>
      <c r="Q5468" s="12" t="n">
        <v>1500</v>
      </c>
      <c r="R5468" s="12" t="n">
        <v>231</v>
      </c>
      <c r="S5468" s="12" t="inlineStr">
        <is>
          <t>Duct bank</t>
        </is>
      </c>
      <c r="T5468" s="16" t="n">
        <v>10</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J-MV-0008</t>
        </is>
      </c>
      <c r="B5469" s="12" t="inlineStr">
        <is>
          <t>J</t>
        </is>
      </c>
      <c r="C5469" s="12" t="inlineStr">
        <is>
          <t>GT inlet chilling</t>
        </is>
      </c>
      <c r="D5469" s="12" t="inlineStr">
        <is>
          <t>Water-cooled chiller CH-3</t>
        </is>
      </c>
      <c r="E5469" s="12" t="inlineStr"/>
      <c r="F5469" s="12" t="inlineStr">
        <is>
          <t>Inlet-chilling e-house / transformer</t>
        </is>
      </c>
      <c r="G5469" s="12" t="inlineStr"/>
      <c r="H5469" s="12" t="inlineStr">
        <is>
          <t>Chillers x6 (water-cooled)</t>
        </is>
      </c>
      <c r="I5469" s="12" t="inlineStr">
        <is>
          <t>MV 5 kV</t>
        </is>
      </c>
      <c r="J5469" s="12" t="inlineStr">
        <is>
          <t>MV-105 5 kV 3/C Cu, EPR 133%, tape shield, gnd, PVC jacket</t>
        </is>
      </c>
      <c r="K5469" s="12" t="inlineStr">
        <is>
          <t>MV5|3/C|250</t>
        </is>
      </c>
      <c r="L5469" s="12" t="inlineStr">
        <is>
          <t>3/C</t>
        </is>
      </c>
      <c r="M5469" s="12" t="inlineStr">
        <is>
          <t>250 kcmil</t>
        </is>
      </c>
      <c r="N5469" s="12" t="n">
        <v>1</v>
      </c>
      <c r="O5469" s="12" t="n">
        <v>1</v>
      </c>
      <c r="P5469" s="12" t="n">
        <v>4160</v>
      </c>
      <c r="Q5469" s="12" t="n">
        <v>1500</v>
      </c>
      <c r="R5469" s="12" t="n">
        <v>231</v>
      </c>
      <c r="S5469" s="12" t="inlineStr">
        <is>
          <t>Duct bank</t>
        </is>
      </c>
      <c r="T5469" s="16" t="n">
        <v>10</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J-MV-0009</t>
        </is>
      </c>
      <c r="B5470" s="12" t="inlineStr">
        <is>
          <t>J</t>
        </is>
      </c>
      <c r="C5470" s="12" t="inlineStr">
        <is>
          <t>GT inlet chilling</t>
        </is>
      </c>
      <c r="D5470" s="12" t="inlineStr">
        <is>
          <t>Water-cooled chiller CH-4</t>
        </is>
      </c>
      <c r="E5470" s="12" t="inlineStr"/>
      <c r="F5470" s="12" t="inlineStr">
        <is>
          <t>Inlet-chilling e-house / transformer</t>
        </is>
      </c>
      <c r="G5470" s="12" t="inlineStr"/>
      <c r="H5470" s="12" t="inlineStr">
        <is>
          <t>Chillers x6 (water-cooled)</t>
        </is>
      </c>
      <c r="I5470" s="12" t="inlineStr">
        <is>
          <t>MV 5 kV</t>
        </is>
      </c>
      <c r="J5470" s="12" t="inlineStr">
        <is>
          <t>MV-105 5 kV 3/C Cu, EPR 133%, tape shield, gnd, PVC jacket</t>
        </is>
      </c>
      <c r="K5470" s="12" t="inlineStr">
        <is>
          <t>MV5|3/C|250</t>
        </is>
      </c>
      <c r="L5470" s="12" t="inlineStr">
        <is>
          <t>3/C</t>
        </is>
      </c>
      <c r="M5470" s="12" t="inlineStr">
        <is>
          <t>250 kcmil</t>
        </is>
      </c>
      <c r="N5470" s="12" t="n">
        <v>1</v>
      </c>
      <c r="O5470" s="12" t="n">
        <v>1</v>
      </c>
      <c r="P5470" s="12" t="n">
        <v>4160</v>
      </c>
      <c r="Q5470" s="12" t="n">
        <v>1500</v>
      </c>
      <c r="R5470" s="12" t="n">
        <v>231</v>
      </c>
      <c r="S5470" s="12" t="inlineStr">
        <is>
          <t>Duct bank</t>
        </is>
      </c>
      <c r="T5470" s="16" t="n">
        <v>10</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J-MV-0010</t>
        </is>
      </c>
      <c r="B5471" s="12" t="inlineStr">
        <is>
          <t>J</t>
        </is>
      </c>
      <c r="C5471" s="12" t="inlineStr">
        <is>
          <t>GT inlet chilling</t>
        </is>
      </c>
      <c r="D5471" s="12" t="inlineStr">
        <is>
          <t>Water-cooled chiller CH-5</t>
        </is>
      </c>
      <c r="E5471" s="12" t="inlineStr"/>
      <c r="F5471" s="12" t="inlineStr">
        <is>
          <t>Inlet-chilling e-house / transformer</t>
        </is>
      </c>
      <c r="G5471" s="12" t="inlineStr"/>
      <c r="H5471" s="12" t="inlineStr">
        <is>
          <t>Chillers x6 (water-cooled)</t>
        </is>
      </c>
      <c r="I5471" s="12" t="inlineStr">
        <is>
          <t>MV 5 kV</t>
        </is>
      </c>
      <c r="J5471" s="12" t="inlineStr">
        <is>
          <t>MV-105 5 kV 3/C Cu, EPR 133%, tape shield, gnd, PVC jacket</t>
        </is>
      </c>
      <c r="K5471" s="12" t="inlineStr">
        <is>
          <t>MV5|3/C|250</t>
        </is>
      </c>
      <c r="L5471" s="12" t="inlineStr">
        <is>
          <t>3/C</t>
        </is>
      </c>
      <c r="M5471" s="12" t="inlineStr">
        <is>
          <t>250 kcmil</t>
        </is>
      </c>
      <c r="N5471" s="12" t="n">
        <v>1</v>
      </c>
      <c r="O5471" s="12" t="n">
        <v>1</v>
      </c>
      <c r="P5471" s="12" t="n">
        <v>4160</v>
      </c>
      <c r="Q5471" s="12" t="n">
        <v>1500</v>
      </c>
      <c r="R5471" s="12" t="n">
        <v>231</v>
      </c>
      <c r="S5471" s="12" t="inlineStr">
        <is>
          <t>Duct bank</t>
        </is>
      </c>
      <c r="T5471" s="16" t="n">
        <v>10</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J-MV-0011</t>
        </is>
      </c>
      <c r="B5472" s="12" t="inlineStr">
        <is>
          <t>J</t>
        </is>
      </c>
      <c r="C5472" s="12" t="inlineStr">
        <is>
          <t>GT inlet chilling</t>
        </is>
      </c>
      <c r="D5472" s="12" t="inlineStr">
        <is>
          <t>Water-cooled chiller CH-6</t>
        </is>
      </c>
      <c r="E5472" s="12" t="inlineStr"/>
      <c r="F5472" s="12" t="inlineStr">
        <is>
          <t>Inlet-chilling e-house / transformer</t>
        </is>
      </c>
      <c r="G5472" s="12" t="inlineStr"/>
      <c r="H5472" s="12" t="inlineStr">
        <is>
          <t>Chillers x6 (water-cooled)</t>
        </is>
      </c>
      <c r="I5472" s="12" t="inlineStr">
        <is>
          <t>MV 5 kV</t>
        </is>
      </c>
      <c r="J5472" s="12" t="inlineStr">
        <is>
          <t>MV-105 5 kV 3/C Cu, EPR 133%, tape shield, gnd, PVC jacket</t>
        </is>
      </c>
      <c r="K5472" s="12" t="inlineStr">
        <is>
          <t>MV5|3/C|250</t>
        </is>
      </c>
      <c r="L5472" s="12" t="inlineStr">
        <is>
          <t>3/C</t>
        </is>
      </c>
      <c r="M5472" s="12" t="inlineStr">
        <is>
          <t>250 kcmil</t>
        </is>
      </c>
      <c r="N5472" s="12" t="n">
        <v>1</v>
      </c>
      <c r="O5472" s="12" t="n">
        <v>1</v>
      </c>
      <c r="P5472" s="12" t="n">
        <v>4160</v>
      </c>
      <c r="Q5472" s="12" t="n">
        <v>1500</v>
      </c>
      <c r="R5472" s="12" t="n">
        <v>231</v>
      </c>
      <c r="S5472" s="12" t="inlineStr">
        <is>
          <t>Duct bank</t>
        </is>
      </c>
      <c r="T5472" s="16" t="n">
        <v>10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K-L-0001</t>
        </is>
      </c>
      <c r="B5473" s="12" t="inlineStr">
        <is>
          <t>K</t>
        </is>
      </c>
      <c r="C5473" s="12" t="inlineStr">
        <is>
          <t>Fuel supply (adjacent market)</t>
        </is>
      </c>
      <c r="D5473" s="12" t="inlineStr">
        <is>
          <t>Lighting, receptacles and small power branch circuits (allowance)</t>
        </is>
      </c>
      <c r="E5473" s="12" t="inlineStr"/>
      <c r="F5473" s="12" t="inlineStr">
        <is>
          <t>H2 20: 13.8 kV e-house</t>
        </is>
      </c>
      <c r="G5473" s="12" t="inlineStr"/>
      <c r="H5473" s="12" t="inlineStr">
        <is>
          <t>H2 20: 13.8 kV e-house</t>
        </is>
      </c>
      <c r="I5473" s="12" t="inlineStr">
        <is>
          <t>Building wire</t>
        </is>
      </c>
      <c r="J5473" s="12" t="inlineStr">
        <is>
          <t>SIMpull THHN/THWN-2 600 V 1/C Cu (lighting, receptacles, small power)</t>
        </is>
      </c>
      <c r="K5473" s="12" t="inlineStr">
        <is>
          <t>THHN|1/C|12</t>
        </is>
      </c>
      <c r="L5473" s="12" t="inlineStr">
        <is>
          <t>1/C</t>
        </is>
      </c>
      <c r="M5473" s="12" t="inlineStr">
        <is>
          <t>12</t>
        </is>
      </c>
      <c r="N5473" s="12" t="n">
        <v>1</v>
      </c>
      <c r="O5473" s="12" t="n">
        <v>1</v>
      </c>
      <c r="P5473" s="12" t="n">
        <v>277</v>
      </c>
      <c r="Q5473" s="12" t="n"/>
      <c r="R5473" s="12" t="n"/>
      <c r="S5473" s="12" t="inlineStr">
        <is>
          <t>Conduit</t>
        </is>
      </c>
      <c r="T5473" s="16" t="n">
        <v>1536</v>
      </c>
      <c r="U5473" s="16" t="n">
        <v>0</v>
      </c>
      <c r="V5473" s="16">
        <f>ROUNDUP((T5473+U5473+2*'Read Me'!$B$13)*(1+'Read Me'!$B$12),-1)</f>
        <v/>
      </c>
      <c r="W5473" s="16">
        <f>V5473*N5473*O5473</f>
        <v/>
      </c>
      <c r="X5473" s="12">
        <f>IF(LEFT(I5473,2)="MV",2*N5473*IF(L5473="1/C",O5473,1),0)</f>
        <v/>
      </c>
      <c r="Y5473" s="12">
        <f>IF(OR(LEFT(K5473,4)="LVAX",LEFT(K5473,6)="MV15AX",LEFT(K5473,4)="CTAX",LEFT(K5473,2)="W|"),2*N5473*O5473,0)</f>
        <v/>
      </c>
      <c r="Z5473" s="12" t="inlineStr">
        <is>
          <t>allowance: 1.6 ft of conductor per ft2 of floor</t>
        </is>
      </c>
      <c r="AA5473" s="12">
        <f>N5473*O5473</f>
        <v/>
      </c>
    </row>
    <row r="5474">
      <c r="A5474" s="12" t="inlineStr">
        <is>
          <t>K-L-0002</t>
        </is>
      </c>
      <c r="B5474" s="12" t="inlineStr">
        <is>
          <t>K</t>
        </is>
      </c>
      <c r="C5474" s="12" t="inlineStr">
        <is>
          <t>Fuel supply (adjacent market)</t>
        </is>
      </c>
      <c r="D5474" s="12" t="inlineStr">
        <is>
          <t>Lighting, receptacles and small power branch circuits (allowance)</t>
        </is>
      </c>
      <c r="E5474" s="12" t="inlineStr"/>
      <c r="F5474" s="12" t="inlineStr">
        <is>
          <t>LNG 17: LNG e-house (13.8 kV / 480 V)</t>
        </is>
      </c>
      <c r="G5474" s="12" t="inlineStr"/>
      <c r="H5474" s="12" t="inlineStr">
        <is>
          <t>LNG 17: LNG e-house (13.8 kV / 480 V)</t>
        </is>
      </c>
      <c r="I5474" s="12" t="inlineStr">
        <is>
          <t>Building wire</t>
        </is>
      </c>
      <c r="J5474" s="12" t="inlineStr">
        <is>
          <t>SIMpull THHN/THWN-2 600 V 1/C Cu (lighting, receptacles, small power)</t>
        </is>
      </c>
      <c r="K5474" s="12" t="inlineStr">
        <is>
          <t>THHN|1/C|12</t>
        </is>
      </c>
      <c r="L5474" s="12" t="inlineStr">
        <is>
          <t>1/C</t>
        </is>
      </c>
      <c r="M5474" s="12" t="inlineStr">
        <is>
          <t>12</t>
        </is>
      </c>
      <c r="N5474" s="12" t="n">
        <v>1</v>
      </c>
      <c r="O5474" s="12" t="n">
        <v>1</v>
      </c>
      <c r="P5474" s="12" t="n">
        <v>277</v>
      </c>
      <c r="Q5474" s="12" t="n"/>
      <c r="R5474" s="12" t="n"/>
      <c r="S5474" s="12" t="inlineStr">
        <is>
          <t>Conduit</t>
        </is>
      </c>
      <c r="T5474" s="16" t="n">
        <v>896</v>
      </c>
      <c r="U5474" s="16" t="n">
        <v>0</v>
      </c>
      <c r="V5474" s="16">
        <f>ROUNDUP((T5474+U5474+2*'Read Me'!$B$13)*(1+'Read Me'!$B$12),-1)</f>
        <v/>
      </c>
      <c r="W5474" s="16">
        <f>V5474*N5474*O5474</f>
        <v/>
      </c>
      <c r="X5474" s="12">
        <f>IF(LEFT(I5474,2)="MV",2*N5474*IF(L5474="1/C",O5474,1),0)</f>
        <v/>
      </c>
      <c r="Y5474" s="12">
        <f>IF(OR(LEFT(K5474,4)="LVAX",LEFT(K5474,6)="MV15AX",LEFT(K5474,4)="CTAX",LEFT(K5474,2)="W|"),2*N5474*O5474,0)</f>
        <v/>
      </c>
      <c r="Z5474" s="12" t="inlineStr">
        <is>
          <t>allowance: 1.6 ft of conductor per ft2 of floor</t>
        </is>
      </c>
      <c r="AA5474" s="12">
        <f>N5474*O5474</f>
        <v/>
      </c>
    </row>
    <row r="5475">
      <c r="A5475" s="12" t="inlineStr">
        <is>
          <t>K-L-0003</t>
        </is>
      </c>
      <c r="B5475" s="12" t="inlineStr">
        <is>
          <t>K</t>
        </is>
      </c>
      <c r="C5475" s="12" t="inlineStr">
        <is>
          <t>Fuel supply (adjacent market)</t>
        </is>
      </c>
      <c r="D5475" s="12" t="inlineStr">
        <is>
          <t>Lighting, receptacles and small power branch circuits (allowance)</t>
        </is>
      </c>
      <c r="E5475" s="12" t="inlineStr"/>
      <c r="F5475" s="12" t="inlineStr">
        <is>
          <t>M&amp;R 6: regulation / flow control building</t>
        </is>
      </c>
      <c r="G5475" s="12" t="inlineStr"/>
      <c r="H5475" s="12" t="inlineStr">
        <is>
          <t>M&amp;R 6: regulation / flow control building</t>
        </is>
      </c>
      <c r="I5475" s="12" t="inlineStr">
        <is>
          <t>Building wire</t>
        </is>
      </c>
      <c r="J5475" s="12" t="inlineStr">
        <is>
          <t>SIMpull THHN/THWN-2 600 V 1/C Cu (lighting, receptacles, small power)</t>
        </is>
      </c>
      <c r="K5475" s="12" t="inlineStr">
        <is>
          <t>THHN|1/C|12</t>
        </is>
      </c>
      <c r="L5475" s="12" t="inlineStr">
        <is>
          <t>1/C</t>
        </is>
      </c>
      <c r="M5475" s="12" t="inlineStr">
        <is>
          <t>12</t>
        </is>
      </c>
      <c r="N5475" s="12" t="n">
        <v>1</v>
      </c>
      <c r="O5475" s="12" t="n">
        <v>1</v>
      </c>
      <c r="P5475" s="12" t="n">
        <v>277</v>
      </c>
      <c r="Q5475" s="12" t="n"/>
      <c r="R5475" s="12" t="n"/>
      <c r="S5475" s="12" t="inlineStr">
        <is>
          <t>Conduit</t>
        </is>
      </c>
      <c r="T5475" s="16" t="n">
        <v>1440</v>
      </c>
      <c r="U5475" s="16" t="n">
        <v>0</v>
      </c>
      <c r="V5475" s="16">
        <f>ROUNDUP((T5475+U5475+2*'Read Me'!$B$13)*(1+'Read Me'!$B$12),-1)</f>
        <v/>
      </c>
      <c r="W5475" s="16">
        <f>V5475*N5475*O5475</f>
        <v/>
      </c>
      <c r="X5475" s="12">
        <f>IF(LEFT(I5475,2)="MV",2*N5475*IF(L5475="1/C",O5475,1),0)</f>
        <v/>
      </c>
      <c r="Y5475" s="12">
        <f>IF(OR(LEFT(K5475,4)="LVAX",LEFT(K5475,6)="MV15AX",LEFT(K5475,4)="CTAX",LEFT(K5475,2)="W|"),2*N5475*O5475,0)</f>
        <v/>
      </c>
      <c r="Z5475" s="12" t="inlineStr">
        <is>
          <t>allowance: 1.6 ft of conductor per ft2 of floor</t>
        </is>
      </c>
      <c r="AA5475" s="12">
        <f>N5475*O5475</f>
        <v/>
      </c>
    </row>
    <row r="5476">
      <c r="A5476" s="12" t="inlineStr">
        <is>
          <t>K-L-0004</t>
        </is>
      </c>
      <c r="B5476" s="12" t="inlineStr">
        <is>
          <t>K</t>
        </is>
      </c>
      <c r="C5476" s="12" t="inlineStr">
        <is>
          <t>Fuel supply (adjacent market)</t>
        </is>
      </c>
      <c r="D5476" s="12" t="inlineStr">
        <is>
          <t>Lighting, receptacles and small power branch circuits (allowance)</t>
        </is>
      </c>
      <c r="E5476" s="12" t="inlineStr"/>
      <c r="F5476" s="12" t="inlineStr">
        <is>
          <t>M&amp;R 7: gas quality + measurement building</t>
        </is>
      </c>
      <c r="G5476" s="12" t="inlineStr"/>
      <c r="H5476" s="12" t="inlineStr">
        <is>
          <t>M&amp;R 7: gas quality + measurement building</t>
        </is>
      </c>
      <c r="I5476" s="12" t="inlineStr">
        <is>
          <t>Building wire</t>
        </is>
      </c>
      <c r="J5476" s="12" t="inlineStr">
        <is>
          <t>SIMpull THHN/THWN-2 600 V 1/C Cu (lighting, receptacles, small power)</t>
        </is>
      </c>
      <c r="K5476" s="12" t="inlineStr">
        <is>
          <t>THHN|1/C|12</t>
        </is>
      </c>
      <c r="L5476" s="12" t="inlineStr">
        <is>
          <t>1/C</t>
        </is>
      </c>
      <c r="M5476" s="12" t="inlineStr">
        <is>
          <t>12</t>
        </is>
      </c>
      <c r="N5476" s="12" t="n">
        <v>1</v>
      </c>
      <c r="O5476" s="12" t="n">
        <v>1</v>
      </c>
      <c r="P5476" s="12" t="n">
        <v>277</v>
      </c>
      <c r="Q5476" s="12" t="n"/>
      <c r="R5476" s="12" t="n"/>
      <c r="S5476" s="12" t="inlineStr">
        <is>
          <t>Conduit</t>
        </is>
      </c>
      <c r="T5476" s="16" t="n">
        <v>205</v>
      </c>
      <c r="U5476" s="16" t="n">
        <v>0</v>
      </c>
      <c r="V5476" s="16">
        <f>ROUNDUP((T5476+U5476+2*'Read Me'!$B$13)*(1+'Read Me'!$B$12),-1)</f>
        <v/>
      </c>
      <c r="W5476" s="16">
        <f>V5476*N5476*O5476</f>
        <v/>
      </c>
      <c r="X5476" s="12">
        <f>IF(LEFT(I5476,2)="MV",2*N5476*IF(L5476="1/C",O5476,1),0)</f>
        <v/>
      </c>
      <c r="Y5476" s="12">
        <f>IF(OR(LEFT(K5476,4)="LVAX",LEFT(K5476,6)="MV15AX",LEFT(K5476,4)="CTAX",LEFT(K5476,2)="W|"),2*N5476*O5476,0)</f>
        <v/>
      </c>
      <c r="Z5476" s="12" t="inlineStr">
        <is>
          <t>allowance: 1.6 ft of conductor per ft2 of floor</t>
        </is>
      </c>
      <c r="AA5476" s="12">
        <f>N5476*O5476</f>
        <v/>
      </c>
    </row>
    <row r="5477">
      <c r="A5477" s="12" t="inlineStr">
        <is>
          <t>K-C-0001</t>
        </is>
      </c>
      <c r="B5477" s="12" t="inlineStr">
        <is>
          <t>K</t>
        </is>
      </c>
      <c r="C5477" s="12" t="inlineStr">
        <is>
          <t>Fuel supply (adjacent market)</t>
        </is>
      </c>
      <c r="D5477" s="12" t="inlineStr">
        <is>
          <t>Motor 1 of 1: control / local station</t>
        </is>
      </c>
      <c r="E5477" s="12" t="inlineStr"/>
      <c r="F5477" s="12" t="inlineStr">
        <is>
          <t>H2 20: 13.8 kV e-house</t>
        </is>
      </c>
      <c r="G5477" s="12" t="inlineStr">
        <is>
          <t>T-H2</t>
        </is>
      </c>
      <c r="H5477" s="12" t="inlineStr">
        <is>
          <t>H2 19: T-H2 230/13.8 kV (about 40 MVA)</t>
        </is>
      </c>
      <c r="I5477" s="12" t="inlineStr">
        <is>
          <t>Control</t>
        </is>
      </c>
      <c r="J5477" s="12" t="inlineStr">
        <is>
          <t>ARMOR-X MC-HL 600 V control, Cu #14 AWG (Class I Div 2)</t>
        </is>
      </c>
      <c r="K5477" s="12" t="inlineStr">
        <is>
          <t>CTAX|7/C|14</t>
        </is>
      </c>
      <c r="L5477" s="12" t="inlineStr">
        <is>
          <t>7/C</t>
        </is>
      </c>
      <c r="M5477" s="12" t="inlineStr">
        <is>
          <t>14</t>
        </is>
      </c>
      <c r="N5477" s="12" t="n">
        <v>1</v>
      </c>
      <c r="O5477" s="12" t="n">
        <v>1</v>
      </c>
      <c r="P5477" s="12" t="n"/>
      <c r="Q5477" s="12" t="n"/>
      <c r="R5477" s="12" t="n"/>
      <c r="S5477" s="12" t="inlineStr">
        <is>
          <t>Duct bank</t>
        </is>
      </c>
      <c r="T5477" s="16" t="n">
        <v>35</v>
      </c>
      <c r="U5477" s="16" t="n">
        <v>32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K-C-0002</t>
        </is>
      </c>
      <c r="B5478" s="12" t="inlineStr">
        <is>
          <t>K</t>
        </is>
      </c>
      <c r="C5478" s="12" t="inlineStr">
        <is>
          <t>Fuel supply (adjacent market)</t>
        </is>
      </c>
      <c r="D5478" s="12" t="inlineStr">
        <is>
          <t>Solenoid to JB JB-T-H2-SOL01: 2 x 2/C (field cables)</t>
        </is>
      </c>
      <c r="E5478" s="12" t="inlineStr">
        <is>
          <t>T-H2</t>
        </is>
      </c>
      <c r="F5478" s="12" t="inlineStr">
        <is>
          <t>H2 19: T-H2 230/13.8 kV (about 40 MVA)</t>
        </is>
      </c>
      <c r="G5478" s="12" t="inlineStr">
        <is>
          <t>JB-T-H2-SOL01</t>
        </is>
      </c>
      <c r="H5478" s="12" t="inlineStr">
        <is>
          <t>H2 19: T-H2 230/13.8 kV (about 40 MVA)</t>
        </is>
      </c>
      <c r="I5478" s="12" t="inlineStr">
        <is>
          <t>Control</t>
        </is>
      </c>
      <c r="J5478" s="12" t="inlineStr">
        <is>
          <t>ARMOR-X MC-HL 600 V control, Cu #14 AWG (Class I Div 2)</t>
        </is>
      </c>
      <c r="K5478" s="12" t="inlineStr">
        <is>
          <t>CTAX|2/C|14</t>
        </is>
      </c>
      <c r="L5478" s="12" t="inlineStr">
        <is>
          <t>2/C</t>
        </is>
      </c>
      <c r="M5478" s="12" t="inlineStr">
        <is>
          <t>14</t>
        </is>
      </c>
      <c r="N5478" s="12" t="n">
        <v>2</v>
      </c>
      <c r="O5478" s="12" t="n">
        <v>1</v>
      </c>
      <c r="P5478" s="12" t="n"/>
      <c r="Q5478" s="12" t="n"/>
      <c r="R5478" s="12" t="n"/>
      <c r="S5478" s="12" t="inlineStr">
        <is>
          <t>Tray / conduit</t>
        </is>
      </c>
      <c r="T5478" s="16" t="n">
        <v>80</v>
      </c>
      <c r="U5478" s="16" t="n">
        <v>10</v>
      </c>
      <c r="V5478" s="16">
        <f>ROUNDUP((T5478+U5478+2*'Read Me'!$B$13)*(1+'Read Me'!$B$12),-1)</f>
        <v/>
      </c>
      <c r="W5478" s="16">
        <f>V5478*N5478*O5478</f>
        <v/>
      </c>
      <c r="X5478" s="12">
        <f>IF(LEFT(I5478,2)="MV",2*N5478*IF(L5478="1/C",O5478,1),0)</f>
        <v/>
      </c>
      <c r="Y5478" s="12">
        <f>IF(OR(LEFT(K5478,4)="LVAX",LEFT(K5478,6)="MV15AX",LEFT(K5478,4)="CTAX",LEFT(K5478,2)="W|"),2*N5478*O5478,0)</f>
        <v/>
      </c>
      <c r="Z5478" s="12" t="inlineStr">
        <is>
          <t>device-to-JB field wiring, one cable per device</t>
        </is>
      </c>
      <c r="AA5478" s="12">
        <f>N5478*O5478</f>
        <v/>
      </c>
    </row>
    <row r="5479">
      <c r="A5479" s="12" t="inlineStr">
        <is>
          <t>K-C-0003</t>
        </is>
      </c>
      <c r="B5479" s="12" t="inlineStr">
        <is>
          <t>K</t>
        </is>
      </c>
      <c r="C5479" s="12" t="inlineStr">
        <is>
          <t>Fuel supply (adjacent market)</t>
        </is>
      </c>
      <c r="D5479" s="12" t="inlineStr">
        <is>
          <t>Home run JB-T-H2-SOL01 to the control / marshalling room</t>
        </is>
      </c>
      <c r="E5479" s="12" t="inlineStr"/>
      <c r="F5479" s="12" t="inlineStr">
        <is>
          <t>H2 20: 13.8 kV e-house</t>
        </is>
      </c>
      <c r="G5479" s="12" t="inlineStr">
        <is>
          <t>JB-T-H2-SOL01</t>
        </is>
      </c>
      <c r="H5479" s="12" t="inlineStr">
        <is>
          <t>H2 19: T-H2 230/13.8 kV (about 40 MVA)</t>
        </is>
      </c>
      <c r="I5479" s="12" t="inlineStr">
        <is>
          <t>Control</t>
        </is>
      </c>
      <c r="J5479" s="12" t="inlineStr">
        <is>
          <t>ARMOR-X MC-HL 600 V control, Cu #14 AWG (Class I Div 2)</t>
        </is>
      </c>
      <c r="K5479" s="12" t="inlineStr">
        <is>
          <t>CTAX|25/C|14</t>
        </is>
      </c>
      <c r="L5479" s="12" t="inlineStr">
        <is>
          <t>25/C</t>
        </is>
      </c>
      <c r="M5479" s="12" t="inlineStr">
        <is>
          <t>14</t>
        </is>
      </c>
      <c r="N5479" s="12" t="n">
        <v>1</v>
      </c>
      <c r="O5479" s="12" t="n">
        <v>1</v>
      </c>
      <c r="P5479" s="12" t="n"/>
      <c r="Q5479" s="12" t="n"/>
      <c r="R5479" s="12" t="n"/>
      <c r="S5479" s="12" t="inlineStr">
        <is>
          <t>Duct bank</t>
        </is>
      </c>
      <c r="T5479" s="16" t="n">
        <v>35</v>
      </c>
      <c r="U5479" s="16" t="n">
        <v>32</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K-C-0004</t>
        </is>
      </c>
      <c r="B5480" s="12" t="inlineStr">
        <is>
          <t>K</t>
        </is>
      </c>
      <c r="C5480" s="12" t="inlineStr">
        <is>
          <t>Fuel supply (adjacent market)</t>
        </is>
      </c>
      <c r="D5480" s="12" t="inlineStr">
        <is>
          <t>Motor 1 of 1: control / local station</t>
        </is>
      </c>
      <c r="E5480" s="12" t="inlineStr"/>
      <c r="F5480" s="12" t="inlineStr">
        <is>
          <t>H2 20: 13.8 kV e-house</t>
        </is>
      </c>
      <c r="G5480" s="12" t="inlineStr"/>
      <c r="H5480" s="12" t="inlineStr">
        <is>
          <t>H2 20: 13.8 kV e-house</t>
        </is>
      </c>
      <c r="I5480" s="12" t="inlineStr">
        <is>
          <t>Control</t>
        </is>
      </c>
      <c r="J5480" s="12" t="inlineStr">
        <is>
          <t>ARMOR-X MC-HL 600 V control, Cu #14 AWG (Class I Div 2)</t>
        </is>
      </c>
      <c r="K5480" s="12" t="inlineStr">
        <is>
          <t>CTAX|7/C|14</t>
        </is>
      </c>
      <c r="L5480" s="12" t="inlineStr">
        <is>
          <t>7/C</t>
        </is>
      </c>
      <c r="M5480" s="12" t="inlineStr">
        <is>
          <t>14</t>
        </is>
      </c>
      <c r="N5480" s="12" t="n">
        <v>1</v>
      </c>
      <c r="O5480" s="12" t="n">
        <v>1</v>
      </c>
      <c r="P5480" s="12" t="n"/>
      <c r="Q5480" s="12" t="n"/>
      <c r="R5480" s="12" t="n"/>
      <c r="S5480" s="12" t="inlineStr">
        <is>
          <t>Tray</t>
        </is>
      </c>
      <c r="T5480" s="16" t="n">
        <v>0</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K-C-0005</t>
        </is>
      </c>
      <c r="B5481" s="12" t="inlineStr">
        <is>
          <t>K</t>
        </is>
      </c>
      <c r="C5481" s="12" t="inlineStr">
        <is>
          <t>Fuel supply (adjacent market)</t>
        </is>
      </c>
      <c r="D5481" s="12" t="inlineStr">
        <is>
          <t>Solenoid to JB JB-H2 20: 13.8 kV e-h-SOL01: 2 x 2/C (field cables)</t>
        </is>
      </c>
      <c r="E5481" s="12" t="inlineStr"/>
      <c r="F5481" s="12" t="inlineStr">
        <is>
          <t>H2 20: 13.8 kV e-house</t>
        </is>
      </c>
      <c r="G5481" s="12" t="inlineStr">
        <is>
          <t>JB-H2 20: 13.8 kV e-h-SOL01</t>
        </is>
      </c>
      <c r="H5481" s="12" t="inlineStr">
        <is>
          <t>H2 20: 13.8 kV e-house</t>
        </is>
      </c>
      <c r="I5481" s="12" t="inlineStr">
        <is>
          <t>Control</t>
        </is>
      </c>
      <c r="J5481" s="12" t="inlineStr">
        <is>
          <t>ARMOR-X MC-HL 600 V control, Cu #14 AWG (Class I Div 2)</t>
        </is>
      </c>
      <c r="K5481" s="12" t="inlineStr">
        <is>
          <t>CTAX|2/C|14</t>
        </is>
      </c>
      <c r="L5481" s="12" t="inlineStr">
        <is>
          <t>2/C</t>
        </is>
      </c>
      <c r="M5481" s="12" t="inlineStr">
        <is>
          <t>14</t>
        </is>
      </c>
      <c r="N5481" s="12" t="n">
        <v>2</v>
      </c>
      <c r="O5481" s="12" t="n">
        <v>1</v>
      </c>
      <c r="P5481" s="12" t="n"/>
      <c r="Q5481" s="12" t="n"/>
      <c r="R5481" s="12" t="n"/>
      <c r="S5481" s="12" t="inlineStr">
        <is>
          <t>Tray / conduit</t>
        </is>
      </c>
      <c r="T5481" s="16" t="n">
        <v>69</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K-C-0006</t>
        </is>
      </c>
      <c r="B5482" s="12" t="inlineStr">
        <is>
          <t>K</t>
        </is>
      </c>
      <c r="C5482" s="12" t="inlineStr">
        <is>
          <t>Fuel supply (adjacent market)</t>
        </is>
      </c>
      <c r="D5482" s="12" t="inlineStr">
        <is>
          <t>Home run JB-H2 20: 13.8 kV e-h-SOL01 to the control / marshalling room</t>
        </is>
      </c>
      <c r="E5482" s="12" t="inlineStr"/>
      <c r="F5482" s="12" t="inlineStr">
        <is>
          <t>H2 20: 13.8 kV e-house</t>
        </is>
      </c>
      <c r="G5482" s="12" t="inlineStr">
        <is>
          <t>JB-H2 20: 13.8 kV e-h-SOL01</t>
        </is>
      </c>
      <c r="H5482" s="12" t="inlineStr">
        <is>
          <t>H2 20: 13.8 kV e-house</t>
        </is>
      </c>
      <c r="I5482" s="12" t="inlineStr">
        <is>
          <t>Control</t>
        </is>
      </c>
      <c r="J5482" s="12" t="inlineStr">
        <is>
          <t>ARMOR-X MC-HL 600 V control, Cu #14 AWG (Class I Div 2)</t>
        </is>
      </c>
      <c r="K5482" s="12" t="inlineStr">
        <is>
          <t>CTAX|25/C|14</t>
        </is>
      </c>
      <c r="L5482" s="12" t="inlineStr">
        <is>
          <t>25/C</t>
        </is>
      </c>
      <c r="M5482" s="12" t="inlineStr">
        <is>
          <t>14</t>
        </is>
      </c>
      <c r="N5482" s="12" t="n">
        <v>1</v>
      </c>
      <c r="O5482" s="12" t="n">
        <v>1</v>
      </c>
      <c r="P5482" s="12" t="n"/>
      <c r="Q5482" s="12" t="n"/>
      <c r="R5482" s="12" t="n"/>
      <c r="S5482" s="12" t="inlineStr">
        <is>
          <t>Tray</t>
        </is>
      </c>
      <c r="T5482" s="16" t="n">
        <v>0</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K-C-0007</t>
        </is>
      </c>
      <c r="B5483" s="12" t="inlineStr">
        <is>
          <t>K</t>
        </is>
      </c>
      <c r="C5483" s="12" t="inlineStr">
        <is>
          <t>Fuel supply (adjacent market)</t>
        </is>
      </c>
      <c r="D5483" s="12" t="inlineStr">
        <is>
          <t>Motor 1 of 1: control / local station</t>
        </is>
      </c>
      <c r="E5483" s="12" t="inlineStr"/>
      <c r="F5483" s="12" t="inlineStr">
        <is>
          <t>H2 20: 13.8 kV e-house</t>
        </is>
      </c>
      <c r="G5483" s="12" t="inlineStr"/>
      <c r="H5483" s="12" t="inlineStr">
        <is>
          <t>H2 21: rectifier transformer 1 (7 MVA)</t>
        </is>
      </c>
      <c r="I5483" s="12" t="inlineStr">
        <is>
          <t>Control</t>
        </is>
      </c>
      <c r="J5483" s="12" t="inlineStr">
        <is>
          <t>ARMOR-X MC-HL 600 V control, Cu #14 AWG (Class I Div 2)</t>
        </is>
      </c>
      <c r="K5483" s="12" t="inlineStr">
        <is>
          <t>CTAX|7/C|14</t>
        </is>
      </c>
      <c r="L5483" s="12" t="inlineStr">
        <is>
          <t>7/C</t>
        </is>
      </c>
      <c r="M5483" s="12" t="inlineStr">
        <is>
          <t>14</t>
        </is>
      </c>
      <c r="N5483" s="12" t="n">
        <v>1</v>
      </c>
      <c r="O5483" s="12" t="n">
        <v>1</v>
      </c>
      <c r="P5483" s="12" t="n"/>
      <c r="Q5483" s="12" t="n"/>
      <c r="R5483" s="12" t="n"/>
      <c r="S5483" s="12" t="inlineStr">
        <is>
          <t>Duct bank</t>
        </is>
      </c>
      <c r="T5483" s="16" t="n">
        <v>356</v>
      </c>
      <c r="U5483" s="16" t="n">
        <v>48</v>
      </c>
      <c r="V5483" s="16">
        <f>ROUNDUP((T5483+U5483+2*'Read Me'!$B$13)*(1+'Read Me'!$B$12),-1)</f>
        <v/>
      </c>
      <c r="W5483" s="16">
        <f>V5483*N5483*O5483</f>
        <v/>
      </c>
      <c r="X5483" s="12">
        <f>IF(LEFT(I5483,2)="MV",2*N5483*IF(L5483="1/C",O5483,1),0)</f>
        <v/>
      </c>
      <c r="Y5483" s="12">
        <f>IF(OR(LEFT(K5483,4)="LVAX",LEFT(K5483,6)="MV15AX",LEFT(K5483,4)="CTAX",LEFT(K5483,2)="W|"),2*N5483*O5483,0)</f>
        <v/>
      </c>
      <c r="Z5483" s="12" t="inlineStr"/>
      <c r="AA5483" s="12">
        <f>N5483*O5483</f>
        <v/>
      </c>
    </row>
    <row r="5484">
      <c r="A5484" s="12" t="inlineStr">
        <is>
          <t>K-C-0008</t>
        </is>
      </c>
      <c r="B5484" s="12" t="inlineStr">
        <is>
          <t>K</t>
        </is>
      </c>
      <c r="C5484" s="12" t="inlineStr">
        <is>
          <t>Fuel supply (adjacent market)</t>
        </is>
      </c>
      <c r="D5484" s="12" t="inlineStr">
        <is>
          <t>Solenoid to JB JB-H2 21: rectifier t-SOL01: 2 x 2/C (field cables)</t>
        </is>
      </c>
      <c r="E5484" s="12" t="inlineStr"/>
      <c r="F5484" s="12" t="inlineStr">
        <is>
          <t>H2 21: rectifier transformer 1 (7 MVA)</t>
        </is>
      </c>
      <c r="G5484" s="12" t="inlineStr">
        <is>
          <t>JB-H2 21: rectifier t-SOL01</t>
        </is>
      </c>
      <c r="H5484" s="12" t="inlineStr">
        <is>
          <t>H2 21: rectifier transformer 1 (7 MVA)</t>
        </is>
      </c>
      <c r="I5484" s="12" t="inlineStr">
        <is>
          <t>Control</t>
        </is>
      </c>
      <c r="J5484" s="12" t="inlineStr">
        <is>
          <t>ARMOR-X MC-HL 600 V control, Cu #14 AWG (Class I Div 2)</t>
        </is>
      </c>
      <c r="K5484" s="12" t="inlineStr">
        <is>
          <t>CTAX|2/C|14</t>
        </is>
      </c>
      <c r="L5484" s="12" t="inlineStr">
        <is>
          <t>2/C</t>
        </is>
      </c>
      <c r="M5484" s="12" t="inlineStr">
        <is>
          <t>14</t>
        </is>
      </c>
      <c r="N5484" s="12" t="n">
        <v>2</v>
      </c>
      <c r="O5484" s="12" t="n">
        <v>1</v>
      </c>
      <c r="P5484" s="12" t="n"/>
      <c r="Q5484" s="12" t="n"/>
      <c r="R5484" s="12" t="n"/>
      <c r="S5484" s="12" t="inlineStr">
        <is>
          <t>Tray / conduit</t>
        </is>
      </c>
      <c r="T5484" s="16" t="n">
        <v>41</v>
      </c>
      <c r="U5484" s="16" t="n">
        <v>10</v>
      </c>
      <c r="V5484" s="16">
        <f>ROUNDUP((T5484+U5484+2*'Read Me'!$B$13)*(1+'Read Me'!$B$12),-1)</f>
        <v/>
      </c>
      <c r="W5484" s="16">
        <f>V5484*N5484*O5484</f>
        <v/>
      </c>
      <c r="X5484" s="12">
        <f>IF(LEFT(I5484,2)="MV",2*N5484*IF(L5484="1/C",O5484,1),0)</f>
        <v/>
      </c>
      <c r="Y5484" s="12">
        <f>IF(OR(LEFT(K5484,4)="LVAX",LEFT(K5484,6)="MV15AX",LEFT(K5484,4)="CTAX",LEFT(K5484,2)="W|"),2*N5484*O5484,0)</f>
        <v/>
      </c>
      <c r="Z5484" s="12" t="inlineStr">
        <is>
          <t>device-to-JB field wiring, one cable per device</t>
        </is>
      </c>
      <c r="AA5484" s="12">
        <f>N5484*O5484</f>
        <v/>
      </c>
    </row>
    <row r="5485">
      <c r="A5485" s="12" t="inlineStr">
        <is>
          <t>K-C-0009</t>
        </is>
      </c>
      <c r="B5485" s="12" t="inlineStr">
        <is>
          <t>K</t>
        </is>
      </c>
      <c r="C5485" s="12" t="inlineStr">
        <is>
          <t>Fuel supply (adjacent market)</t>
        </is>
      </c>
      <c r="D5485" s="12" t="inlineStr">
        <is>
          <t>Home run JB-H2 21: rectifier t-SOL01 to the control / marshalling room</t>
        </is>
      </c>
      <c r="E5485" s="12" t="inlineStr"/>
      <c r="F5485" s="12" t="inlineStr">
        <is>
          <t>H2 20: 13.8 kV e-house</t>
        </is>
      </c>
      <c r="G5485" s="12" t="inlineStr">
        <is>
          <t>JB-H2 21: rectifier t-SOL01</t>
        </is>
      </c>
      <c r="H5485" s="12" t="inlineStr">
        <is>
          <t>H2 21: rectifier transformer 1 (7 MVA)</t>
        </is>
      </c>
      <c r="I5485" s="12" t="inlineStr">
        <is>
          <t>Control</t>
        </is>
      </c>
      <c r="J5485" s="12" t="inlineStr">
        <is>
          <t>ARMOR-X MC-HL 600 V control, Cu #14 AWG (Class I Div 2)</t>
        </is>
      </c>
      <c r="K5485" s="12" t="inlineStr">
        <is>
          <t>CTAX|25/C|14</t>
        </is>
      </c>
      <c r="L5485" s="12" t="inlineStr">
        <is>
          <t>25/C</t>
        </is>
      </c>
      <c r="M5485" s="12" t="inlineStr">
        <is>
          <t>14</t>
        </is>
      </c>
      <c r="N5485" s="12" t="n">
        <v>1</v>
      </c>
      <c r="O5485" s="12" t="n">
        <v>1</v>
      </c>
      <c r="P5485" s="12" t="n"/>
      <c r="Q5485" s="12" t="n"/>
      <c r="R5485" s="12" t="n"/>
      <c r="S5485" s="12" t="inlineStr">
        <is>
          <t>Duct bank</t>
        </is>
      </c>
      <c r="T5485" s="16" t="n">
        <v>356</v>
      </c>
      <c r="U5485" s="16" t="n">
        <v>48</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K-C-0010</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1 (7 MVA)</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6" t="n">
        <v>356</v>
      </c>
      <c r="U5486" s="16" t="n">
        <v>48</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K-C-0011</t>
        </is>
      </c>
      <c r="B5487" s="12" t="inlineStr">
        <is>
          <t>K</t>
        </is>
      </c>
      <c r="C5487" s="12" t="inlineStr">
        <is>
          <t>Fuel supply (adjacent market)</t>
        </is>
      </c>
      <c r="D5487" s="12" t="inlineStr">
        <is>
          <t>Control</t>
        </is>
      </c>
      <c r="E5487" s="12" t="inlineStr"/>
      <c r="F5487" s="12" t="inlineStr">
        <is>
          <t>H2 20: 13.8 kV e-house</t>
        </is>
      </c>
      <c r="G5487" s="12" t="inlineStr"/>
      <c r="H5487" s="12" t="inlineStr">
        <is>
          <t>H2 21: rectifier transformer 1 (7 MVA)</t>
        </is>
      </c>
      <c r="I5487" s="12" t="inlineStr">
        <is>
          <t>Control</t>
        </is>
      </c>
      <c r="J5487" s="12" t="inlineStr">
        <is>
          <t>ARMOR-X MC-HL 600 V control, Cu #14 AWG (Class I Div 2)</t>
        </is>
      </c>
      <c r="K5487" s="12" t="inlineStr">
        <is>
          <t>CTAX|12/C|14</t>
        </is>
      </c>
      <c r="L5487" s="12" t="inlineStr">
        <is>
          <t>12/C</t>
        </is>
      </c>
      <c r="M5487" s="12" t="inlineStr">
        <is>
          <t>14</t>
        </is>
      </c>
      <c r="N5487" s="12" t="n">
        <v>1</v>
      </c>
      <c r="O5487" s="12" t="n">
        <v>1</v>
      </c>
      <c r="P5487" s="12" t="n"/>
      <c r="Q5487" s="12" t="n"/>
      <c r="R5487" s="12" t="n"/>
      <c r="S5487" s="12" t="inlineStr">
        <is>
          <t>Duct bank</t>
        </is>
      </c>
      <c r="T5487" s="16" t="n">
        <v>356</v>
      </c>
      <c r="U5487" s="16" t="n">
        <v>48</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K-C-0012</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1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48</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K-C-0013</t>
        </is>
      </c>
      <c r="B5489" s="12" t="inlineStr">
        <is>
          <t>K</t>
        </is>
      </c>
      <c r="C5489" s="12" t="inlineStr">
        <is>
          <t>Fuel supply (adjacent market)</t>
        </is>
      </c>
      <c r="D5489" s="12" t="inlineStr">
        <is>
          <t>CT / VT</t>
        </is>
      </c>
      <c r="E5489" s="12" t="inlineStr"/>
      <c r="F5489" s="12" t="inlineStr">
        <is>
          <t>H2 20: 13.8 kV e-house</t>
        </is>
      </c>
      <c r="G5489" s="12" t="inlineStr"/>
      <c r="H5489" s="12" t="inlineStr">
        <is>
          <t>H2 21: rectifier transformer 1 (7 MVA)</t>
        </is>
      </c>
      <c r="I5489" s="12" t="inlineStr">
        <is>
          <t>Control</t>
        </is>
      </c>
      <c r="J5489" s="12" t="inlineStr">
        <is>
          <t>Control cable 600 V Type TC-ER, Cu #10 AWG (CT / VT circuits)</t>
        </is>
      </c>
      <c r="K5489" s="12" t="inlineStr">
        <is>
          <t>CTCT|4/C|10</t>
        </is>
      </c>
      <c r="L5489" s="12" t="inlineStr">
        <is>
          <t>4/C</t>
        </is>
      </c>
      <c r="M5489" s="12" t="inlineStr">
        <is>
          <t>10</t>
        </is>
      </c>
      <c r="N5489" s="12" t="n">
        <v>1</v>
      </c>
      <c r="O5489" s="12" t="n">
        <v>1</v>
      </c>
      <c r="P5489" s="12" t="n"/>
      <c r="Q5489" s="12" t="n"/>
      <c r="R5489" s="12" t="n"/>
      <c r="S5489" s="12" t="inlineStr">
        <is>
          <t>Duct bank</t>
        </is>
      </c>
      <c r="T5489" s="16" t="n">
        <v>356</v>
      </c>
      <c r="U5489" s="16" t="n">
        <v>48</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K-C-0014</t>
        </is>
      </c>
      <c r="B5490" s="12" t="inlineStr">
        <is>
          <t>K</t>
        </is>
      </c>
      <c r="C5490" s="12" t="inlineStr">
        <is>
          <t>Fuel supply (adjacent market)</t>
        </is>
      </c>
      <c r="D5490" s="12" t="inlineStr">
        <is>
          <t>Motor 1 of 1: control / local station</t>
        </is>
      </c>
      <c r="E5490" s="12" t="inlineStr"/>
      <c r="F5490" s="12" t="inlineStr">
        <is>
          <t>H2 20: 13.8 kV e-house</t>
        </is>
      </c>
      <c r="G5490" s="12" t="inlineStr"/>
      <c r="H5490" s="12" t="inlineStr">
        <is>
          <t>H2 21: rectifier transformer 2 (7 MVA)</t>
        </is>
      </c>
      <c r="I5490" s="12" t="inlineStr">
        <is>
          <t>Control</t>
        </is>
      </c>
      <c r="J5490" s="12" t="inlineStr">
        <is>
          <t>ARMOR-X MC-HL 600 V control, Cu #14 AWG (Class I Div 2)</t>
        </is>
      </c>
      <c r="K5490" s="12" t="inlineStr">
        <is>
          <t>CTAX|7/C|14</t>
        </is>
      </c>
      <c r="L5490" s="12" t="inlineStr">
        <is>
          <t>7/C</t>
        </is>
      </c>
      <c r="M5490" s="12" t="inlineStr">
        <is>
          <t>14</t>
        </is>
      </c>
      <c r="N5490" s="12" t="n">
        <v>1</v>
      </c>
      <c r="O5490" s="12" t="n">
        <v>1</v>
      </c>
      <c r="P5490" s="12" t="n"/>
      <c r="Q5490" s="12" t="n"/>
      <c r="R5490" s="12" t="n"/>
      <c r="S5490" s="12" t="inlineStr">
        <is>
          <t>Duct bank</t>
        </is>
      </c>
      <c r="T5490" s="16" t="n">
        <v>356</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K-C-0015</t>
        </is>
      </c>
      <c r="B5491" s="12" t="inlineStr">
        <is>
          <t>K</t>
        </is>
      </c>
      <c r="C5491" s="12" t="inlineStr">
        <is>
          <t>Fuel supply (adjacent market)</t>
        </is>
      </c>
      <c r="D5491" s="12" t="inlineStr">
        <is>
          <t>Solenoid to JB JB-H2 21: rectifier t-SOL01: 2 x 2/C (field cables)</t>
        </is>
      </c>
      <c r="E5491" s="12" t="inlineStr"/>
      <c r="F5491" s="12" t="inlineStr">
        <is>
          <t>H2 21: rectifier transformer 2 (7 MVA)</t>
        </is>
      </c>
      <c r="G5491" s="12" t="inlineStr">
        <is>
          <t>JB-H2 21: rectifier t-SOL01</t>
        </is>
      </c>
      <c r="H5491" s="12" t="inlineStr">
        <is>
          <t>H2 21: rectifier transformer 2 (7 MVA)</t>
        </is>
      </c>
      <c r="I5491" s="12" t="inlineStr">
        <is>
          <t>Control</t>
        </is>
      </c>
      <c r="J5491" s="12" t="inlineStr">
        <is>
          <t>ARMOR-X MC-HL 600 V control, Cu #14 AWG (Class I Div 2)</t>
        </is>
      </c>
      <c r="K5491" s="12" t="inlineStr">
        <is>
          <t>CTAX|2/C|14</t>
        </is>
      </c>
      <c r="L5491" s="12" t="inlineStr">
        <is>
          <t>2/C</t>
        </is>
      </c>
      <c r="M5491" s="12" t="inlineStr">
        <is>
          <t>14</t>
        </is>
      </c>
      <c r="N5491" s="12" t="n">
        <v>2</v>
      </c>
      <c r="O5491" s="12" t="n">
        <v>1</v>
      </c>
      <c r="P5491" s="12" t="n"/>
      <c r="Q5491" s="12" t="n"/>
      <c r="R5491" s="12" t="n"/>
      <c r="S5491" s="12" t="inlineStr">
        <is>
          <t>Tray / conduit</t>
        </is>
      </c>
      <c r="T5491" s="16" t="n">
        <v>41</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K-C-0016</t>
        </is>
      </c>
      <c r="B5492" s="12" t="inlineStr">
        <is>
          <t>K</t>
        </is>
      </c>
      <c r="C5492" s="12" t="inlineStr">
        <is>
          <t>Fuel supply (adjacent market)</t>
        </is>
      </c>
      <c r="D5492" s="12" t="inlineStr">
        <is>
          <t>Home run JB-H2 21: rectifier t-SOL01 to the control / marshalling room</t>
        </is>
      </c>
      <c r="E5492" s="12" t="inlineStr"/>
      <c r="F5492" s="12" t="inlineStr">
        <is>
          <t>H2 20: 13.8 kV e-house</t>
        </is>
      </c>
      <c r="G5492" s="12" t="inlineStr">
        <is>
          <t>JB-H2 21: rectifier t-SOL01</t>
        </is>
      </c>
      <c r="H5492" s="12" t="inlineStr">
        <is>
          <t>H2 21: rectifier transformer 2 (7 MVA)</t>
        </is>
      </c>
      <c r="I5492" s="12" t="inlineStr">
        <is>
          <t>Control</t>
        </is>
      </c>
      <c r="J5492" s="12" t="inlineStr">
        <is>
          <t>ARMOR-X MC-HL 600 V control, Cu #14 AWG (Class I Div 2)</t>
        </is>
      </c>
      <c r="K5492" s="12" t="inlineStr">
        <is>
          <t>CTAX|25/C|14</t>
        </is>
      </c>
      <c r="L5492" s="12" t="inlineStr">
        <is>
          <t>25/C</t>
        </is>
      </c>
      <c r="M5492" s="12" t="inlineStr">
        <is>
          <t>14</t>
        </is>
      </c>
      <c r="N5492" s="12" t="n">
        <v>1</v>
      </c>
      <c r="O5492" s="12" t="n">
        <v>1</v>
      </c>
      <c r="P5492" s="12" t="n"/>
      <c r="Q5492" s="12" t="n"/>
      <c r="R5492" s="12" t="n"/>
      <c r="S5492" s="12" t="inlineStr">
        <is>
          <t>Duct bank</t>
        </is>
      </c>
      <c r="T5492" s="16" t="n">
        <v>356</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K-C-0017</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2 (7 MVA)</t>
        </is>
      </c>
      <c r="I5493" s="12" t="inlineStr">
        <is>
          <t>Control</t>
        </is>
      </c>
      <c r="J5493" s="12" t="inlineStr">
        <is>
          <t>ARMOR-X MC-HL 600 V control, Cu #14 AWG (Class I Div 2)</t>
        </is>
      </c>
      <c r="K5493" s="12" t="inlineStr">
        <is>
          <t>CTAX|7/C|14</t>
        </is>
      </c>
      <c r="L5493" s="12" t="inlineStr">
        <is>
          <t>7/C</t>
        </is>
      </c>
      <c r="M5493" s="12" t="inlineStr">
        <is>
          <t>14</t>
        </is>
      </c>
      <c r="N5493" s="12" t="n">
        <v>1</v>
      </c>
      <c r="O5493" s="12" t="n">
        <v>1</v>
      </c>
      <c r="P5493" s="12" t="n"/>
      <c r="Q5493" s="12" t="n"/>
      <c r="R5493" s="12" t="n"/>
      <c r="S5493" s="12" t="inlineStr">
        <is>
          <t>Duct bank</t>
        </is>
      </c>
      <c r="T5493" s="16" t="n">
        <v>356</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K-C-0018</t>
        </is>
      </c>
      <c r="B5494" s="12" t="inlineStr">
        <is>
          <t>K</t>
        </is>
      </c>
      <c r="C5494" s="12" t="inlineStr">
        <is>
          <t>Fuel supply (adjacent market)</t>
        </is>
      </c>
      <c r="D5494" s="12" t="inlineStr">
        <is>
          <t>Control</t>
        </is>
      </c>
      <c r="E5494" s="12" t="inlineStr"/>
      <c r="F5494" s="12" t="inlineStr">
        <is>
          <t>H2 20: 13.8 kV e-house</t>
        </is>
      </c>
      <c r="G5494" s="12" t="inlineStr"/>
      <c r="H5494" s="12" t="inlineStr">
        <is>
          <t>H2 21: rectifier transformer 2 (7 MVA)</t>
        </is>
      </c>
      <c r="I5494" s="12" t="inlineStr">
        <is>
          <t>Control</t>
        </is>
      </c>
      <c r="J5494" s="12" t="inlineStr">
        <is>
          <t>ARMOR-X MC-HL 600 V control, Cu #14 AWG (Class I Div 2)</t>
        </is>
      </c>
      <c r="K5494" s="12" t="inlineStr">
        <is>
          <t>CTAX|12/C|14</t>
        </is>
      </c>
      <c r="L5494" s="12" t="inlineStr">
        <is>
          <t>12/C</t>
        </is>
      </c>
      <c r="M5494" s="12" t="inlineStr">
        <is>
          <t>14</t>
        </is>
      </c>
      <c r="N5494" s="12" t="n">
        <v>1</v>
      </c>
      <c r="O5494" s="12" t="n">
        <v>1</v>
      </c>
      <c r="P5494" s="12" t="n"/>
      <c r="Q5494" s="12" t="n"/>
      <c r="R5494" s="12" t="n"/>
      <c r="S5494" s="12" t="inlineStr">
        <is>
          <t>Duct bank</t>
        </is>
      </c>
      <c r="T5494" s="16" t="n">
        <v>356</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K-C-0019</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2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356</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K-C-0020</t>
        </is>
      </c>
      <c r="B5496" s="12" t="inlineStr">
        <is>
          <t>K</t>
        </is>
      </c>
      <c r="C5496" s="12" t="inlineStr">
        <is>
          <t>Fuel supply (adjacent market)</t>
        </is>
      </c>
      <c r="D5496" s="12" t="inlineStr">
        <is>
          <t>CT / VT</t>
        </is>
      </c>
      <c r="E5496" s="12" t="inlineStr"/>
      <c r="F5496" s="12" t="inlineStr">
        <is>
          <t>H2 20: 13.8 kV e-house</t>
        </is>
      </c>
      <c r="G5496" s="12" t="inlineStr"/>
      <c r="H5496" s="12" t="inlineStr">
        <is>
          <t>H2 21: rectifier transformer 2 (7 MVA)</t>
        </is>
      </c>
      <c r="I5496" s="12" t="inlineStr">
        <is>
          <t>Control</t>
        </is>
      </c>
      <c r="J5496" s="12" t="inlineStr">
        <is>
          <t>Control cable 600 V Type TC-ER, Cu #10 AWG (CT / VT circuits)</t>
        </is>
      </c>
      <c r="K5496" s="12" t="inlineStr">
        <is>
          <t>CTCT|4/C|10</t>
        </is>
      </c>
      <c r="L5496" s="12" t="inlineStr">
        <is>
          <t>4/C</t>
        </is>
      </c>
      <c r="M5496" s="12" t="inlineStr">
        <is>
          <t>10</t>
        </is>
      </c>
      <c r="N5496" s="12" t="n">
        <v>1</v>
      </c>
      <c r="O5496" s="12" t="n">
        <v>1</v>
      </c>
      <c r="P5496" s="12" t="n"/>
      <c r="Q5496" s="12" t="n"/>
      <c r="R5496" s="12" t="n"/>
      <c r="S5496" s="12" t="inlineStr">
        <is>
          <t>Duct bank</t>
        </is>
      </c>
      <c r="T5496" s="16" t="n">
        <v>356</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K-C-0021</t>
        </is>
      </c>
      <c r="B5497" s="12" t="inlineStr">
        <is>
          <t>K</t>
        </is>
      </c>
      <c r="C5497" s="12" t="inlineStr">
        <is>
          <t>Fuel supply (adjacent market)</t>
        </is>
      </c>
      <c r="D5497" s="12" t="inlineStr">
        <is>
          <t>Motor 1 of 1: control / local station</t>
        </is>
      </c>
      <c r="E5497" s="12" t="inlineStr"/>
      <c r="F5497" s="12" t="inlineStr">
        <is>
          <t>H2 20: 13.8 kV e-house</t>
        </is>
      </c>
      <c r="G5497" s="12" t="inlineStr"/>
      <c r="H5497" s="12" t="inlineStr">
        <is>
          <t>H2 21: rectifier transformer 3 (7 MVA)</t>
        </is>
      </c>
      <c r="I5497" s="12" t="inlineStr">
        <is>
          <t>Control</t>
        </is>
      </c>
      <c r="J5497" s="12" t="inlineStr">
        <is>
          <t>ARMOR-X MC-HL 600 V control, Cu #14 AWG (Class I Div 2)</t>
        </is>
      </c>
      <c r="K5497" s="12" t="inlineStr">
        <is>
          <t>CTAX|7/C|14</t>
        </is>
      </c>
      <c r="L5497" s="12" t="inlineStr">
        <is>
          <t>7/C</t>
        </is>
      </c>
      <c r="M5497" s="12" t="inlineStr">
        <is>
          <t>14</t>
        </is>
      </c>
      <c r="N5497" s="12" t="n">
        <v>1</v>
      </c>
      <c r="O5497" s="12" t="n">
        <v>1</v>
      </c>
      <c r="P5497" s="12" t="n"/>
      <c r="Q5497" s="12" t="n"/>
      <c r="R5497" s="12" t="n"/>
      <c r="S5497" s="12" t="inlineStr">
        <is>
          <t>Duct bank</t>
        </is>
      </c>
      <c r="T5497" s="16" t="n">
        <v>334</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K-C-0022</t>
        </is>
      </c>
      <c r="B5498" s="12" t="inlineStr">
        <is>
          <t>K</t>
        </is>
      </c>
      <c r="C5498" s="12" t="inlineStr">
        <is>
          <t>Fuel supply (adjacent market)</t>
        </is>
      </c>
      <c r="D5498" s="12" t="inlineStr">
        <is>
          <t>Solenoid to JB JB-H2 21: rectifier t-SOL01: 2 x 2/C (field cables)</t>
        </is>
      </c>
      <c r="E5498" s="12" t="inlineStr"/>
      <c r="F5498" s="12" t="inlineStr">
        <is>
          <t>H2 21: rectifier transformer 3 (7 MVA)</t>
        </is>
      </c>
      <c r="G5498" s="12" t="inlineStr">
        <is>
          <t>JB-H2 21: rectifier t-SOL01</t>
        </is>
      </c>
      <c r="H5498" s="12" t="inlineStr">
        <is>
          <t>H2 21: rectifier transformer 3 (7 MVA)</t>
        </is>
      </c>
      <c r="I5498" s="12" t="inlineStr">
        <is>
          <t>Control</t>
        </is>
      </c>
      <c r="J5498" s="12" t="inlineStr">
        <is>
          <t>ARMOR-X MC-HL 600 V control, Cu #14 AWG (Class I Div 2)</t>
        </is>
      </c>
      <c r="K5498" s="12" t="inlineStr">
        <is>
          <t>CTAX|2/C|14</t>
        </is>
      </c>
      <c r="L5498" s="12" t="inlineStr">
        <is>
          <t>2/C</t>
        </is>
      </c>
      <c r="M5498" s="12" t="inlineStr">
        <is>
          <t>14</t>
        </is>
      </c>
      <c r="N5498" s="12" t="n">
        <v>2</v>
      </c>
      <c r="O5498" s="12" t="n">
        <v>1</v>
      </c>
      <c r="P5498" s="12" t="n"/>
      <c r="Q5498" s="12" t="n"/>
      <c r="R5498" s="12" t="n"/>
      <c r="S5498" s="12" t="inlineStr">
        <is>
          <t>Tray / conduit</t>
        </is>
      </c>
      <c r="T5498" s="16" t="n">
        <v>41</v>
      </c>
      <c r="U5498" s="16" t="n">
        <v>10</v>
      </c>
      <c r="V5498" s="16">
        <f>ROUNDUP((T5498+U5498+2*'Read Me'!$B$13)*(1+'Read Me'!$B$12),-1)</f>
        <v/>
      </c>
      <c r="W5498" s="16">
        <f>V5498*N5498*O5498</f>
        <v/>
      </c>
      <c r="X5498" s="12">
        <f>IF(LEFT(I5498,2)="MV",2*N5498*IF(L5498="1/C",O5498,1),0)</f>
        <v/>
      </c>
      <c r="Y5498" s="12">
        <f>IF(OR(LEFT(K5498,4)="LVAX",LEFT(K5498,6)="MV15AX",LEFT(K5498,4)="CTAX",LEFT(K5498,2)="W|"),2*N5498*O5498,0)</f>
        <v/>
      </c>
      <c r="Z5498" s="12" t="inlineStr">
        <is>
          <t>device-to-JB field wiring, one cable per device</t>
        </is>
      </c>
      <c r="AA5498" s="12">
        <f>N5498*O5498</f>
        <v/>
      </c>
    </row>
    <row r="5499">
      <c r="A5499" s="12" t="inlineStr">
        <is>
          <t>K-C-0023</t>
        </is>
      </c>
      <c r="B5499" s="12" t="inlineStr">
        <is>
          <t>K</t>
        </is>
      </c>
      <c r="C5499" s="12" t="inlineStr">
        <is>
          <t>Fuel supply (adjacent market)</t>
        </is>
      </c>
      <c r="D5499" s="12" t="inlineStr">
        <is>
          <t>Home run JB-H2 21: rectifier t-SOL01 to the control / marshalling room</t>
        </is>
      </c>
      <c r="E5499" s="12" t="inlineStr"/>
      <c r="F5499" s="12" t="inlineStr">
        <is>
          <t>H2 20: 13.8 kV e-house</t>
        </is>
      </c>
      <c r="G5499" s="12" t="inlineStr">
        <is>
          <t>JB-H2 21: rectifier t-SOL01</t>
        </is>
      </c>
      <c r="H5499" s="12" t="inlineStr">
        <is>
          <t>H2 21: rectifier transformer 3 (7 MVA)</t>
        </is>
      </c>
      <c r="I5499" s="12" t="inlineStr">
        <is>
          <t>Control</t>
        </is>
      </c>
      <c r="J5499" s="12" t="inlineStr">
        <is>
          <t>ARMOR-X MC-HL 600 V control, Cu #14 AWG (Class I Div 2)</t>
        </is>
      </c>
      <c r="K5499" s="12" t="inlineStr">
        <is>
          <t>CTAX|25/C|14</t>
        </is>
      </c>
      <c r="L5499" s="12" t="inlineStr">
        <is>
          <t>25/C</t>
        </is>
      </c>
      <c r="M5499" s="12" t="inlineStr">
        <is>
          <t>14</t>
        </is>
      </c>
      <c r="N5499" s="12" t="n">
        <v>1</v>
      </c>
      <c r="O5499" s="12" t="n">
        <v>1</v>
      </c>
      <c r="P5499" s="12" t="n"/>
      <c r="Q5499" s="12" t="n"/>
      <c r="R5499" s="12" t="n"/>
      <c r="S5499" s="12" t="inlineStr">
        <is>
          <t>Duct bank</t>
        </is>
      </c>
      <c r="T5499" s="16" t="n">
        <v>334</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K-C-0024</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3 (7 MVA)</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6" t="n">
        <v>334</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K-C-0025</t>
        </is>
      </c>
      <c r="B5501" s="12" t="inlineStr">
        <is>
          <t>K</t>
        </is>
      </c>
      <c r="C5501" s="12" t="inlineStr">
        <is>
          <t>Fuel supply (adjacent market)</t>
        </is>
      </c>
      <c r="D5501" s="12" t="inlineStr">
        <is>
          <t>Control</t>
        </is>
      </c>
      <c r="E5501" s="12" t="inlineStr"/>
      <c r="F5501" s="12" t="inlineStr">
        <is>
          <t>H2 20: 13.8 kV e-house</t>
        </is>
      </c>
      <c r="G5501" s="12" t="inlineStr"/>
      <c r="H5501" s="12" t="inlineStr">
        <is>
          <t>H2 21: rectifier transformer 3 (7 MVA)</t>
        </is>
      </c>
      <c r="I5501" s="12" t="inlineStr">
        <is>
          <t>Control</t>
        </is>
      </c>
      <c r="J5501" s="12" t="inlineStr">
        <is>
          <t>ARMOR-X MC-HL 600 V control, Cu #14 AWG (Class I Div 2)</t>
        </is>
      </c>
      <c r="K5501" s="12" t="inlineStr">
        <is>
          <t>CTAX|12/C|14</t>
        </is>
      </c>
      <c r="L5501" s="12" t="inlineStr">
        <is>
          <t>12/C</t>
        </is>
      </c>
      <c r="M5501" s="12" t="inlineStr">
        <is>
          <t>14</t>
        </is>
      </c>
      <c r="N5501" s="12" t="n">
        <v>1</v>
      </c>
      <c r="O5501" s="12" t="n">
        <v>1</v>
      </c>
      <c r="P5501" s="12" t="n"/>
      <c r="Q5501" s="12" t="n"/>
      <c r="R5501" s="12" t="n"/>
      <c r="S5501" s="12" t="inlineStr">
        <is>
          <t>Duct bank</t>
        </is>
      </c>
      <c r="T5501" s="16" t="n">
        <v>334</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K-C-0026</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3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334</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K-C-0027</t>
        </is>
      </c>
      <c r="B5503" s="12" t="inlineStr">
        <is>
          <t>K</t>
        </is>
      </c>
      <c r="C5503" s="12" t="inlineStr">
        <is>
          <t>Fuel supply (adjacent market)</t>
        </is>
      </c>
      <c r="D5503" s="12" t="inlineStr">
        <is>
          <t>CT / VT</t>
        </is>
      </c>
      <c r="E5503" s="12" t="inlineStr"/>
      <c r="F5503" s="12" t="inlineStr">
        <is>
          <t>H2 20: 13.8 kV e-house</t>
        </is>
      </c>
      <c r="G5503" s="12" t="inlineStr"/>
      <c r="H5503" s="12" t="inlineStr">
        <is>
          <t>H2 21: rectifier transformer 3 (7 MVA)</t>
        </is>
      </c>
      <c r="I5503" s="12" t="inlineStr">
        <is>
          <t>Control</t>
        </is>
      </c>
      <c r="J5503" s="12" t="inlineStr">
        <is>
          <t>Control cable 600 V Type TC-ER, Cu #10 AWG (CT / VT circuits)</t>
        </is>
      </c>
      <c r="K5503" s="12" t="inlineStr">
        <is>
          <t>CTCT|4/C|10</t>
        </is>
      </c>
      <c r="L5503" s="12" t="inlineStr">
        <is>
          <t>4/C</t>
        </is>
      </c>
      <c r="M5503" s="12" t="inlineStr">
        <is>
          <t>10</t>
        </is>
      </c>
      <c r="N5503" s="12" t="n">
        <v>1</v>
      </c>
      <c r="O5503" s="12" t="n">
        <v>1</v>
      </c>
      <c r="P5503" s="12" t="n"/>
      <c r="Q5503" s="12" t="n"/>
      <c r="R5503" s="12" t="n"/>
      <c r="S5503" s="12" t="inlineStr">
        <is>
          <t>Duct bank</t>
        </is>
      </c>
      <c r="T5503" s="16" t="n">
        <v>334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K-C-0028</t>
        </is>
      </c>
      <c r="B5504" s="12" t="inlineStr">
        <is>
          <t>K</t>
        </is>
      </c>
      <c r="C5504" s="12" t="inlineStr">
        <is>
          <t>Fuel supply (adjacent market)</t>
        </is>
      </c>
      <c r="D5504" s="12" t="inlineStr">
        <is>
          <t>Motor 1 of 1: control / local station</t>
        </is>
      </c>
      <c r="E5504" s="12" t="inlineStr"/>
      <c r="F5504" s="12" t="inlineStr">
        <is>
          <t>H2 20: 13.8 kV e-house</t>
        </is>
      </c>
      <c r="G5504" s="12" t="inlineStr"/>
      <c r="H5504" s="12" t="inlineStr">
        <is>
          <t>H2 21: rectifier transformer 4 (7 MVA)</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6" t="n">
        <v>312</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K-C-0029</t>
        </is>
      </c>
      <c r="B5505" s="12" t="inlineStr">
        <is>
          <t>K</t>
        </is>
      </c>
      <c r="C5505" s="12" t="inlineStr">
        <is>
          <t>Fuel supply (adjacent market)</t>
        </is>
      </c>
      <c r="D5505" s="12" t="inlineStr">
        <is>
          <t>Solenoid to JB JB-H2 21: rectifier t-SOL01: 2 x 2/C (field cables)</t>
        </is>
      </c>
      <c r="E5505" s="12" t="inlineStr"/>
      <c r="F5505" s="12" t="inlineStr">
        <is>
          <t>H2 21: rectifier transformer 4 (7 MVA)</t>
        </is>
      </c>
      <c r="G5505" s="12" t="inlineStr">
        <is>
          <t>JB-H2 21: rectifier t-SOL01</t>
        </is>
      </c>
      <c r="H5505" s="12" t="inlineStr">
        <is>
          <t>H2 21: rectifier transformer 4 (7 MVA)</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6" t="n">
        <v>41</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K-C-0030</t>
        </is>
      </c>
      <c r="B5506" s="12" t="inlineStr">
        <is>
          <t>K</t>
        </is>
      </c>
      <c r="C5506" s="12" t="inlineStr">
        <is>
          <t>Fuel supply (adjacent market)</t>
        </is>
      </c>
      <c r="D5506" s="12" t="inlineStr">
        <is>
          <t>Home run JB-H2 21: rectifier t-SOL01 to the control / marshalling room</t>
        </is>
      </c>
      <c r="E5506" s="12" t="inlineStr"/>
      <c r="F5506" s="12" t="inlineStr">
        <is>
          <t>H2 20: 13.8 kV e-house</t>
        </is>
      </c>
      <c r="G5506" s="12" t="inlineStr">
        <is>
          <t>JB-H2 21: rectifier t-SOL01</t>
        </is>
      </c>
      <c r="H5506" s="12" t="inlineStr">
        <is>
          <t>H2 21: rectifier transformer 4 (7 MVA)</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6" t="n">
        <v>312</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K-C-0031</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4 (7 MVA)</t>
        </is>
      </c>
      <c r="I5507" s="12" t="inlineStr">
        <is>
          <t>Control</t>
        </is>
      </c>
      <c r="J5507" s="12" t="inlineStr">
        <is>
          <t>ARMOR-X MC-HL 600 V control, Cu #14 AWG (Class I Div 2)</t>
        </is>
      </c>
      <c r="K5507" s="12" t="inlineStr">
        <is>
          <t>CTAX|7/C|14</t>
        </is>
      </c>
      <c r="L5507" s="12" t="inlineStr">
        <is>
          <t>7/C</t>
        </is>
      </c>
      <c r="M5507" s="12" t="inlineStr">
        <is>
          <t>14</t>
        </is>
      </c>
      <c r="N5507" s="12" t="n">
        <v>1</v>
      </c>
      <c r="O5507" s="12" t="n">
        <v>1</v>
      </c>
      <c r="P5507" s="12" t="n"/>
      <c r="Q5507" s="12" t="n"/>
      <c r="R5507" s="12" t="n"/>
      <c r="S5507" s="12" t="inlineStr">
        <is>
          <t>Duct bank</t>
        </is>
      </c>
      <c r="T5507" s="16" t="n">
        <v>312</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K-C-0032</t>
        </is>
      </c>
      <c r="B5508" s="12" t="inlineStr">
        <is>
          <t>K</t>
        </is>
      </c>
      <c r="C5508" s="12" t="inlineStr">
        <is>
          <t>Fuel supply (adjacent market)</t>
        </is>
      </c>
      <c r="D5508" s="12" t="inlineStr">
        <is>
          <t>Control</t>
        </is>
      </c>
      <c r="E5508" s="12" t="inlineStr"/>
      <c r="F5508" s="12" t="inlineStr">
        <is>
          <t>H2 20: 13.8 kV e-house</t>
        </is>
      </c>
      <c r="G5508" s="12" t="inlineStr"/>
      <c r="H5508" s="12" t="inlineStr">
        <is>
          <t>H2 21: rectifier transformer 4 (7 MVA)</t>
        </is>
      </c>
      <c r="I5508" s="12" t="inlineStr">
        <is>
          <t>Control</t>
        </is>
      </c>
      <c r="J5508" s="12" t="inlineStr">
        <is>
          <t>ARMOR-X MC-HL 600 V control, Cu #14 AWG (Class I Div 2)</t>
        </is>
      </c>
      <c r="K5508" s="12" t="inlineStr">
        <is>
          <t>CTAX|12/C|14</t>
        </is>
      </c>
      <c r="L5508" s="12" t="inlineStr">
        <is>
          <t>12/C</t>
        </is>
      </c>
      <c r="M5508" s="12" t="inlineStr">
        <is>
          <t>14</t>
        </is>
      </c>
      <c r="N5508" s="12" t="n">
        <v>1</v>
      </c>
      <c r="O5508" s="12" t="n">
        <v>1</v>
      </c>
      <c r="P5508" s="12" t="n"/>
      <c r="Q5508" s="12" t="n"/>
      <c r="R5508" s="12" t="n"/>
      <c r="S5508" s="12" t="inlineStr">
        <is>
          <t>Duct bank</t>
        </is>
      </c>
      <c r="T5508" s="16" t="n">
        <v>312</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K-C-0033</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4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312</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K-C-0034</t>
        </is>
      </c>
      <c r="B5510" s="12" t="inlineStr">
        <is>
          <t>K</t>
        </is>
      </c>
      <c r="C5510" s="12" t="inlineStr">
        <is>
          <t>Fuel supply (adjacent market)</t>
        </is>
      </c>
      <c r="D5510" s="12" t="inlineStr">
        <is>
          <t>CT / VT</t>
        </is>
      </c>
      <c r="E5510" s="12" t="inlineStr"/>
      <c r="F5510" s="12" t="inlineStr">
        <is>
          <t>H2 20: 13.8 kV e-house</t>
        </is>
      </c>
      <c r="G5510" s="12" t="inlineStr"/>
      <c r="H5510" s="12" t="inlineStr">
        <is>
          <t>H2 21: rectifier transformer 4 (7 MVA)</t>
        </is>
      </c>
      <c r="I5510" s="12" t="inlineStr">
        <is>
          <t>Control</t>
        </is>
      </c>
      <c r="J5510" s="12" t="inlineStr">
        <is>
          <t>Control cable 600 V Type TC-ER, Cu #10 AWG (CT / VT circuits)</t>
        </is>
      </c>
      <c r="K5510" s="12" t="inlineStr">
        <is>
          <t>CTCT|4/C|10</t>
        </is>
      </c>
      <c r="L5510" s="12" t="inlineStr">
        <is>
          <t>4/C</t>
        </is>
      </c>
      <c r="M5510" s="12" t="inlineStr">
        <is>
          <t>10</t>
        </is>
      </c>
      <c r="N5510" s="12" t="n">
        <v>1</v>
      </c>
      <c r="O5510" s="12" t="n">
        <v>1</v>
      </c>
      <c r="P5510" s="12" t="n"/>
      <c r="Q5510" s="12" t="n"/>
      <c r="R5510" s="12" t="n"/>
      <c r="S5510" s="12" t="inlineStr">
        <is>
          <t>Duct bank</t>
        </is>
      </c>
      <c r="T5510" s="16" t="n">
        <v>312</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K-C-0035</t>
        </is>
      </c>
      <c r="B5511" s="12" t="inlineStr">
        <is>
          <t>K</t>
        </is>
      </c>
      <c r="C5511" s="12" t="inlineStr">
        <is>
          <t>Fuel supply (adjacent market)</t>
        </is>
      </c>
      <c r="D5511" s="12" t="inlineStr">
        <is>
          <t>Motor 1 of 1: control / local station</t>
        </is>
      </c>
      <c r="E5511" s="12" t="inlineStr"/>
      <c r="F5511" s="12" t="inlineStr">
        <is>
          <t>H2 20: 13.8 kV e-house</t>
        </is>
      </c>
      <c r="G5511" s="12" t="inlineStr"/>
      <c r="H5511" s="12" t="inlineStr">
        <is>
          <t>H2 21: rectifier transformer 5 (7 MVA)</t>
        </is>
      </c>
      <c r="I5511" s="12" t="inlineStr">
        <is>
          <t>Control</t>
        </is>
      </c>
      <c r="J5511" s="12" t="inlineStr">
        <is>
          <t>ARMOR-X MC-HL 600 V control, Cu #14 AWG (Class I Div 2)</t>
        </is>
      </c>
      <c r="K5511" s="12" t="inlineStr">
        <is>
          <t>CTAX|7/C|14</t>
        </is>
      </c>
      <c r="L5511" s="12" t="inlineStr">
        <is>
          <t>7/C</t>
        </is>
      </c>
      <c r="M5511" s="12" t="inlineStr">
        <is>
          <t>14</t>
        </is>
      </c>
      <c r="N5511" s="12" t="n">
        <v>1</v>
      </c>
      <c r="O5511" s="12" t="n">
        <v>1</v>
      </c>
      <c r="P5511" s="12" t="n"/>
      <c r="Q5511" s="12" t="n"/>
      <c r="R5511" s="12" t="n"/>
      <c r="S5511" s="12" t="inlineStr">
        <is>
          <t>Duct bank</t>
        </is>
      </c>
      <c r="T5511" s="16" t="n">
        <v>254</v>
      </c>
      <c r="U5511" s="16" t="n">
        <v>32</v>
      </c>
      <c r="V5511" s="16">
        <f>ROUNDUP((T5511+U5511+2*'Read Me'!$B$13)*(1+'Read Me'!$B$12),-1)</f>
        <v/>
      </c>
      <c r="W5511" s="16">
        <f>V5511*N5511*O5511</f>
        <v/>
      </c>
      <c r="X5511" s="12">
        <f>IF(LEFT(I5511,2)="MV",2*N5511*IF(L5511="1/C",O5511,1),0)</f>
        <v/>
      </c>
      <c r="Y5511" s="12">
        <f>IF(OR(LEFT(K5511,4)="LVAX",LEFT(K5511,6)="MV15AX",LEFT(K5511,4)="CTAX",LEFT(K5511,2)="W|"),2*N5511*O5511,0)</f>
        <v/>
      </c>
      <c r="Z5511" s="12" t="inlineStr"/>
      <c r="AA5511" s="12">
        <f>N5511*O5511</f>
        <v/>
      </c>
    </row>
    <row r="5512">
      <c r="A5512" s="12" t="inlineStr">
        <is>
          <t>K-C-0036</t>
        </is>
      </c>
      <c r="B5512" s="12" t="inlineStr">
        <is>
          <t>K</t>
        </is>
      </c>
      <c r="C5512" s="12" t="inlineStr">
        <is>
          <t>Fuel supply (adjacent market)</t>
        </is>
      </c>
      <c r="D5512" s="12" t="inlineStr">
        <is>
          <t>Solenoid to JB JB-H2 21: rectifier t-SOL01: 2 x 2/C (field cables)</t>
        </is>
      </c>
      <c r="E5512" s="12" t="inlineStr"/>
      <c r="F5512" s="12" t="inlineStr">
        <is>
          <t>H2 21: rectifier transformer 5 (7 MVA)</t>
        </is>
      </c>
      <c r="G5512" s="12" t="inlineStr">
        <is>
          <t>JB-H2 21: rectifier t-SOL01</t>
        </is>
      </c>
      <c r="H5512" s="12" t="inlineStr">
        <is>
          <t>H2 21: rectifier transformer 5 (7 MVA)</t>
        </is>
      </c>
      <c r="I5512" s="12" t="inlineStr">
        <is>
          <t>Control</t>
        </is>
      </c>
      <c r="J5512" s="12" t="inlineStr">
        <is>
          <t>ARMOR-X MC-HL 600 V control, Cu #14 AWG (Class I Div 2)</t>
        </is>
      </c>
      <c r="K5512" s="12" t="inlineStr">
        <is>
          <t>CTAX|2/C|14</t>
        </is>
      </c>
      <c r="L5512" s="12" t="inlineStr">
        <is>
          <t>2/C</t>
        </is>
      </c>
      <c r="M5512" s="12" t="inlineStr">
        <is>
          <t>14</t>
        </is>
      </c>
      <c r="N5512" s="12" t="n">
        <v>2</v>
      </c>
      <c r="O5512" s="12" t="n">
        <v>1</v>
      </c>
      <c r="P5512" s="12" t="n"/>
      <c r="Q5512" s="12" t="n"/>
      <c r="R5512" s="12" t="n"/>
      <c r="S5512" s="12" t="inlineStr">
        <is>
          <t>Tray / conduit</t>
        </is>
      </c>
      <c r="T5512" s="16" t="n">
        <v>41</v>
      </c>
      <c r="U5512" s="16" t="n">
        <v>10</v>
      </c>
      <c r="V5512" s="16">
        <f>ROUNDUP((T5512+U5512+2*'Read Me'!$B$13)*(1+'Read Me'!$B$12),-1)</f>
        <v/>
      </c>
      <c r="W5512" s="16">
        <f>V5512*N5512*O5512</f>
        <v/>
      </c>
      <c r="X5512" s="12">
        <f>IF(LEFT(I5512,2)="MV",2*N5512*IF(L5512="1/C",O5512,1),0)</f>
        <v/>
      </c>
      <c r="Y5512" s="12">
        <f>IF(OR(LEFT(K5512,4)="LVAX",LEFT(K5512,6)="MV15AX",LEFT(K5512,4)="CTAX",LEFT(K5512,2)="W|"),2*N5512*O5512,0)</f>
        <v/>
      </c>
      <c r="Z5512" s="12" t="inlineStr">
        <is>
          <t>device-to-JB field wiring, one cable per device</t>
        </is>
      </c>
      <c r="AA5512" s="12">
        <f>N5512*O5512</f>
        <v/>
      </c>
    </row>
    <row r="5513">
      <c r="A5513" s="12" t="inlineStr">
        <is>
          <t>K-C-0037</t>
        </is>
      </c>
      <c r="B5513" s="12" t="inlineStr">
        <is>
          <t>K</t>
        </is>
      </c>
      <c r="C5513" s="12" t="inlineStr">
        <is>
          <t>Fuel supply (adjacent market)</t>
        </is>
      </c>
      <c r="D5513" s="12" t="inlineStr">
        <is>
          <t>Home run JB-H2 21: rectifier t-SOL01 to the control / marshalling room</t>
        </is>
      </c>
      <c r="E5513" s="12" t="inlineStr"/>
      <c r="F5513" s="12" t="inlineStr">
        <is>
          <t>H2 20: 13.8 kV e-house</t>
        </is>
      </c>
      <c r="G5513" s="12" t="inlineStr">
        <is>
          <t>JB-H2 21: rectifier t-SOL01</t>
        </is>
      </c>
      <c r="H5513" s="12" t="inlineStr">
        <is>
          <t>H2 21: rectifier transformer 5 (7 MVA)</t>
        </is>
      </c>
      <c r="I5513" s="12" t="inlineStr">
        <is>
          <t>Control</t>
        </is>
      </c>
      <c r="J5513" s="12" t="inlineStr">
        <is>
          <t>ARMOR-X MC-HL 600 V control, Cu #14 AWG (Class I Div 2)</t>
        </is>
      </c>
      <c r="K5513" s="12" t="inlineStr">
        <is>
          <t>CTAX|25/C|14</t>
        </is>
      </c>
      <c r="L5513" s="12" t="inlineStr">
        <is>
          <t>25/C</t>
        </is>
      </c>
      <c r="M5513" s="12" t="inlineStr">
        <is>
          <t>14</t>
        </is>
      </c>
      <c r="N5513" s="12" t="n">
        <v>1</v>
      </c>
      <c r="O5513" s="12" t="n">
        <v>1</v>
      </c>
      <c r="P5513" s="12" t="n"/>
      <c r="Q5513" s="12" t="n"/>
      <c r="R5513" s="12" t="n"/>
      <c r="S5513" s="12" t="inlineStr">
        <is>
          <t>Duct bank</t>
        </is>
      </c>
      <c r="T5513" s="16" t="n">
        <v>254</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K-C-0038</t>
        </is>
      </c>
      <c r="B5514" s="12" t="inlineStr">
        <is>
          <t>K</t>
        </is>
      </c>
      <c r="C5514" s="12" t="inlineStr">
        <is>
          <t>Fuel supply (adjacent market)</t>
        </is>
      </c>
      <c r="D5514" s="12" t="inlineStr">
        <is>
          <t>Control</t>
        </is>
      </c>
      <c r="E5514" s="12" t="inlineStr"/>
      <c r="F5514" s="12" t="inlineStr">
        <is>
          <t>H2 20: 13.8 kV e-house</t>
        </is>
      </c>
      <c r="G5514" s="12" t="inlineStr"/>
      <c r="H5514" s="12" t="inlineStr">
        <is>
          <t>H2 21: rectifier transformer 5 (7 MVA)</t>
        </is>
      </c>
      <c r="I5514" s="12" t="inlineStr">
        <is>
          <t>Control</t>
        </is>
      </c>
      <c r="J5514" s="12" t="inlineStr">
        <is>
          <t>ARMOR-X MC-HL 600 V control, Cu #14 AWG (Class I Div 2)</t>
        </is>
      </c>
      <c r="K5514" s="12" t="inlineStr">
        <is>
          <t>CTAX|7/C|14</t>
        </is>
      </c>
      <c r="L5514" s="12" t="inlineStr">
        <is>
          <t>7/C</t>
        </is>
      </c>
      <c r="M5514" s="12" t="inlineStr">
        <is>
          <t>14</t>
        </is>
      </c>
      <c r="N5514" s="12" t="n">
        <v>1</v>
      </c>
      <c r="O5514" s="12" t="n">
        <v>1</v>
      </c>
      <c r="P5514" s="12" t="n"/>
      <c r="Q5514" s="12" t="n"/>
      <c r="R5514" s="12" t="n"/>
      <c r="S5514" s="12" t="inlineStr">
        <is>
          <t>Duct bank</t>
        </is>
      </c>
      <c r="T5514" s="16" t="n">
        <v>254</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K-C-0039</t>
        </is>
      </c>
      <c r="B5515" s="12" t="inlineStr">
        <is>
          <t>K</t>
        </is>
      </c>
      <c r="C5515" s="12" t="inlineStr">
        <is>
          <t>Fuel supply (adjacent market)</t>
        </is>
      </c>
      <c r="D5515" s="12" t="inlineStr">
        <is>
          <t>Control</t>
        </is>
      </c>
      <c r="E5515" s="12" t="inlineStr"/>
      <c r="F5515" s="12" t="inlineStr">
        <is>
          <t>H2 20: 13.8 kV e-house</t>
        </is>
      </c>
      <c r="G5515" s="12" t="inlineStr"/>
      <c r="H5515" s="12" t="inlineStr">
        <is>
          <t>H2 21: rectifier transformer 5 (7 MVA)</t>
        </is>
      </c>
      <c r="I5515" s="12" t="inlineStr">
        <is>
          <t>Control</t>
        </is>
      </c>
      <c r="J5515" s="12" t="inlineStr">
        <is>
          <t>ARMOR-X MC-HL 600 V control, Cu #14 AWG (Class I Div 2)</t>
        </is>
      </c>
      <c r="K5515" s="12" t="inlineStr">
        <is>
          <t>CTAX|12/C|14</t>
        </is>
      </c>
      <c r="L5515" s="12" t="inlineStr">
        <is>
          <t>12/C</t>
        </is>
      </c>
      <c r="M5515" s="12" t="inlineStr">
        <is>
          <t>14</t>
        </is>
      </c>
      <c r="N5515" s="12" t="n">
        <v>1</v>
      </c>
      <c r="O5515" s="12" t="n">
        <v>1</v>
      </c>
      <c r="P5515" s="12" t="n"/>
      <c r="Q5515" s="12" t="n"/>
      <c r="R5515" s="12" t="n"/>
      <c r="S5515" s="12" t="inlineStr">
        <is>
          <t>Duct bank</t>
        </is>
      </c>
      <c r="T5515" s="16" t="n">
        <v>254</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K-C-0040</t>
        </is>
      </c>
      <c r="B5516" s="12" t="inlineStr">
        <is>
          <t>K</t>
        </is>
      </c>
      <c r="C5516" s="12" t="inlineStr">
        <is>
          <t>Fuel supply (adjacent market)</t>
        </is>
      </c>
      <c r="D5516" s="12" t="inlineStr">
        <is>
          <t>CT / VT</t>
        </is>
      </c>
      <c r="E5516" s="12" t="inlineStr"/>
      <c r="F5516" s="12" t="inlineStr">
        <is>
          <t>H2 20: 13.8 kV e-house</t>
        </is>
      </c>
      <c r="G5516" s="12" t="inlineStr"/>
      <c r="H5516" s="12" t="inlineStr">
        <is>
          <t>H2 21: rectifier transformer 5 (7 MVA)</t>
        </is>
      </c>
      <c r="I5516" s="12" t="inlineStr">
        <is>
          <t>Control</t>
        </is>
      </c>
      <c r="J5516" s="12" t="inlineStr">
        <is>
          <t>Control cable 600 V Type TC-ER, Cu #10 AWG (CT / VT circuits)</t>
        </is>
      </c>
      <c r="K5516" s="12" t="inlineStr">
        <is>
          <t>CTCT|4/C|10</t>
        </is>
      </c>
      <c r="L5516" s="12" t="inlineStr">
        <is>
          <t>4/C</t>
        </is>
      </c>
      <c r="M5516" s="12" t="inlineStr">
        <is>
          <t>10</t>
        </is>
      </c>
      <c r="N5516" s="12" t="n">
        <v>1</v>
      </c>
      <c r="O5516" s="12" t="n">
        <v>1</v>
      </c>
      <c r="P5516" s="12" t="n"/>
      <c r="Q5516" s="12" t="n"/>
      <c r="R5516" s="12" t="n"/>
      <c r="S5516" s="12" t="inlineStr">
        <is>
          <t>Duct bank</t>
        </is>
      </c>
      <c r="T5516" s="16" t="n">
        <v>254</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K-C-0041</t>
        </is>
      </c>
      <c r="B5517" s="12" t="inlineStr">
        <is>
          <t>K</t>
        </is>
      </c>
      <c r="C5517" s="12" t="inlineStr">
        <is>
          <t>Fuel supply (adjacent market)</t>
        </is>
      </c>
      <c r="D5517" s="12" t="inlineStr">
        <is>
          <t>CT / VT</t>
        </is>
      </c>
      <c r="E5517" s="12" t="inlineStr"/>
      <c r="F5517" s="12" t="inlineStr">
        <is>
          <t>H2 20: 13.8 kV e-house</t>
        </is>
      </c>
      <c r="G5517" s="12" t="inlineStr"/>
      <c r="H5517" s="12" t="inlineStr">
        <is>
          <t>H2 21: rectifier transformer 5 (7 MVA)</t>
        </is>
      </c>
      <c r="I5517" s="12" t="inlineStr">
        <is>
          <t>Control</t>
        </is>
      </c>
      <c r="J5517" s="12" t="inlineStr">
        <is>
          <t>Control cable 600 V Type TC-ER, Cu #10 AWG (CT / VT circuits)</t>
        </is>
      </c>
      <c r="K5517" s="12" t="inlineStr">
        <is>
          <t>CTCT|4/C|10</t>
        </is>
      </c>
      <c r="L5517" s="12" t="inlineStr">
        <is>
          <t>4/C</t>
        </is>
      </c>
      <c r="M5517" s="12" t="inlineStr">
        <is>
          <t>10</t>
        </is>
      </c>
      <c r="N5517" s="12" t="n">
        <v>1</v>
      </c>
      <c r="O5517" s="12" t="n">
        <v>1</v>
      </c>
      <c r="P5517" s="12" t="n"/>
      <c r="Q5517" s="12" t="n"/>
      <c r="R5517" s="12" t="n"/>
      <c r="S5517" s="12" t="inlineStr">
        <is>
          <t>Duct bank</t>
        </is>
      </c>
      <c r="T5517" s="16" t="n">
        <v>254</v>
      </c>
      <c r="U5517" s="16" t="n">
        <v>32</v>
      </c>
      <c r="V5517" s="16">
        <f>ROUNDUP((T5517+U5517+2*'Read Me'!$B$13)*(1+'Read Me'!$B$12),-1)</f>
        <v/>
      </c>
      <c r="W5517" s="16">
        <f>V5517*N5517*O5517</f>
        <v/>
      </c>
      <c r="X5517" s="12">
        <f>IF(LEFT(I5517,2)="MV",2*N5517*IF(L5517="1/C",O5517,1),0)</f>
        <v/>
      </c>
      <c r="Y5517" s="12">
        <f>IF(OR(LEFT(K5517,4)="LVAX",LEFT(K5517,6)="MV15AX",LEFT(K5517,4)="CTAX",LEFT(K5517,2)="W|"),2*N5517*O5517,0)</f>
        <v/>
      </c>
      <c r="Z5517" s="12" t="inlineStr"/>
      <c r="AA5517" s="12">
        <f>N5517*O5517</f>
        <v/>
      </c>
    </row>
    <row r="5518">
      <c r="A5518" s="12" t="inlineStr">
        <is>
          <t>K-C-0042</t>
        </is>
      </c>
      <c r="B5518" s="12" t="inlineStr">
        <is>
          <t>K</t>
        </is>
      </c>
      <c r="C5518" s="12" t="inlineStr">
        <is>
          <t>Fuel supply (adjacent market)</t>
        </is>
      </c>
      <c r="D5518" s="12" t="inlineStr">
        <is>
          <t>Motor 1 of 1: control / local station</t>
        </is>
      </c>
      <c r="E5518" s="12" t="inlineStr"/>
      <c r="F5518" s="12" t="inlineStr">
        <is>
          <t>H2 20: 13.8 kV e-house</t>
        </is>
      </c>
      <c r="G5518" s="12" t="inlineStr">
        <is>
          <t>H2-EL</t>
        </is>
      </c>
      <c r="H5518" s="12" t="inlineStr">
        <is>
          <t>H2 22: electrolyzer building (5 x HyLYZER-1000 + 5 rectifiers)</t>
        </is>
      </c>
      <c r="I5518" s="12" t="inlineStr">
        <is>
          <t>Control</t>
        </is>
      </c>
      <c r="J5518" s="12" t="inlineStr">
        <is>
          <t>ARMOR-X MC-HL 600 V control, Cu #14 AWG (Class I Div 2)</t>
        </is>
      </c>
      <c r="K5518" s="12" t="inlineStr">
        <is>
          <t>CTAX|7/C|14</t>
        </is>
      </c>
      <c r="L5518" s="12" t="inlineStr">
        <is>
          <t>7/C</t>
        </is>
      </c>
      <c r="M5518" s="12" t="inlineStr">
        <is>
          <t>14</t>
        </is>
      </c>
      <c r="N5518" s="12" t="n">
        <v>1</v>
      </c>
      <c r="O5518" s="12" t="n">
        <v>1</v>
      </c>
      <c r="P5518" s="12" t="n"/>
      <c r="Q5518" s="12" t="n"/>
      <c r="R5518" s="12" t="n"/>
      <c r="S5518" s="12" t="inlineStr">
        <is>
          <t>Duct bank</t>
        </is>
      </c>
      <c r="T5518" s="16" t="n">
        <v>346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K-C-0043</t>
        </is>
      </c>
      <c r="B5519" s="12" t="inlineStr">
        <is>
          <t>K</t>
        </is>
      </c>
      <c r="C5519" s="12" t="inlineStr">
        <is>
          <t>Fuel supply (adjacent market)</t>
        </is>
      </c>
      <c r="D5519" s="12" t="inlineStr">
        <is>
          <t>Solenoid to JB JB-H2-EL-SOL01: 2 x 2/C (field cables)</t>
        </is>
      </c>
      <c r="E5519" s="12" t="inlineStr">
        <is>
          <t>H2-EL</t>
        </is>
      </c>
      <c r="F5519" s="12" t="inlineStr">
        <is>
          <t>H2 22: electrolyzer building (5 x HyLYZER-1000 + 5 rectifiers)</t>
        </is>
      </c>
      <c r="G5519" s="12" t="inlineStr">
        <is>
          <t>JB-H2-EL-SOL01</t>
        </is>
      </c>
      <c r="H5519" s="12" t="inlineStr">
        <is>
          <t>H2 22: electrolyzer building (5 x HyLYZER-1000 + 5 rectifiers)</t>
        </is>
      </c>
      <c r="I5519" s="12" t="inlineStr">
        <is>
          <t>Control</t>
        </is>
      </c>
      <c r="J5519" s="12" t="inlineStr">
        <is>
          <t>ARMOR-X MC-HL 600 V control, Cu #14 AWG (Class I Div 2)</t>
        </is>
      </c>
      <c r="K5519" s="12" t="inlineStr">
        <is>
          <t>CTAX|2/C|14</t>
        </is>
      </c>
      <c r="L5519" s="12" t="inlineStr">
        <is>
          <t>2/C</t>
        </is>
      </c>
      <c r="M5519" s="12" t="inlineStr">
        <is>
          <t>14</t>
        </is>
      </c>
      <c r="N5519" s="12" t="n">
        <v>2</v>
      </c>
      <c r="O5519" s="12" t="n">
        <v>1</v>
      </c>
      <c r="P5519" s="12" t="n"/>
      <c r="Q5519" s="12" t="n"/>
      <c r="R5519" s="12" t="n"/>
      <c r="S5519" s="12" t="inlineStr">
        <is>
          <t>Tray / conduit</t>
        </is>
      </c>
      <c r="T5519" s="16" t="n">
        <v>157</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K-C-0044</t>
        </is>
      </c>
      <c r="B5520" s="12" t="inlineStr">
        <is>
          <t>K</t>
        </is>
      </c>
      <c r="C5520" s="12" t="inlineStr">
        <is>
          <t>Fuel supply (adjacent market)</t>
        </is>
      </c>
      <c r="D5520" s="12" t="inlineStr">
        <is>
          <t>Home run JB-H2-EL-SOL01 to the control / marshalling room</t>
        </is>
      </c>
      <c r="E5520" s="12" t="inlineStr"/>
      <c r="F5520" s="12" t="inlineStr">
        <is>
          <t>H2 20: 13.8 kV e-house</t>
        </is>
      </c>
      <c r="G5520" s="12" t="inlineStr">
        <is>
          <t>JB-H2-EL-SOL01</t>
        </is>
      </c>
      <c r="H5520" s="12" t="inlineStr">
        <is>
          <t>H2 22: electrolyzer building (5 x HyLYZER-1000 + 5 rectifiers)</t>
        </is>
      </c>
      <c r="I5520" s="12" t="inlineStr">
        <is>
          <t>Control</t>
        </is>
      </c>
      <c r="J5520" s="12" t="inlineStr">
        <is>
          <t>ARMOR-X MC-HL 600 V control, Cu #14 AWG (Class I Div 2)</t>
        </is>
      </c>
      <c r="K5520" s="12" t="inlineStr">
        <is>
          <t>CTAX|25/C|14</t>
        </is>
      </c>
      <c r="L5520" s="12" t="inlineStr">
        <is>
          <t>25/C</t>
        </is>
      </c>
      <c r="M5520" s="12" t="inlineStr">
        <is>
          <t>14</t>
        </is>
      </c>
      <c r="N5520" s="12" t="n">
        <v>1</v>
      </c>
      <c r="O5520" s="12" t="n">
        <v>1</v>
      </c>
      <c r="P5520" s="12" t="n"/>
      <c r="Q5520" s="12" t="n"/>
      <c r="R5520" s="12" t="n"/>
      <c r="S5520" s="12" t="inlineStr">
        <is>
          <t>Duct bank</t>
        </is>
      </c>
      <c r="T5520" s="16" t="n">
        <v>346</v>
      </c>
      <c r="U5520" s="16" t="n">
        <v>32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K-C-0045</t>
        </is>
      </c>
      <c r="B5521" s="12" t="inlineStr">
        <is>
          <t>K</t>
        </is>
      </c>
      <c r="C5521" s="12" t="inlineStr">
        <is>
          <t>Fuel supply (adjacent market)</t>
        </is>
      </c>
      <c r="D5521" s="12" t="inlineStr">
        <is>
          <t>Motor 1 of 1: control / local station</t>
        </is>
      </c>
      <c r="E5521" s="12" t="inlineStr"/>
      <c r="F5521" s="12" t="inlineStr">
        <is>
          <t>H2 20: 13.8 kV e-house</t>
        </is>
      </c>
      <c r="G5521" s="12" t="inlineStr"/>
      <c r="H5521" s="12" t="inlineStr">
        <is>
          <t>H2 23: dry coolers</t>
        </is>
      </c>
      <c r="I5521" s="12" t="inlineStr">
        <is>
          <t>Control</t>
        </is>
      </c>
      <c r="J5521" s="12" t="inlineStr">
        <is>
          <t>ARMOR-X MC-HL 600 V control, Cu #14 AWG (Class I Div 2)</t>
        </is>
      </c>
      <c r="K5521" s="12" t="inlineStr">
        <is>
          <t>CTAX|7/C|14</t>
        </is>
      </c>
      <c r="L5521" s="12" t="inlineStr">
        <is>
          <t>7/C</t>
        </is>
      </c>
      <c r="M5521" s="12" t="inlineStr">
        <is>
          <t>14</t>
        </is>
      </c>
      <c r="N5521" s="12" t="n">
        <v>1</v>
      </c>
      <c r="O5521" s="12" t="n">
        <v>1</v>
      </c>
      <c r="P5521" s="12" t="n"/>
      <c r="Q5521" s="12" t="n"/>
      <c r="R5521" s="12" t="n"/>
      <c r="S5521" s="12" t="inlineStr">
        <is>
          <t>Duct bank</t>
        </is>
      </c>
      <c r="T5521" s="16" t="n">
        <v>100</v>
      </c>
      <c r="U5521" s="16" t="n">
        <v>32</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K-C-0046</t>
        </is>
      </c>
      <c r="B5522" s="12" t="inlineStr">
        <is>
          <t>K</t>
        </is>
      </c>
      <c r="C5522" s="12" t="inlineStr">
        <is>
          <t>Fuel supply (adjacent market)</t>
        </is>
      </c>
      <c r="D5522" s="12" t="inlineStr">
        <is>
          <t>Solenoid to JB JB-H2 23: dry coolers-SOL01: 2 x 2/C (field cables)</t>
        </is>
      </c>
      <c r="E5522" s="12" t="inlineStr"/>
      <c r="F5522" s="12" t="inlineStr">
        <is>
          <t>H2 23: dry coolers</t>
        </is>
      </c>
      <c r="G5522" s="12" t="inlineStr">
        <is>
          <t>JB-H2 23: dry coolers-SOL01</t>
        </is>
      </c>
      <c r="H5522" s="12" t="inlineStr">
        <is>
          <t>H2 23: dry coolers</t>
        </is>
      </c>
      <c r="I5522" s="12" t="inlineStr">
        <is>
          <t>Control</t>
        </is>
      </c>
      <c r="J5522" s="12" t="inlineStr">
        <is>
          <t>ARMOR-X MC-HL 600 V control, Cu #14 AWG (Class I Div 2)</t>
        </is>
      </c>
      <c r="K5522" s="12" t="inlineStr">
        <is>
          <t>CTAX|2/C|14</t>
        </is>
      </c>
      <c r="L5522" s="12" t="inlineStr">
        <is>
          <t>2/C</t>
        </is>
      </c>
      <c r="M5522" s="12" t="inlineStr">
        <is>
          <t>14</t>
        </is>
      </c>
      <c r="N5522" s="12" t="n">
        <v>2</v>
      </c>
      <c r="O5522" s="12" t="n">
        <v>1</v>
      </c>
      <c r="P5522" s="12" t="n"/>
      <c r="Q5522" s="12" t="n"/>
      <c r="R5522" s="12" t="n"/>
      <c r="S5522" s="12" t="inlineStr">
        <is>
          <t>Tray / conduit</t>
        </is>
      </c>
      <c r="T5522" s="16" t="n">
        <v>111</v>
      </c>
      <c r="U5522" s="16" t="n">
        <v>10</v>
      </c>
      <c r="V5522" s="16">
        <f>ROUNDUP((T5522+U5522+2*'Read Me'!$B$13)*(1+'Read Me'!$B$12),-1)</f>
        <v/>
      </c>
      <c r="W5522" s="16">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K-C-0047</t>
        </is>
      </c>
      <c r="B5523" s="12" t="inlineStr">
        <is>
          <t>K</t>
        </is>
      </c>
      <c r="C5523" s="12" t="inlineStr">
        <is>
          <t>Fuel supply (adjacent market)</t>
        </is>
      </c>
      <c r="D5523" s="12" t="inlineStr">
        <is>
          <t>Home run JB-H2 23: dry coolers-SOL01 to the control / marshalling room</t>
        </is>
      </c>
      <c r="E5523" s="12" t="inlineStr"/>
      <c r="F5523" s="12" t="inlineStr">
        <is>
          <t>H2 20: 13.8 kV e-house</t>
        </is>
      </c>
      <c r="G5523" s="12" t="inlineStr">
        <is>
          <t>JB-H2 23: dry coolers-SOL01</t>
        </is>
      </c>
      <c r="H5523" s="12" t="inlineStr">
        <is>
          <t>H2 23: dry coolers</t>
        </is>
      </c>
      <c r="I5523" s="12" t="inlineStr">
        <is>
          <t>Control</t>
        </is>
      </c>
      <c r="J5523" s="12" t="inlineStr">
        <is>
          <t>ARMOR-X MC-HL 600 V control, Cu #14 AWG (Class I Div 2)</t>
        </is>
      </c>
      <c r="K5523" s="12" t="inlineStr">
        <is>
          <t>CTAX|25/C|14</t>
        </is>
      </c>
      <c r="L5523" s="12" t="inlineStr">
        <is>
          <t>25/C</t>
        </is>
      </c>
      <c r="M5523" s="12" t="inlineStr">
        <is>
          <t>14</t>
        </is>
      </c>
      <c r="N5523" s="12" t="n">
        <v>1</v>
      </c>
      <c r="O5523" s="12" t="n">
        <v>1</v>
      </c>
      <c r="P5523" s="12" t="n"/>
      <c r="Q5523" s="12" t="n"/>
      <c r="R5523" s="12" t="n"/>
      <c r="S5523" s="12" t="inlineStr">
        <is>
          <t>Duct bank</t>
        </is>
      </c>
      <c r="T5523" s="16" t="n">
        <v>100</v>
      </c>
      <c r="U5523" s="16" t="n">
        <v>32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K-C-0048</t>
        </is>
      </c>
      <c r="B5524" s="12" t="inlineStr">
        <is>
          <t>K</t>
        </is>
      </c>
      <c r="C5524" s="12" t="inlineStr">
        <is>
          <t>Fuel supply (adjacent market)</t>
        </is>
      </c>
      <c r="D5524" s="12" t="inlineStr">
        <is>
          <t>Motor 1 of 1: control / local station</t>
        </is>
      </c>
      <c r="E5524" s="12" t="inlineStr"/>
      <c r="F5524" s="12" t="inlineStr">
        <is>
          <t>H2 20: 13.8 kV e-house</t>
        </is>
      </c>
      <c r="G5524" s="12" t="inlineStr"/>
      <c r="H5524" s="12" t="inlineStr">
        <is>
          <t>H2 24: water purification (RO / EDI)</t>
        </is>
      </c>
      <c r="I5524" s="12" t="inlineStr">
        <is>
          <t>Control</t>
        </is>
      </c>
      <c r="J5524" s="12" t="inlineStr">
        <is>
          <t>ARMOR-X MC-HL 600 V control, Cu #14 AWG (Class I Div 2)</t>
        </is>
      </c>
      <c r="K5524" s="12" t="inlineStr">
        <is>
          <t>CTAX|7/C|14</t>
        </is>
      </c>
      <c r="L5524" s="12" t="inlineStr">
        <is>
          <t>7/C</t>
        </is>
      </c>
      <c r="M5524" s="12" t="inlineStr">
        <is>
          <t>14</t>
        </is>
      </c>
      <c r="N5524" s="12" t="n">
        <v>1</v>
      </c>
      <c r="O5524" s="12" t="n">
        <v>1</v>
      </c>
      <c r="P5524" s="12" t="n"/>
      <c r="Q5524" s="12" t="n"/>
      <c r="R5524" s="12" t="n"/>
      <c r="S5524" s="12" t="inlineStr">
        <is>
          <t>Duct bank</t>
        </is>
      </c>
      <c r="T5524" s="16" t="n">
        <v>146</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K-C-0049</t>
        </is>
      </c>
      <c r="B5525" s="12" t="inlineStr">
        <is>
          <t>K</t>
        </is>
      </c>
      <c r="C5525" s="12" t="inlineStr">
        <is>
          <t>Fuel supply (adjacent market)</t>
        </is>
      </c>
      <c r="D5525" s="12" t="inlineStr">
        <is>
          <t>Solenoid to JB JB-H2 24: water purif-SOL01: 2 x 2/C (field cables)</t>
        </is>
      </c>
      <c r="E5525" s="12" t="inlineStr"/>
      <c r="F5525" s="12" t="inlineStr">
        <is>
          <t>H2 24: water purification (RO / EDI)</t>
        </is>
      </c>
      <c r="G5525" s="12" t="inlineStr">
        <is>
          <t>JB-H2 24: water purif-SOL01</t>
        </is>
      </c>
      <c r="H5525" s="12" t="inlineStr">
        <is>
          <t>H2 24: water purification (RO / EDI)</t>
        </is>
      </c>
      <c r="I5525" s="12" t="inlineStr">
        <is>
          <t>Control</t>
        </is>
      </c>
      <c r="J5525" s="12" t="inlineStr">
        <is>
          <t>ARMOR-X MC-HL 600 V control, Cu #14 AWG (Class I Div 2)</t>
        </is>
      </c>
      <c r="K5525" s="12" t="inlineStr">
        <is>
          <t>CTAX|2/C|14</t>
        </is>
      </c>
      <c r="L5525" s="12" t="inlineStr">
        <is>
          <t>2/C</t>
        </is>
      </c>
      <c r="M5525" s="12" t="inlineStr">
        <is>
          <t>14</t>
        </is>
      </c>
      <c r="N5525" s="12" t="n">
        <v>2</v>
      </c>
      <c r="O5525" s="12" t="n">
        <v>1</v>
      </c>
      <c r="P5525" s="12" t="n"/>
      <c r="Q5525" s="12" t="n"/>
      <c r="R5525" s="12" t="n"/>
      <c r="S5525" s="12" t="inlineStr">
        <is>
          <t>Tray / conduit</t>
        </is>
      </c>
      <c r="T5525" s="16" t="n">
        <v>60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K-C-0050</t>
        </is>
      </c>
      <c r="B5526" s="12" t="inlineStr">
        <is>
          <t>K</t>
        </is>
      </c>
      <c r="C5526" s="12" t="inlineStr">
        <is>
          <t>Fuel supply (adjacent market)</t>
        </is>
      </c>
      <c r="D5526" s="12" t="inlineStr">
        <is>
          <t>Home run JB-H2 24: water purif-SOL01 to the control / marshalling room</t>
        </is>
      </c>
      <c r="E5526" s="12" t="inlineStr"/>
      <c r="F5526" s="12" t="inlineStr">
        <is>
          <t>H2 20: 13.8 kV e-house</t>
        </is>
      </c>
      <c r="G5526" s="12" t="inlineStr">
        <is>
          <t>JB-H2 24: water purif-SOL01</t>
        </is>
      </c>
      <c r="H5526" s="12" t="inlineStr">
        <is>
          <t>H2 24: water purification (RO / EDI)</t>
        </is>
      </c>
      <c r="I5526" s="12" t="inlineStr">
        <is>
          <t>Control</t>
        </is>
      </c>
      <c r="J5526" s="12" t="inlineStr">
        <is>
          <t>ARMOR-X MC-HL 600 V control, Cu #14 AWG (Class I Div 2)</t>
        </is>
      </c>
      <c r="K5526" s="12" t="inlineStr">
        <is>
          <t>CTAX|25/C|14</t>
        </is>
      </c>
      <c r="L5526" s="12" t="inlineStr">
        <is>
          <t>25/C</t>
        </is>
      </c>
      <c r="M5526" s="12" t="inlineStr">
        <is>
          <t>14</t>
        </is>
      </c>
      <c r="N5526" s="12" t="n">
        <v>1</v>
      </c>
      <c r="O5526" s="12" t="n">
        <v>1</v>
      </c>
      <c r="P5526" s="12" t="n"/>
      <c r="Q5526" s="12" t="n"/>
      <c r="R5526" s="12" t="n"/>
      <c r="S5526" s="12" t="inlineStr">
        <is>
          <t>Duct bank</t>
        </is>
      </c>
      <c r="T5526" s="16" t="n">
        <v>146</v>
      </c>
      <c r="U5526" s="16" t="n">
        <v>32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K-C-0051</t>
        </is>
      </c>
      <c r="B5527" s="12" t="inlineStr">
        <is>
          <t>K</t>
        </is>
      </c>
      <c r="C5527" s="12" t="inlineStr">
        <is>
          <t>Fuel supply (adjacent market)</t>
        </is>
      </c>
      <c r="D5527" s="12" t="inlineStr">
        <is>
          <t>Motor 1 of 1: control / local station</t>
        </is>
      </c>
      <c r="E5527" s="12" t="inlineStr"/>
      <c r="F5527" s="12" t="inlineStr">
        <is>
          <t>H2 20: 13.8 kV e-house</t>
        </is>
      </c>
      <c r="G5527" s="12" t="inlineStr"/>
      <c r="H5527" s="12" t="inlineStr">
        <is>
          <t>H2 25: H2 dryer / purification</t>
        </is>
      </c>
      <c r="I5527" s="12" t="inlineStr">
        <is>
          <t>Control</t>
        </is>
      </c>
      <c r="J5527" s="12" t="inlineStr">
        <is>
          <t>ARMOR-X MC-HL 600 V control, Cu #14 AWG (Class I Div 2)</t>
        </is>
      </c>
      <c r="K5527" s="12" t="inlineStr">
        <is>
          <t>CTAX|7/C|14</t>
        </is>
      </c>
      <c r="L5527" s="12" t="inlineStr">
        <is>
          <t>7/C</t>
        </is>
      </c>
      <c r="M5527" s="12" t="inlineStr">
        <is>
          <t>14</t>
        </is>
      </c>
      <c r="N5527" s="12" t="n">
        <v>1</v>
      </c>
      <c r="O5527" s="12" t="n">
        <v>1</v>
      </c>
      <c r="P5527" s="12" t="n"/>
      <c r="Q5527" s="12" t="n"/>
      <c r="R5527" s="12" t="n"/>
      <c r="S5527" s="12" t="inlineStr">
        <is>
          <t>Duct bank</t>
        </is>
      </c>
      <c r="T5527" s="16" t="n">
        <v>0</v>
      </c>
      <c r="U5527" s="16" t="n">
        <v>49</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K-C-0052</t>
        </is>
      </c>
      <c r="B5528" s="12" t="inlineStr">
        <is>
          <t>K</t>
        </is>
      </c>
      <c r="C5528" s="12" t="inlineStr">
        <is>
          <t>Fuel supply (adjacent market)</t>
        </is>
      </c>
      <c r="D5528" s="12" t="inlineStr">
        <is>
          <t>Solenoid to JB JB-H2 25: H2 dryer / -SOL01: 2 x 2/C (field cables)</t>
        </is>
      </c>
      <c r="E5528" s="12" t="inlineStr"/>
      <c r="F5528" s="12" t="inlineStr">
        <is>
          <t>H2 25: H2 dryer / purification</t>
        </is>
      </c>
      <c r="G5528" s="12" t="inlineStr">
        <is>
          <t>JB-H2 25: H2 dryer / -SOL01</t>
        </is>
      </c>
      <c r="H5528" s="12" t="inlineStr">
        <is>
          <t>H2 25: H2 dryer / purification</t>
        </is>
      </c>
      <c r="I5528" s="12" t="inlineStr">
        <is>
          <t>Control</t>
        </is>
      </c>
      <c r="J5528" s="12" t="inlineStr">
        <is>
          <t>ARMOR-X MC-HL 600 V control, Cu #14 AWG (Class I Div 2)</t>
        </is>
      </c>
      <c r="K5528" s="12" t="inlineStr">
        <is>
          <t>CTAX|2/C|14</t>
        </is>
      </c>
      <c r="L5528" s="12" t="inlineStr">
        <is>
          <t>2/C</t>
        </is>
      </c>
      <c r="M5528" s="12" t="inlineStr">
        <is>
          <t>14</t>
        </is>
      </c>
      <c r="N5528" s="12" t="n">
        <v>2</v>
      </c>
      <c r="O5528" s="12" t="n">
        <v>1</v>
      </c>
      <c r="P5528" s="12" t="n"/>
      <c r="Q5528" s="12" t="n"/>
      <c r="R5528" s="12" t="n"/>
      <c r="S5528" s="12" t="inlineStr">
        <is>
          <t>Tray / conduit</t>
        </is>
      </c>
      <c r="T5528" s="16" t="n">
        <v>60</v>
      </c>
      <c r="U5528" s="16" t="n">
        <v>10</v>
      </c>
      <c r="V5528" s="16">
        <f>ROUNDUP((T5528+U5528+2*'Read Me'!$B$13)*(1+'Read Me'!$B$12),-1)</f>
        <v/>
      </c>
      <c r="W5528" s="16">
        <f>V5528*N5528*O5528</f>
        <v/>
      </c>
      <c r="X5528" s="12">
        <f>IF(LEFT(I5528,2)="MV",2*N5528*IF(L5528="1/C",O5528,1),0)</f>
        <v/>
      </c>
      <c r="Y5528" s="12">
        <f>IF(OR(LEFT(K5528,4)="LVAX",LEFT(K5528,6)="MV15AX",LEFT(K5528,4)="CTAX",LEFT(K5528,2)="W|"),2*N5528*O5528,0)</f>
        <v/>
      </c>
      <c r="Z5528" s="12" t="inlineStr">
        <is>
          <t>device-to-JB field wiring, one cable per device</t>
        </is>
      </c>
      <c r="AA5528" s="12">
        <f>N5528*O5528</f>
        <v/>
      </c>
    </row>
    <row r="5529">
      <c r="A5529" s="12" t="inlineStr">
        <is>
          <t>K-C-0053</t>
        </is>
      </c>
      <c r="B5529" s="12" t="inlineStr">
        <is>
          <t>K</t>
        </is>
      </c>
      <c r="C5529" s="12" t="inlineStr">
        <is>
          <t>Fuel supply (adjacent market)</t>
        </is>
      </c>
      <c r="D5529" s="12" t="inlineStr">
        <is>
          <t>Home run JB-H2 25: H2 dryer / -SOL01 to the control / marshalling room</t>
        </is>
      </c>
      <c r="E5529" s="12" t="inlineStr"/>
      <c r="F5529" s="12" t="inlineStr">
        <is>
          <t>H2 20: 13.8 kV e-house</t>
        </is>
      </c>
      <c r="G5529" s="12" t="inlineStr">
        <is>
          <t>JB-H2 25: H2 dryer / -SOL01</t>
        </is>
      </c>
      <c r="H5529" s="12" t="inlineStr">
        <is>
          <t>H2 25: H2 dryer / purification</t>
        </is>
      </c>
      <c r="I5529" s="12" t="inlineStr">
        <is>
          <t>Control</t>
        </is>
      </c>
      <c r="J5529" s="12" t="inlineStr">
        <is>
          <t>ARMOR-X MC-HL 600 V control, Cu #14 AWG (Class I Div 2)</t>
        </is>
      </c>
      <c r="K5529" s="12" t="inlineStr">
        <is>
          <t>CTAX|25/C|14</t>
        </is>
      </c>
      <c r="L5529" s="12" t="inlineStr">
        <is>
          <t>25/C</t>
        </is>
      </c>
      <c r="M5529" s="12" t="inlineStr">
        <is>
          <t>14</t>
        </is>
      </c>
      <c r="N5529" s="12" t="n">
        <v>1</v>
      </c>
      <c r="O5529" s="12" t="n">
        <v>1</v>
      </c>
      <c r="P5529" s="12" t="n"/>
      <c r="Q5529" s="12" t="n"/>
      <c r="R5529" s="12" t="n"/>
      <c r="S5529" s="12" t="inlineStr">
        <is>
          <t>Duct bank</t>
        </is>
      </c>
      <c r="T5529" s="16" t="n">
        <v>0</v>
      </c>
      <c r="U5529" s="16" t="n">
        <v>49</v>
      </c>
      <c r="V5529" s="16">
        <f>ROUNDUP((T5529+U5529+2*'Read Me'!$B$13)*(1+'Read Me'!$B$12),-1)</f>
        <v/>
      </c>
      <c r="W5529" s="16">
        <f>V5529*N5529*O5529</f>
        <v/>
      </c>
      <c r="X5529" s="12">
        <f>IF(LEFT(I5529,2)="MV",2*N5529*IF(L5529="1/C",O5529,1),0)</f>
        <v/>
      </c>
      <c r="Y5529" s="12">
        <f>IF(OR(LEFT(K5529,4)="LVAX",LEFT(K5529,6)="MV15AX",LEFT(K5529,4)="CTAX",LEFT(K5529,2)="W|"),2*N5529*O5529,0)</f>
        <v/>
      </c>
      <c r="Z5529" s="12" t="inlineStr"/>
      <c r="AA5529" s="12">
        <f>N5529*O5529</f>
        <v/>
      </c>
    </row>
    <row r="5530">
      <c r="A5530" s="12" t="inlineStr">
        <is>
          <t>K-C-0054</t>
        </is>
      </c>
      <c r="B5530" s="12" t="inlineStr">
        <is>
          <t>K</t>
        </is>
      </c>
      <c r="C5530" s="12" t="inlineStr">
        <is>
          <t>Fuel supply (adjacent market)</t>
        </is>
      </c>
      <c r="D5530" s="12" t="inlineStr">
        <is>
          <t>Motor 1 of 1: control / local station</t>
        </is>
      </c>
      <c r="E5530" s="12" t="inlineStr"/>
      <c r="F5530" s="12" t="inlineStr">
        <is>
          <t>H2 20: 13.8 kV e-house</t>
        </is>
      </c>
      <c r="G5530" s="12" t="inlineStr"/>
      <c r="H5530" s="12" t="inlineStr">
        <is>
          <t>H2 26: H2 compressor 1 (40 ft ISO)</t>
        </is>
      </c>
      <c r="I5530" s="12" t="inlineStr">
        <is>
          <t>Control</t>
        </is>
      </c>
      <c r="J5530" s="12" t="inlineStr">
        <is>
          <t>ARMOR-X MC-HL 600 V control, Cu #14 AWG (Class I Div 2)</t>
        </is>
      </c>
      <c r="K5530" s="12" t="inlineStr">
        <is>
          <t>CTAX|7/C|14</t>
        </is>
      </c>
      <c r="L5530" s="12" t="inlineStr">
        <is>
          <t>7/C</t>
        </is>
      </c>
      <c r="M5530" s="12" t="inlineStr">
        <is>
          <t>14</t>
        </is>
      </c>
      <c r="N5530" s="12" t="n">
        <v>1</v>
      </c>
      <c r="O5530" s="12" t="n">
        <v>1</v>
      </c>
      <c r="P5530" s="12" t="n"/>
      <c r="Q5530" s="12" t="n"/>
      <c r="R5530" s="12" t="n"/>
      <c r="S5530" s="12" t="inlineStr">
        <is>
          <t>Duct bank</t>
        </is>
      </c>
      <c r="T5530" s="16" t="n">
        <v>50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K-C-0055</t>
        </is>
      </c>
      <c r="B5531" s="12" t="inlineStr">
        <is>
          <t>K</t>
        </is>
      </c>
      <c r="C5531" s="12" t="inlineStr">
        <is>
          <t>Fuel supply (adjacent market)</t>
        </is>
      </c>
      <c r="D5531" s="12" t="inlineStr">
        <is>
          <t>Solenoid to JB JB-H2 26: H2 compress-SOL01: 2 x 2/C (field cables)</t>
        </is>
      </c>
      <c r="E5531" s="12" t="inlineStr"/>
      <c r="F5531" s="12" t="inlineStr">
        <is>
          <t>H2 26: H2 compressor 1 (40 ft ISO)</t>
        </is>
      </c>
      <c r="G5531" s="12" t="inlineStr">
        <is>
          <t>JB-H2 26: H2 compress-SOL01</t>
        </is>
      </c>
      <c r="H5531" s="12" t="inlineStr">
        <is>
          <t>H2 26: H2 compressor 1 (40 ft ISO)</t>
        </is>
      </c>
      <c r="I5531" s="12" t="inlineStr">
        <is>
          <t>Control</t>
        </is>
      </c>
      <c r="J5531" s="12" t="inlineStr">
        <is>
          <t>ARMOR-X MC-HL 600 V control, Cu #14 AWG (Class I Div 2)</t>
        </is>
      </c>
      <c r="K5531" s="12" t="inlineStr">
        <is>
          <t>CTAX|2/C|14</t>
        </is>
      </c>
      <c r="L5531" s="12" t="inlineStr">
        <is>
          <t>2/C</t>
        </is>
      </c>
      <c r="M5531" s="12" t="inlineStr">
        <is>
          <t>14</t>
        </is>
      </c>
      <c r="N5531" s="12" t="n">
        <v>2</v>
      </c>
      <c r="O5531" s="12" t="n">
        <v>1</v>
      </c>
      <c r="P5531" s="12" t="n"/>
      <c r="Q5531" s="12" t="n"/>
      <c r="R5531" s="12" t="n"/>
      <c r="S5531" s="12" t="inlineStr">
        <is>
          <t>Tray / conduit</t>
        </is>
      </c>
      <c r="T5531" s="16" t="n">
        <v>53</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K-C-0056</t>
        </is>
      </c>
      <c r="B5532" s="12" t="inlineStr">
        <is>
          <t>K</t>
        </is>
      </c>
      <c r="C5532" s="12" t="inlineStr">
        <is>
          <t>Fuel supply (adjacent market)</t>
        </is>
      </c>
      <c r="D5532" s="12" t="inlineStr">
        <is>
          <t>Home run JB-H2 26: H2 compress-SOL01 to the control / marshalling room</t>
        </is>
      </c>
      <c r="E5532" s="12" t="inlineStr"/>
      <c r="F5532" s="12" t="inlineStr">
        <is>
          <t>H2 20: 13.8 kV e-house</t>
        </is>
      </c>
      <c r="G5532" s="12" t="inlineStr">
        <is>
          <t>JB-H2 26: H2 compress-SOL01</t>
        </is>
      </c>
      <c r="H5532" s="12" t="inlineStr">
        <is>
          <t>H2 26: H2 compressor 1 (40 ft ISO)</t>
        </is>
      </c>
      <c r="I5532" s="12" t="inlineStr">
        <is>
          <t>Control</t>
        </is>
      </c>
      <c r="J5532" s="12" t="inlineStr">
        <is>
          <t>ARMOR-X MC-HL 600 V control, Cu #14 AWG (Class I Div 2)</t>
        </is>
      </c>
      <c r="K5532" s="12" t="inlineStr">
        <is>
          <t>CTAX|25/C|14</t>
        </is>
      </c>
      <c r="L5532" s="12" t="inlineStr">
        <is>
          <t>25/C</t>
        </is>
      </c>
      <c r="M5532" s="12" t="inlineStr">
        <is>
          <t>14</t>
        </is>
      </c>
      <c r="N5532" s="12" t="n">
        <v>1</v>
      </c>
      <c r="O5532" s="12" t="n">
        <v>1</v>
      </c>
      <c r="P5532" s="12" t="n"/>
      <c r="Q5532" s="12" t="n"/>
      <c r="R5532" s="12" t="n"/>
      <c r="S5532" s="12" t="inlineStr">
        <is>
          <t>Duct bank</t>
        </is>
      </c>
      <c r="T5532" s="16" t="n">
        <v>50</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K-C-0057</t>
        </is>
      </c>
      <c r="B5533" s="12" t="inlineStr">
        <is>
          <t>K</t>
        </is>
      </c>
      <c r="C5533" s="12" t="inlineStr">
        <is>
          <t>Fuel supply (adjacent market)</t>
        </is>
      </c>
      <c r="D5533" s="12" t="inlineStr">
        <is>
          <t>Motor 1 of 1: control / local station</t>
        </is>
      </c>
      <c r="E5533" s="12" t="inlineStr"/>
      <c r="F5533" s="12" t="inlineStr">
        <is>
          <t>H2 20: 13.8 kV e-house</t>
        </is>
      </c>
      <c r="G5533" s="12" t="inlineStr"/>
      <c r="H5533" s="12" t="inlineStr">
        <is>
          <t>H2 26: H2 compressor 2 (40 ft ISO)</t>
        </is>
      </c>
      <c r="I5533" s="12" t="inlineStr">
        <is>
          <t>Control</t>
        </is>
      </c>
      <c r="J5533" s="12" t="inlineStr">
        <is>
          <t>ARMOR-X MC-HL 600 V control, Cu #14 AWG (Class I Div 2)</t>
        </is>
      </c>
      <c r="K5533" s="12" t="inlineStr">
        <is>
          <t>CTAX|7/C|14</t>
        </is>
      </c>
      <c r="L5533" s="12" t="inlineStr">
        <is>
          <t>7/C</t>
        </is>
      </c>
      <c r="M5533" s="12" t="inlineStr">
        <is>
          <t>14</t>
        </is>
      </c>
      <c r="N5533" s="12" t="n">
        <v>1</v>
      </c>
      <c r="O5533" s="12" t="n">
        <v>1</v>
      </c>
      <c r="P5533" s="12" t="n"/>
      <c r="Q5533" s="12" t="n"/>
      <c r="R5533" s="12" t="n"/>
      <c r="S5533" s="12" t="inlineStr">
        <is>
          <t>Duct bank</t>
        </is>
      </c>
      <c r="T5533" s="16" t="n">
        <v>50</v>
      </c>
      <c r="U5533" s="16" t="n">
        <v>47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K-C-0058</t>
        </is>
      </c>
      <c r="B5534" s="12" t="inlineStr">
        <is>
          <t>K</t>
        </is>
      </c>
      <c r="C5534" s="12" t="inlineStr">
        <is>
          <t>Fuel supply (adjacent market)</t>
        </is>
      </c>
      <c r="D5534" s="12" t="inlineStr">
        <is>
          <t>Solenoid to JB JB-H2 26: H2 compress-SOL01: 2 x 2/C (field cables)</t>
        </is>
      </c>
      <c r="E5534" s="12" t="inlineStr"/>
      <c r="F5534" s="12" t="inlineStr">
        <is>
          <t>H2 26: H2 compressor 2 (40 ft ISO)</t>
        </is>
      </c>
      <c r="G5534" s="12" t="inlineStr">
        <is>
          <t>JB-H2 26: H2 compress-SOL01</t>
        </is>
      </c>
      <c r="H5534" s="12" t="inlineStr">
        <is>
          <t>H2 26: H2 compressor 2 (40 ft ISO)</t>
        </is>
      </c>
      <c r="I5534" s="12" t="inlineStr">
        <is>
          <t>Control</t>
        </is>
      </c>
      <c r="J5534" s="12" t="inlineStr">
        <is>
          <t>ARMOR-X MC-HL 600 V control, Cu #14 AWG (Class I Div 2)</t>
        </is>
      </c>
      <c r="K5534" s="12" t="inlineStr">
        <is>
          <t>CTAX|2/C|14</t>
        </is>
      </c>
      <c r="L5534" s="12" t="inlineStr">
        <is>
          <t>2/C</t>
        </is>
      </c>
      <c r="M5534" s="12" t="inlineStr">
        <is>
          <t>14</t>
        </is>
      </c>
      <c r="N5534" s="12" t="n">
        <v>2</v>
      </c>
      <c r="O5534" s="12" t="n">
        <v>1</v>
      </c>
      <c r="P5534" s="12" t="n"/>
      <c r="Q5534" s="12" t="n"/>
      <c r="R5534" s="12" t="n"/>
      <c r="S5534" s="12" t="inlineStr">
        <is>
          <t>Tray / conduit</t>
        </is>
      </c>
      <c r="T5534" s="16" t="n">
        <v>53</v>
      </c>
      <c r="U5534" s="16" t="n">
        <v>10</v>
      </c>
      <c r="V5534" s="16">
        <f>ROUNDUP((T5534+U5534+2*'Read Me'!$B$13)*(1+'Read Me'!$B$12),-1)</f>
        <v/>
      </c>
      <c r="W5534" s="16">
        <f>V5534*N5534*O5534</f>
        <v/>
      </c>
      <c r="X5534" s="12">
        <f>IF(LEFT(I5534,2)="MV",2*N5534*IF(L5534="1/C",O5534,1),0)</f>
        <v/>
      </c>
      <c r="Y5534" s="12">
        <f>IF(OR(LEFT(K5534,4)="LVAX",LEFT(K5534,6)="MV15AX",LEFT(K5534,4)="CTAX",LEFT(K5534,2)="W|"),2*N5534*O5534,0)</f>
        <v/>
      </c>
      <c r="Z5534" s="12" t="inlineStr">
        <is>
          <t>device-to-JB field wiring, one cable per device</t>
        </is>
      </c>
      <c r="AA5534" s="12">
        <f>N5534*O5534</f>
        <v/>
      </c>
    </row>
    <row r="5535">
      <c r="A5535" s="12" t="inlineStr">
        <is>
          <t>K-C-0059</t>
        </is>
      </c>
      <c r="B5535" s="12" t="inlineStr">
        <is>
          <t>K</t>
        </is>
      </c>
      <c r="C5535" s="12" t="inlineStr">
        <is>
          <t>Fuel supply (adjacent market)</t>
        </is>
      </c>
      <c r="D5535" s="12" t="inlineStr">
        <is>
          <t>Home run JB-H2 26: H2 compress-SOL01 to the control / marshalling room</t>
        </is>
      </c>
      <c r="E5535" s="12" t="inlineStr"/>
      <c r="F5535" s="12" t="inlineStr">
        <is>
          <t>H2 20: 13.8 kV e-house</t>
        </is>
      </c>
      <c r="G5535" s="12" t="inlineStr">
        <is>
          <t>JB-H2 26: H2 compress-SOL01</t>
        </is>
      </c>
      <c r="H5535" s="12" t="inlineStr">
        <is>
          <t>H2 26: H2 compressor 2 (40 ft ISO)</t>
        </is>
      </c>
      <c r="I5535" s="12" t="inlineStr">
        <is>
          <t>Control</t>
        </is>
      </c>
      <c r="J5535" s="12" t="inlineStr">
        <is>
          <t>ARMOR-X MC-HL 600 V control, Cu #14 AWG (Class I Div 2)</t>
        </is>
      </c>
      <c r="K5535" s="12" t="inlineStr">
        <is>
          <t>CTAX|25/C|14</t>
        </is>
      </c>
      <c r="L5535" s="12" t="inlineStr">
        <is>
          <t>25/C</t>
        </is>
      </c>
      <c r="M5535" s="12" t="inlineStr">
        <is>
          <t>14</t>
        </is>
      </c>
      <c r="N5535" s="12" t="n">
        <v>1</v>
      </c>
      <c r="O5535" s="12" t="n">
        <v>1</v>
      </c>
      <c r="P5535" s="12" t="n"/>
      <c r="Q5535" s="12" t="n"/>
      <c r="R5535" s="12" t="n"/>
      <c r="S5535" s="12" t="inlineStr">
        <is>
          <t>Duct bank</t>
        </is>
      </c>
      <c r="T5535" s="16" t="n">
        <v>50</v>
      </c>
      <c r="U5535" s="16" t="n">
        <v>47</v>
      </c>
      <c r="V5535" s="16">
        <f>ROUNDUP((T5535+U5535+2*'Read Me'!$B$13)*(1+'Read Me'!$B$12),-1)</f>
        <v/>
      </c>
      <c r="W5535" s="16">
        <f>V5535*N5535*O5535</f>
        <v/>
      </c>
      <c r="X5535" s="12">
        <f>IF(LEFT(I5535,2)="MV",2*N5535*IF(L5535="1/C",O5535,1),0)</f>
        <v/>
      </c>
      <c r="Y5535" s="12">
        <f>IF(OR(LEFT(K5535,4)="LVAX",LEFT(K5535,6)="MV15AX",LEFT(K5535,4)="CTAX",LEFT(K5535,2)="W|"),2*N5535*O5535,0)</f>
        <v/>
      </c>
      <c r="Z5535" s="12" t="inlineStr"/>
      <c r="AA5535" s="12">
        <f>N5535*O5535</f>
        <v/>
      </c>
    </row>
    <row r="5536">
      <c r="A5536" s="12" t="inlineStr">
        <is>
          <t>K-C-0060</t>
        </is>
      </c>
      <c r="B5536" s="12" t="inlineStr">
        <is>
          <t>K</t>
        </is>
      </c>
      <c r="C5536" s="12" t="inlineStr">
        <is>
          <t>Fuel supply (adjacent market)</t>
        </is>
      </c>
      <c r="D5536" s="12" t="inlineStr">
        <is>
          <t>Motor 1 of 1: control / local station</t>
        </is>
      </c>
      <c r="E5536" s="12" t="inlineStr"/>
      <c r="F5536" s="12" t="inlineStr">
        <is>
          <t>H2 20: 13.8 kV e-house</t>
        </is>
      </c>
      <c r="G5536" s="12" t="inlineStr"/>
      <c r="H5536" s="12" t="inlineStr">
        <is>
          <t>H2 27: storage tube bank (~40 ft tubes)</t>
        </is>
      </c>
      <c r="I5536" s="12" t="inlineStr">
        <is>
          <t>Control</t>
        </is>
      </c>
      <c r="J5536" s="12" t="inlineStr">
        <is>
          <t>ARMOR-X MC-HL 600 V control, Cu #14 AWG (Class I Div 2)</t>
        </is>
      </c>
      <c r="K5536" s="12" t="inlineStr">
        <is>
          <t>CTAX|7/C|14</t>
        </is>
      </c>
      <c r="L5536" s="12" t="inlineStr">
        <is>
          <t>7/C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K-C-0061</t>
        </is>
      </c>
      <c r="B5537" s="12" t="inlineStr">
        <is>
          <t>K</t>
        </is>
      </c>
      <c r="C5537" s="12" t="inlineStr">
        <is>
          <t>Fuel supply (adjacent market)</t>
        </is>
      </c>
      <c r="D5537" s="12" t="inlineStr">
        <is>
          <t>Solenoid to JB JB-H2 27: storage tub-SOL01: 2 x 2/C (field cables)</t>
        </is>
      </c>
      <c r="E5537" s="12" t="inlineStr"/>
      <c r="F5537" s="12" t="inlineStr">
        <is>
          <t>H2 27: storage tube bank (~40 ft tubes)</t>
        </is>
      </c>
      <c r="G5537" s="12" t="inlineStr">
        <is>
          <t>JB-H2 27: storage tub-SOL01</t>
        </is>
      </c>
      <c r="H5537" s="12" t="inlineStr">
        <is>
          <t>H2 27: storage tube bank (~40 ft tubes)</t>
        </is>
      </c>
      <c r="I5537" s="12" t="inlineStr">
        <is>
          <t>Control</t>
        </is>
      </c>
      <c r="J5537" s="12" t="inlineStr">
        <is>
          <t>ARMOR-X MC-HL 600 V control, Cu #14 AWG (Class I Div 2)</t>
        </is>
      </c>
      <c r="K5537" s="12" t="inlineStr">
        <is>
          <t>CTAX|2/C|14</t>
        </is>
      </c>
      <c r="L5537" s="12" t="inlineStr">
        <is>
          <t>2/C</t>
        </is>
      </c>
      <c r="M5537" s="12" t="inlineStr">
        <is>
          <t>14</t>
        </is>
      </c>
      <c r="N5537" s="12" t="n">
        <v>2</v>
      </c>
      <c r="O5537" s="12" t="n">
        <v>1</v>
      </c>
      <c r="P5537" s="12" t="n"/>
      <c r="Q5537" s="12" t="n"/>
      <c r="R5537" s="12" t="n"/>
      <c r="S5537" s="12" t="inlineStr">
        <is>
          <t>Tray / conduit</t>
        </is>
      </c>
      <c r="T5537" s="16" t="n">
        <v>54</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K-C-0062</t>
        </is>
      </c>
      <c r="B5538" s="12" t="inlineStr">
        <is>
          <t>K</t>
        </is>
      </c>
      <c r="C5538" s="12" t="inlineStr">
        <is>
          <t>Fuel supply (adjacent market)</t>
        </is>
      </c>
      <c r="D5538" s="12" t="inlineStr">
        <is>
          <t>Home run JB-H2 27: storage tub-SOL01 to the control / marshalling room</t>
        </is>
      </c>
      <c r="E5538" s="12" t="inlineStr"/>
      <c r="F5538" s="12" t="inlineStr">
        <is>
          <t>H2 20: 13.8 kV e-house</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CTAX|25/C|14</t>
        </is>
      </c>
      <c r="L5538" s="12" t="inlineStr">
        <is>
          <t>25/C</t>
        </is>
      </c>
      <c r="M5538" s="12" t="inlineStr">
        <is>
          <t>14</t>
        </is>
      </c>
      <c r="N5538" s="12" t="n">
        <v>1</v>
      </c>
      <c r="O5538" s="12" t="n">
        <v>1</v>
      </c>
      <c r="P5538" s="12" t="n"/>
      <c r="Q5538" s="12" t="n"/>
      <c r="R5538" s="12" t="n"/>
      <c r="S5538" s="12" t="inlineStr">
        <is>
          <t>Duct bank</t>
        </is>
      </c>
      <c r="T5538" s="16" t="n">
        <v>50</v>
      </c>
      <c r="U5538" s="16" t="n">
        <v>97</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K-C-0063</t>
        </is>
      </c>
      <c r="B5539" s="12" t="inlineStr">
        <is>
          <t>K</t>
        </is>
      </c>
      <c r="C5539" s="12" t="inlineStr">
        <is>
          <t>Fuel supply (adjacent market)</t>
        </is>
      </c>
      <c r="D5539" s="12" t="inlineStr">
        <is>
          <t>Motor 1 of 1: control / local station</t>
        </is>
      </c>
      <c r="E5539" s="12" t="inlineStr"/>
      <c r="F5539" s="12" t="inlineStr">
        <is>
          <t>H2 20: 13.8 kV e-house</t>
        </is>
      </c>
      <c r="G5539" s="12" t="inlineStr"/>
      <c r="H5539" s="12" t="inlineStr">
        <is>
          <t>H2 27: storage tube bank (~40 ft tubes)</t>
        </is>
      </c>
      <c r="I5539" s="12" t="inlineStr">
        <is>
          <t>Control</t>
        </is>
      </c>
      <c r="J5539" s="12" t="inlineStr">
        <is>
          <t>ARMOR-X MC-HL 600 V control, Cu #14 AWG (Class I Div 2)</t>
        </is>
      </c>
      <c r="K5539" s="12" t="inlineStr">
        <is>
          <t>CTAX|7/C|14</t>
        </is>
      </c>
      <c r="L5539" s="12" t="inlineStr">
        <is>
          <t>7/C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K-C-0064</t>
        </is>
      </c>
      <c r="B5540" s="12" t="inlineStr">
        <is>
          <t>K</t>
        </is>
      </c>
      <c r="C5540" s="12" t="inlineStr">
        <is>
          <t>Fuel supply (adjacent market)</t>
        </is>
      </c>
      <c r="D5540" s="12" t="inlineStr">
        <is>
          <t>Solenoid to JB JB-H2 27: storage tub-SOL01: 2 x 2/C (field cables)</t>
        </is>
      </c>
      <c r="E5540" s="12" t="inlineStr"/>
      <c r="F5540" s="12" t="inlineStr">
        <is>
          <t>H2 27: storage tube bank (~40 ft tubes)</t>
        </is>
      </c>
      <c r="G5540" s="12" t="inlineStr">
        <is>
          <t>JB-H2 27: storage tub-SOL01</t>
        </is>
      </c>
      <c r="H5540" s="12" t="inlineStr">
        <is>
          <t>H2 27: storage tube bank (~40 ft tubes)</t>
        </is>
      </c>
      <c r="I5540" s="12" t="inlineStr">
        <is>
          <t>Control</t>
        </is>
      </c>
      <c r="J5540" s="12" t="inlineStr">
        <is>
          <t>ARMOR-X MC-HL 600 V control, Cu #14 AWG (Class I Div 2)</t>
        </is>
      </c>
      <c r="K5540" s="12" t="inlineStr">
        <is>
          <t>CTAX|2/C|14</t>
        </is>
      </c>
      <c r="L5540" s="12" t="inlineStr">
        <is>
          <t>2/C</t>
        </is>
      </c>
      <c r="M5540" s="12" t="inlineStr">
        <is>
          <t>14</t>
        </is>
      </c>
      <c r="N5540" s="12" t="n">
        <v>2</v>
      </c>
      <c r="O5540" s="12" t="n">
        <v>1</v>
      </c>
      <c r="P5540" s="12" t="n"/>
      <c r="Q5540" s="12" t="n"/>
      <c r="R5540" s="12" t="n"/>
      <c r="S5540" s="12" t="inlineStr">
        <is>
          <t>Tray / conduit</t>
        </is>
      </c>
      <c r="T5540" s="16" t="n">
        <v>54</v>
      </c>
      <c r="U5540" s="16" t="n">
        <v>10</v>
      </c>
      <c r="V5540" s="16">
        <f>ROUNDUP((T5540+U5540+2*'Read Me'!$B$13)*(1+'Read Me'!$B$12),-1)</f>
        <v/>
      </c>
      <c r="W5540" s="16">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K-C-0065</t>
        </is>
      </c>
      <c r="B5541" s="12" t="inlineStr">
        <is>
          <t>K</t>
        </is>
      </c>
      <c r="C5541" s="12" t="inlineStr">
        <is>
          <t>Fuel supply (adjacent market)</t>
        </is>
      </c>
      <c r="D5541" s="12" t="inlineStr">
        <is>
          <t>Home run JB-H2 27: storage tub-SOL01 to the control / marshalling room</t>
        </is>
      </c>
      <c r="E5541" s="12" t="inlineStr"/>
      <c r="F5541" s="12" t="inlineStr">
        <is>
          <t>H2 20: 13.8 kV e-house</t>
        </is>
      </c>
      <c r="G5541" s="12" t="inlineStr">
        <is>
          <t>JB-H2 27: storage tub-SOL01</t>
        </is>
      </c>
      <c r="H5541" s="12" t="inlineStr">
        <is>
          <t>H2 27: storage tube bank (~40 ft tubes)</t>
        </is>
      </c>
      <c r="I5541" s="12" t="inlineStr">
        <is>
          <t>Control</t>
        </is>
      </c>
      <c r="J5541" s="12" t="inlineStr">
        <is>
          <t>ARMOR-X MC-HL 600 V control, Cu #14 AWG (Class I Div 2)</t>
        </is>
      </c>
      <c r="K5541" s="12" t="inlineStr">
        <is>
          <t>CTAX|25/C|14</t>
        </is>
      </c>
      <c r="L5541" s="12" t="inlineStr">
        <is>
          <t>25/C</t>
        </is>
      </c>
      <c r="M5541" s="12" t="inlineStr">
        <is>
          <t>14</t>
        </is>
      </c>
      <c r="N5541" s="12" t="n">
        <v>1</v>
      </c>
      <c r="O5541" s="12" t="n">
        <v>1</v>
      </c>
      <c r="P5541" s="12" t="n"/>
      <c r="Q5541" s="12" t="n"/>
      <c r="R5541" s="12" t="n"/>
      <c r="S5541" s="12" t="inlineStr">
        <is>
          <t>Duct bank</t>
        </is>
      </c>
      <c r="T5541" s="16" t="n">
        <v>50</v>
      </c>
      <c r="U5541" s="16" t="n">
        <v>117</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K-C-0066</t>
        </is>
      </c>
      <c r="B5542" s="12" t="inlineStr">
        <is>
          <t>K</t>
        </is>
      </c>
      <c r="C5542" s="12" t="inlineStr">
        <is>
          <t>Fuel supply (adjacent market)</t>
        </is>
      </c>
      <c r="D5542" s="12" t="inlineStr">
        <is>
          <t>Motor 1 of 1: control / local station</t>
        </is>
      </c>
      <c r="E5542" s="12" t="inlineStr"/>
      <c r="F5542" s="12" t="inlineStr">
        <is>
          <t>H2 20: 13.8 kV e-house</t>
        </is>
      </c>
      <c r="G5542" s="12" t="inlineStr"/>
      <c r="H5542" s="12" t="inlineStr">
        <is>
          <t>H2 27: storage tube bank (~40 ft tubes)</t>
        </is>
      </c>
      <c r="I5542" s="12" t="inlineStr">
        <is>
          <t>Control</t>
        </is>
      </c>
      <c r="J5542" s="12" t="inlineStr">
        <is>
          <t>ARMOR-X MC-HL 600 V control, Cu #14 AWG (Class I Div 2)</t>
        </is>
      </c>
      <c r="K5542" s="12" t="inlineStr">
        <is>
          <t>CTAX|7/C|14</t>
        </is>
      </c>
      <c r="L5542" s="12" t="inlineStr">
        <is>
          <t>7/C</t>
        </is>
      </c>
      <c r="M5542" s="12" t="inlineStr">
        <is>
          <t>14</t>
        </is>
      </c>
      <c r="N5542" s="12" t="n">
        <v>1</v>
      </c>
      <c r="O5542" s="12" t="n">
        <v>1</v>
      </c>
      <c r="P5542" s="12" t="n"/>
      <c r="Q5542" s="12" t="n"/>
      <c r="R5542" s="12" t="n"/>
      <c r="S5542" s="12" t="inlineStr">
        <is>
          <t>Duct bank</t>
        </is>
      </c>
      <c r="T5542" s="16" t="n">
        <v>50</v>
      </c>
      <c r="U5542" s="16" t="n">
        <v>97</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K-C-0067</t>
        </is>
      </c>
      <c r="B5543" s="12" t="inlineStr">
        <is>
          <t>K</t>
        </is>
      </c>
      <c r="C5543" s="12" t="inlineStr">
        <is>
          <t>Fuel supply (adjacent market)</t>
        </is>
      </c>
      <c r="D5543" s="12" t="inlineStr">
        <is>
          <t>Solenoid to JB JB-H2 27: storage tub-SOL01: 2 x 2/C (field cables)</t>
        </is>
      </c>
      <c r="E5543" s="12" t="inlineStr"/>
      <c r="F5543" s="12" t="inlineStr">
        <is>
          <t>H2 27: storage tube bank (~40 ft tubes)</t>
        </is>
      </c>
      <c r="G5543" s="12" t="inlineStr">
        <is>
          <t>JB-H2 27: storage tub-SOL01</t>
        </is>
      </c>
      <c r="H5543" s="12" t="inlineStr">
        <is>
          <t>H2 27: storage tube bank (~40 ft tubes)</t>
        </is>
      </c>
      <c r="I5543" s="12" t="inlineStr">
        <is>
          <t>Control</t>
        </is>
      </c>
      <c r="J5543" s="12" t="inlineStr">
        <is>
          <t>ARMOR-X MC-HL 600 V control, Cu #14 AWG (Class I Div 2)</t>
        </is>
      </c>
      <c r="K5543" s="12" t="inlineStr">
        <is>
          <t>CTAX|2/C|14</t>
        </is>
      </c>
      <c r="L5543" s="12" t="inlineStr">
        <is>
          <t>2/C</t>
        </is>
      </c>
      <c r="M5543" s="12" t="inlineStr">
        <is>
          <t>14</t>
        </is>
      </c>
      <c r="N5543" s="12" t="n">
        <v>2</v>
      </c>
      <c r="O5543" s="12" t="n">
        <v>1</v>
      </c>
      <c r="P5543" s="12" t="n"/>
      <c r="Q5543" s="12" t="n"/>
      <c r="R5543" s="12" t="n"/>
      <c r="S5543" s="12" t="inlineStr">
        <is>
          <t>Tray / conduit</t>
        </is>
      </c>
      <c r="T5543" s="16" t="n">
        <v>54</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K-C-0068</t>
        </is>
      </c>
      <c r="B5544" s="12" t="inlineStr">
        <is>
          <t>K</t>
        </is>
      </c>
      <c r="C5544" s="12" t="inlineStr">
        <is>
          <t>Fuel supply (adjacent market)</t>
        </is>
      </c>
      <c r="D5544" s="12" t="inlineStr">
        <is>
          <t>Home run JB-H2 27: storage tub-SOL01 to the control / marshalling room</t>
        </is>
      </c>
      <c r="E5544" s="12" t="inlineStr"/>
      <c r="F5544" s="12" t="inlineStr">
        <is>
          <t>H2 20: 13.8 kV e-house</t>
        </is>
      </c>
      <c r="G5544" s="12" t="inlineStr">
        <is>
          <t>JB-H2 27: storage tub-SOL01</t>
        </is>
      </c>
      <c r="H5544" s="12" t="inlineStr">
        <is>
          <t>H2 27: storage tube bank (~40 ft tubes)</t>
        </is>
      </c>
      <c r="I5544" s="12" t="inlineStr">
        <is>
          <t>Control</t>
        </is>
      </c>
      <c r="J5544" s="12" t="inlineStr">
        <is>
          <t>ARMOR-X MC-HL 600 V control, Cu #14 AWG (Class I Div 2)</t>
        </is>
      </c>
      <c r="K5544" s="12" t="inlineStr">
        <is>
          <t>CTAX|25/C|14</t>
        </is>
      </c>
      <c r="L5544" s="12" t="inlineStr">
        <is>
          <t>25/C</t>
        </is>
      </c>
      <c r="M5544" s="12" t="inlineStr">
        <is>
          <t>14</t>
        </is>
      </c>
      <c r="N5544" s="12" t="n">
        <v>1</v>
      </c>
      <c r="O5544" s="12" t="n">
        <v>1</v>
      </c>
      <c r="P5544" s="12" t="n"/>
      <c r="Q5544" s="12" t="n"/>
      <c r="R5544" s="12" t="n"/>
      <c r="S5544" s="12" t="inlineStr">
        <is>
          <t>Duct bank</t>
        </is>
      </c>
      <c r="T5544" s="16" t="n">
        <v>50</v>
      </c>
      <c r="U5544" s="16" t="n">
        <v>97</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K-C-0069</t>
        </is>
      </c>
      <c r="B5545" s="12" t="inlineStr">
        <is>
          <t>K</t>
        </is>
      </c>
      <c r="C5545" s="12" t="inlineStr">
        <is>
          <t>Fuel supply (adjacent market)</t>
        </is>
      </c>
      <c r="D5545" s="12" t="inlineStr">
        <is>
          <t>Motor 1 of 1: control / local station</t>
        </is>
      </c>
      <c r="E5545" s="12" t="inlineStr"/>
      <c r="F5545" s="12" t="inlineStr">
        <is>
          <t>H2 20: 13.8 kV e-house</t>
        </is>
      </c>
      <c r="G5545" s="12" t="inlineStr"/>
      <c r="H5545" s="12" t="inlineStr">
        <is>
          <t>H2 27: storage tube bank (~40 ft tubes)</t>
        </is>
      </c>
      <c r="I5545" s="12" t="inlineStr">
        <is>
          <t>Control</t>
        </is>
      </c>
      <c r="J5545" s="12" t="inlineStr">
        <is>
          <t>ARMOR-X MC-HL 600 V control, Cu #14 AWG (Class I Div 2)</t>
        </is>
      </c>
      <c r="K5545" s="12" t="inlineStr">
        <is>
          <t>CTAX|7/C|14</t>
        </is>
      </c>
      <c r="L5545" s="12" t="inlineStr">
        <is>
          <t>7/C</t>
        </is>
      </c>
      <c r="M5545" s="12" t="inlineStr">
        <is>
          <t>14</t>
        </is>
      </c>
      <c r="N5545" s="12" t="n">
        <v>1</v>
      </c>
      <c r="O5545" s="12" t="n">
        <v>1</v>
      </c>
      <c r="P5545" s="12" t="n"/>
      <c r="Q5545" s="12" t="n"/>
      <c r="R5545" s="12" t="n"/>
      <c r="S5545" s="12" t="inlineStr">
        <is>
          <t>Duct bank</t>
        </is>
      </c>
      <c r="T5545" s="16" t="n">
        <v>50</v>
      </c>
      <c r="U5545" s="16" t="n">
        <v>117</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K-C-0070</t>
        </is>
      </c>
      <c r="B5546" s="12" t="inlineStr">
        <is>
          <t>K</t>
        </is>
      </c>
      <c r="C5546" s="12" t="inlineStr">
        <is>
          <t>Fuel supply (adjacent market)</t>
        </is>
      </c>
      <c r="D5546" s="12" t="inlineStr">
        <is>
          <t>Solenoid to JB JB-H2 27: storage tub-SOL01: 2 x 2/C (field cables)</t>
        </is>
      </c>
      <c r="E5546" s="12" t="inlineStr"/>
      <c r="F5546" s="12" t="inlineStr">
        <is>
          <t>H2 27: storage tube bank (~40 ft tubes)</t>
        </is>
      </c>
      <c r="G5546" s="12" t="inlineStr">
        <is>
          <t>JB-H2 27: storage tub-SOL01</t>
        </is>
      </c>
      <c r="H5546" s="12" t="inlineStr">
        <is>
          <t>H2 27: storage tube bank (~40 ft tubes)</t>
        </is>
      </c>
      <c r="I5546" s="12" t="inlineStr">
        <is>
          <t>Control</t>
        </is>
      </c>
      <c r="J5546" s="12" t="inlineStr">
        <is>
          <t>ARMOR-X MC-HL 600 V control, Cu #14 AWG (Class I Div 2)</t>
        </is>
      </c>
      <c r="K5546" s="12" t="inlineStr">
        <is>
          <t>CTAX|2/C|14</t>
        </is>
      </c>
      <c r="L5546" s="12" t="inlineStr">
        <is>
          <t>2/C</t>
        </is>
      </c>
      <c r="M5546" s="12" t="inlineStr">
        <is>
          <t>14</t>
        </is>
      </c>
      <c r="N5546" s="12" t="n">
        <v>2</v>
      </c>
      <c r="O5546" s="12" t="n">
        <v>1</v>
      </c>
      <c r="P5546" s="12" t="n"/>
      <c r="Q5546" s="12" t="n"/>
      <c r="R5546" s="12" t="n"/>
      <c r="S5546" s="12" t="inlineStr">
        <is>
          <t>Tray / conduit</t>
        </is>
      </c>
      <c r="T5546" s="16" t="n">
        <v>54</v>
      </c>
      <c r="U5546" s="16" t="n">
        <v>10</v>
      </c>
      <c r="V5546" s="16">
        <f>ROUNDUP((T5546+U5546+2*'Read Me'!$B$13)*(1+'Read Me'!$B$12),-1)</f>
        <v/>
      </c>
      <c r="W5546" s="16">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K-C-0071</t>
        </is>
      </c>
      <c r="B5547" s="12" t="inlineStr">
        <is>
          <t>K</t>
        </is>
      </c>
      <c r="C5547" s="12" t="inlineStr">
        <is>
          <t>Fuel supply (adjacent market)</t>
        </is>
      </c>
      <c r="D5547" s="12" t="inlineStr">
        <is>
          <t>Home run JB-H2 27: storage tub-SOL01 to the control / marshalling room</t>
        </is>
      </c>
      <c r="E5547" s="12" t="inlineStr"/>
      <c r="F5547" s="12" t="inlineStr">
        <is>
          <t>H2 20: 13.8 kV e-house</t>
        </is>
      </c>
      <c r="G5547" s="12" t="inlineStr">
        <is>
          <t>JB-H2 27: storage tub-SOL01</t>
        </is>
      </c>
      <c r="H5547" s="12" t="inlineStr">
        <is>
          <t>H2 27: storage tube bank (~40 ft tubes)</t>
        </is>
      </c>
      <c r="I5547" s="12" t="inlineStr">
        <is>
          <t>Control</t>
        </is>
      </c>
      <c r="J5547" s="12" t="inlineStr">
        <is>
          <t>ARMOR-X MC-HL 600 V control, Cu #14 AWG (Class I Div 2)</t>
        </is>
      </c>
      <c r="K5547" s="12" t="inlineStr">
        <is>
          <t>CTAX|25/C|14</t>
        </is>
      </c>
      <c r="L5547" s="12" t="inlineStr">
        <is>
          <t>25/C</t>
        </is>
      </c>
      <c r="M5547" s="12" t="inlineStr">
        <is>
          <t>14</t>
        </is>
      </c>
      <c r="N5547" s="12" t="n">
        <v>1</v>
      </c>
      <c r="O5547" s="12" t="n">
        <v>1</v>
      </c>
      <c r="P5547" s="12" t="n"/>
      <c r="Q5547" s="12" t="n"/>
      <c r="R5547" s="12" t="n"/>
      <c r="S5547" s="12" t="inlineStr">
        <is>
          <t>Duct bank</t>
        </is>
      </c>
      <c r="T5547" s="16" t="n">
        <v>50</v>
      </c>
      <c r="U5547" s="16" t="n">
        <v>117</v>
      </c>
      <c r="V5547" s="16">
        <f>ROUNDUP((T5547+U5547+2*'Read Me'!$B$13)*(1+'Read Me'!$B$12),-1)</f>
        <v/>
      </c>
      <c r="W5547" s="16">
        <f>V5547*N5547*O5547</f>
        <v/>
      </c>
      <c r="X5547" s="12">
        <f>IF(LEFT(I5547,2)="MV",2*N5547*IF(L5547="1/C",O5547,1),0)</f>
        <v/>
      </c>
      <c r="Y5547" s="12">
        <f>IF(OR(LEFT(K5547,4)="LVAX",LEFT(K5547,6)="MV15AX",LEFT(K5547,4)="CTAX",LEFT(K5547,2)="W|"),2*N5547*O5547,0)</f>
        <v/>
      </c>
      <c r="Z5547" s="12" t="inlineStr"/>
      <c r="AA5547" s="12">
        <f>N5547*O5547</f>
        <v/>
      </c>
    </row>
    <row r="5548">
      <c r="A5548" s="12" t="inlineStr">
        <is>
          <t>K-C-0072</t>
        </is>
      </c>
      <c r="B5548" s="12" t="inlineStr">
        <is>
          <t>K</t>
        </is>
      </c>
      <c r="C5548" s="12" t="inlineStr">
        <is>
          <t>Fuel supply (adjacent market)</t>
        </is>
      </c>
      <c r="D5548" s="12" t="inlineStr">
        <is>
          <t>Motor 1 of 1: control / local station</t>
        </is>
      </c>
      <c r="E5548" s="12" t="inlineStr"/>
      <c r="F5548" s="12" t="inlineStr">
        <is>
          <t>H2 20: 13.8 kV e-house</t>
        </is>
      </c>
      <c r="G5548" s="12" t="inlineStr"/>
      <c r="H5548" s="12" t="inlineStr">
        <is>
          <t>H2 28: N2 purge supply</t>
        </is>
      </c>
      <c r="I5548" s="12" t="inlineStr">
        <is>
          <t>Control</t>
        </is>
      </c>
      <c r="J5548" s="12" t="inlineStr">
        <is>
          <t>ARMOR-X MC-HL 600 V control, Cu #14 AWG (Class I Div 2)</t>
        </is>
      </c>
      <c r="K5548" s="12" t="inlineStr">
        <is>
          <t>CTAX|7/C|14</t>
        </is>
      </c>
      <c r="L5548" s="12" t="inlineStr">
        <is>
          <t>7/C</t>
        </is>
      </c>
      <c r="M5548" s="12" t="inlineStr">
        <is>
          <t>14</t>
        </is>
      </c>
      <c r="N5548" s="12" t="n">
        <v>1</v>
      </c>
      <c r="O5548" s="12" t="n">
        <v>1</v>
      </c>
      <c r="P5548" s="12" t="n"/>
      <c r="Q5548" s="12" t="n"/>
      <c r="R5548" s="12" t="n"/>
      <c r="S5548" s="12" t="inlineStr">
        <is>
          <t>Duct bank</t>
        </is>
      </c>
      <c r="T5548" s="16" t="n">
        <v>53</v>
      </c>
      <c r="U5548" s="16" t="n">
        <v>36</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K-C-0073</t>
        </is>
      </c>
      <c r="B5549" s="12" t="inlineStr">
        <is>
          <t>K</t>
        </is>
      </c>
      <c r="C5549" s="12" t="inlineStr">
        <is>
          <t>Fuel supply (adjacent market)</t>
        </is>
      </c>
      <c r="D5549" s="12" t="inlineStr">
        <is>
          <t>Solenoid to JB JB-H2 28: N2 purge su-SOL01: 2 x 2/C (field cables)</t>
        </is>
      </c>
      <c r="E5549" s="12" t="inlineStr"/>
      <c r="F5549" s="12" t="inlineStr">
        <is>
          <t>H2 28: N2 purge supply</t>
        </is>
      </c>
      <c r="G5549" s="12" t="inlineStr">
        <is>
          <t>JB-H2 28: N2 purge su-SOL01</t>
        </is>
      </c>
      <c r="H5549" s="12" t="inlineStr">
        <is>
          <t>H2 28: N2 purge supply</t>
        </is>
      </c>
      <c r="I5549" s="12" t="inlineStr">
        <is>
          <t>Control</t>
        </is>
      </c>
      <c r="J5549" s="12" t="inlineStr">
        <is>
          <t>ARMOR-X MC-HL 600 V control, Cu #14 AWG (Class I Div 2)</t>
        </is>
      </c>
      <c r="K5549" s="12" t="inlineStr">
        <is>
          <t>CTAX|2/C|14</t>
        </is>
      </c>
      <c r="L5549" s="12" t="inlineStr">
        <is>
          <t>2/C</t>
        </is>
      </c>
      <c r="M5549" s="12" t="inlineStr">
        <is>
          <t>14</t>
        </is>
      </c>
      <c r="N5549" s="12" t="n">
        <v>2</v>
      </c>
      <c r="O5549" s="12" t="n">
        <v>1</v>
      </c>
      <c r="P5549" s="12" t="n"/>
      <c r="Q5549" s="12" t="n"/>
      <c r="R5549" s="12" t="n"/>
      <c r="S5549" s="12" t="inlineStr">
        <is>
          <t>Tray / conduit</t>
        </is>
      </c>
      <c r="T5549" s="16" t="n">
        <v>56</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K-C-0074</t>
        </is>
      </c>
      <c r="B5550" s="12" t="inlineStr">
        <is>
          <t>K</t>
        </is>
      </c>
      <c r="C5550" s="12" t="inlineStr">
        <is>
          <t>Fuel supply (adjacent market)</t>
        </is>
      </c>
      <c r="D5550" s="12" t="inlineStr">
        <is>
          <t>Home run JB-H2 28: N2 purge su-SOL01 to the control / marshalling room</t>
        </is>
      </c>
      <c r="E5550" s="12" t="inlineStr"/>
      <c r="F5550" s="12" t="inlineStr">
        <is>
          <t>H2 20: 13.8 kV e-house</t>
        </is>
      </c>
      <c r="G5550" s="12" t="inlineStr">
        <is>
          <t>JB-H2 28: N2 purge su-SOL01</t>
        </is>
      </c>
      <c r="H5550" s="12" t="inlineStr">
        <is>
          <t>H2 28: N2 purge supply</t>
        </is>
      </c>
      <c r="I5550" s="12" t="inlineStr">
        <is>
          <t>Control</t>
        </is>
      </c>
      <c r="J5550" s="12" t="inlineStr">
        <is>
          <t>ARMOR-X MC-HL 600 V control, Cu #14 AWG (Class I Div 2)</t>
        </is>
      </c>
      <c r="K5550" s="12" t="inlineStr">
        <is>
          <t>CTAX|25/C|14</t>
        </is>
      </c>
      <c r="L5550" s="12" t="inlineStr">
        <is>
          <t>25/C</t>
        </is>
      </c>
      <c r="M5550" s="12" t="inlineStr">
        <is>
          <t>14</t>
        </is>
      </c>
      <c r="N5550" s="12" t="n">
        <v>1</v>
      </c>
      <c r="O5550" s="12" t="n">
        <v>1</v>
      </c>
      <c r="P5550" s="12" t="n"/>
      <c r="Q5550" s="12" t="n"/>
      <c r="R5550" s="12" t="n"/>
      <c r="S5550" s="12" t="inlineStr">
        <is>
          <t>Duct bank</t>
        </is>
      </c>
      <c r="T5550" s="16" t="n">
        <v>53</v>
      </c>
      <c r="U5550" s="16" t="n">
        <v>36</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K-C-0075</t>
        </is>
      </c>
      <c r="B5551" s="12" t="inlineStr">
        <is>
          <t>K</t>
        </is>
      </c>
      <c r="C5551" s="12" t="inlineStr">
        <is>
          <t>Fuel supply (adjacent market)</t>
        </is>
      </c>
      <c r="D5551" s="12" t="inlineStr">
        <is>
          <t>Motor 1 of 1: control / local station</t>
        </is>
      </c>
      <c r="E5551" s="12" t="inlineStr"/>
      <c r="F5551" s="12" t="inlineStr">
        <is>
          <t>H2 20: 13.8 kV e-house</t>
        </is>
      </c>
      <c r="G5551" s="12" t="inlineStr"/>
      <c r="H5551" s="12" t="inlineStr">
        <is>
          <t>H2 29: vent stack</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55</v>
      </c>
      <c r="U5551" s="16" t="n">
        <v>205</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K-C-0076</t>
        </is>
      </c>
      <c r="B5552" s="12" t="inlineStr">
        <is>
          <t>K</t>
        </is>
      </c>
      <c r="C5552" s="12" t="inlineStr">
        <is>
          <t>Fuel supply (adjacent market)</t>
        </is>
      </c>
      <c r="D5552" s="12" t="inlineStr">
        <is>
          <t>Solenoid to JB JB-H2 29: vent stack-SOL01: 2 x 2/C (field cables)</t>
        </is>
      </c>
      <c r="E5552" s="12" t="inlineStr"/>
      <c r="F5552" s="12" t="inlineStr">
        <is>
          <t>H2 29: vent stack</t>
        </is>
      </c>
      <c r="G5552" s="12" t="inlineStr">
        <is>
          <t>JB-H2 29: vent stack-SOL01</t>
        </is>
      </c>
      <c r="H5552" s="12" t="inlineStr">
        <is>
          <t>H2 29: vent stack</t>
        </is>
      </c>
      <c r="I5552" s="12" t="inlineStr">
        <is>
          <t>Control</t>
        </is>
      </c>
      <c r="J5552" s="12" t="inlineStr">
        <is>
          <t>ARMOR-X MC-HL 600 V control, Cu #14 AWG (Class I Div 2)</t>
        </is>
      </c>
      <c r="K5552" s="12" t="inlineStr">
        <is>
          <t>CTAX|2/C|14</t>
        </is>
      </c>
      <c r="L5552" s="12" t="inlineStr">
        <is>
          <t>2/C</t>
        </is>
      </c>
      <c r="M5552" s="12" t="inlineStr">
        <is>
          <t>14</t>
        </is>
      </c>
      <c r="N5552" s="12" t="n">
        <v>2</v>
      </c>
      <c r="O5552" s="12" t="n">
        <v>1</v>
      </c>
      <c r="P5552" s="12" t="n"/>
      <c r="Q5552" s="12" t="n"/>
      <c r="R5552" s="12" t="n"/>
      <c r="S5552" s="12" t="inlineStr">
        <is>
          <t>Tray / conduit</t>
        </is>
      </c>
      <c r="T5552" s="16" t="n">
        <v>45</v>
      </c>
      <c r="U5552" s="16" t="n">
        <v>10</v>
      </c>
      <c r="V5552" s="16">
        <f>ROUNDUP((T5552+U5552+2*'Read Me'!$B$13)*(1+'Read Me'!$B$12),-1)</f>
        <v/>
      </c>
      <c r="W5552" s="16">
        <f>V5552*N5552*O5552</f>
        <v/>
      </c>
      <c r="X5552" s="12">
        <f>IF(LEFT(I5552,2)="MV",2*N5552*IF(L5552="1/C",O5552,1),0)</f>
        <v/>
      </c>
      <c r="Y5552" s="12">
        <f>IF(OR(LEFT(K5552,4)="LVAX",LEFT(K5552,6)="MV15AX",LEFT(K5552,4)="CTAX",LEFT(K5552,2)="W|"),2*N5552*O5552,0)</f>
        <v/>
      </c>
      <c r="Z5552" s="12" t="inlineStr">
        <is>
          <t>device-to-JB field wiring, one cable per device</t>
        </is>
      </c>
      <c r="AA5552" s="12">
        <f>N5552*O5552</f>
        <v/>
      </c>
    </row>
    <row r="5553">
      <c r="A5553" s="12" t="inlineStr">
        <is>
          <t>K-C-0077</t>
        </is>
      </c>
      <c r="B5553" s="12" t="inlineStr">
        <is>
          <t>K</t>
        </is>
      </c>
      <c r="C5553" s="12" t="inlineStr">
        <is>
          <t>Fuel supply (adjacent market)</t>
        </is>
      </c>
      <c r="D5553" s="12" t="inlineStr">
        <is>
          <t>Home run JB-H2 29: vent stack-SOL01 to the control / marshalling room</t>
        </is>
      </c>
      <c r="E5553" s="12" t="inlineStr"/>
      <c r="F5553" s="12" t="inlineStr">
        <is>
          <t>H2 20: 13.8 kV e-house</t>
        </is>
      </c>
      <c r="G5553" s="12" t="inlineStr">
        <is>
          <t>JB-H2 29: vent stack-SOL01</t>
        </is>
      </c>
      <c r="H5553" s="12" t="inlineStr">
        <is>
          <t>H2 29: vent stack</t>
        </is>
      </c>
      <c r="I5553" s="12" t="inlineStr">
        <is>
          <t>Control</t>
        </is>
      </c>
      <c r="J5553" s="12" t="inlineStr">
        <is>
          <t>ARMOR-X MC-HL 600 V control, Cu #14 AWG (Class I Div 2)</t>
        </is>
      </c>
      <c r="K5553" s="12" t="inlineStr">
        <is>
          <t>CTAX|25/C|14</t>
        </is>
      </c>
      <c r="L5553" s="12" t="inlineStr">
        <is>
          <t>25/C</t>
        </is>
      </c>
      <c r="M5553" s="12" t="inlineStr">
        <is>
          <t>14</t>
        </is>
      </c>
      <c r="N5553" s="12" t="n">
        <v>1</v>
      </c>
      <c r="O5553" s="12" t="n">
        <v>1</v>
      </c>
      <c r="P5553" s="12" t="n"/>
      <c r="Q5553" s="12" t="n"/>
      <c r="R5553" s="12" t="n"/>
      <c r="S5553" s="12" t="inlineStr">
        <is>
          <t>Duct bank</t>
        </is>
      </c>
      <c r="T5553" s="16" t="n">
        <v>55</v>
      </c>
      <c r="U5553" s="16" t="n">
        <v>205</v>
      </c>
      <c r="V5553" s="16">
        <f>ROUNDUP((T5553+U5553+2*'Read Me'!$B$13)*(1+'Read Me'!$B$12),-1)</f>
        <v/>
      </c>
      <c r="W5553" s="16">
        <f>V5553*N5553*O5553</f>
        <v/>
      </c>
      <c r="X5553" s="12">
        <f>IF(LEFT(I5553,2)="MV",2*N5553*IF(L5553="1/C",O5553,1),0)</f>
        <v/>
      </c>
      <c r="Y5553" s="12">
        <f>IF(OR(LEFT(K5553,4)="LVAX",LEFT(K5553,6)="MV15AX",LEFT(K5553,4)="CTAX",LEFT(K5553,2)="W|"),2*N5553*O5553,0)</f>
        <v/>
      </c>
      <c r="Z5553" s="12" t="inlineStr"/>
      <c r="AA5553" s="12">
        <f>N5553*O5553</f>
        <v/>
      </c>
    </row>
    <row r="5554">
      <c r="A5554" s="12" t="inlineStr">
        <is>
          <t>K-C-0078</t>
        </is>
      </c>
      <c r="B5554" s="12" t="inlineStr">
        <is>
          <t>K</t>
        </is>
      </c>
      <c r="C5554" s="12" t="inlineStr">
        <is>
          <t>Fuel supply (adjacent market)</t>
        </is>
      </c>
      <c r="D5554" s="12" t="inlineStr">
        <is>
          <t>Motor 1 of 1: control / local station</t>
        </is>
      </c>
      <c r="E5554" s="12" t="inlineStr"/>
      <c r="F5554" s="12" t="inlineStr">
        <is>
          <t>LNG 17: LNG e-house (13.8 kV / 480 V)</t>
        </is>
      </c>
      <c r="G5554" s="12" t="inlineStr"/>
      <c r="H5554" s="12" t="inlineStr">
        <is>
          <t>H2 30: H2 / gas blending station (plant gas yard)</t>
        </is>
      </c>
      <c r="I5554" s="12" t="inlineStr">
        <is>
          <t>Control</t>
        </is>
      </c>
      <c r="J5554" s="12" t="inlineStr">
        <is>
          <t>ARMOR-X MC-HL 600 V control, Cu #14 AWG (Class I Div 2)</t>
        </is>
      </c>
      <c r="K5554" s="12" t="inlineStr">
        <is>
          <t>CTAX|7/C|14</t>
        </is>
      </c>
      <c r="L5554" s="12" t="inlineStr">
        <is>
          <t>7/C</t>
        </is>
      </c>
      <c r="M5554" s="12" t="inlineStr">
        <is>
          <t>14</t>
        </is>
      </c>
      <c r="N5554" s="12" t="n">
        <v>1</v>
      </c>
      <c r="O5554" s="12" t="n">
        <v>1</v>
      </c>
      <c r="P5554" s="12" t="n"/>
      <c r="Q5554" s="12" t="n"/>
      <c r="R5554" s="12" t="n"/>
      <c r="S5554" s="12" t="inlineStr">
        <is>
          <t>Duct bank</t>
        </is>
      </c>
      <c r="T5554" s="16" t="n">
        <v>994</v>
      </c>
      <c r="U5554" s="16" t="n">
        <v>114</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K-C-0079</t>
        </is>
      </c>
      <c r="B5555" s="12" t="inlineStr">
        <is>
          <t>K</t>
        </is>
      </c>
      <c r="C5555" s="12" t="inlineStr">
        <is>
          <t>Fuel supply (adjacent market)</t>
        </is>
      </c>
      <c r="D5555" s="12" t="inlineStr">
        <is>
          <t>Solenoid to JB JB-H2 30: H2 / gas bl-SOL01: 2 x 2/C (field cables)</t>
        </is>
      </c>
      <c r="E5555" s="12" t="inlineStr"/>
      <c r="F5555" s="12" t="inlineStr">
        <is>
          <t>H2 30: H2 / gas blending station (plant gas yard)</t>
        </is>
      </c>
      <c r="G5555" s="12" t="inlineStr">
        <is>
          <t>JB-H2 30: H2 / gas bl-SOL01</t>
        </is>
      </c>
      <c r="H5555" s="12" t="inlineStr">
        <is>
          <t>H2 30: H2 / gas blending station (plant gas yard)</t>
        </is>
      </c>
      <c r="I5555" s="12" t="inlineStr">
        <is>
          <t>Control</t>
        </is>
      </c>
      <c r="J5555" s="12" t="inlineStr">
        <is>
          <t>ARMOR-X MC-HL 600 V control, Cu #14 AWG (Class I Div 2)</t>
        </is>
      </c>
      <c r="K5555" s="12" t="inlineStr">
        <is>
          <t>CTAX|2/C|14</t>
        </is>
      </c>
      <c r="L5555" s="12" t="inlineStr">
        <is>
          <t>2/C</t>
        </is>
      </c>
      <c r="M5555" s="12" t="inlineStr">
        <is>
          <t>14</t>
        </is>
      </c>
      <c r="N5555" s="12" t="n">
        <v>2</v>
      </c>
      <c r="O5555" s="12" t="n">
        <v>1</v>
      </c>
      <c r="P5555" s="12" t="n"/>
      <c r="Q5555" s="12" t="n"/>
      <c r="R5555" s="12" t="n"/>
      <c r="S5555" s="12" t="inlineStr">
        <is>
          <t>Tray / conduit</t>
        </is>
      </c>
      <c r="T5555" s="16" t="n">
        <v>129</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K-C-0080</t>
        </is>
      </c>
      <c r="B5556" s="12" t="inlineStr">
        <is>
          <t>K</t>
        </is>
      </c>
      <c r="C5556" s="12" t="inlineStr">
        <is>
          <t>Fuel supply (adjacent market)</t>
        </is>
      </c>
      <c r="D5556" s="12" t="inlineStr">
        <is>
          <t>Home run JB-H2 30: H2 / gas bl-SOL01 to the control / marshalling room</t>
        </is>
      </c>
      <c r="E5556" s="12" t="inlineStr"/>
      <c r="F5556" s="12" t="inlineStr">
        <is>
          <t>LNG 17: LNG e-house (13.8 kV / 480 V)</t>
        </is>
      </c>
      <c r="G5556" s="12" t="inlineStr">
        <is>
          <t>JB-H2 30: H2 / gas bl-SOL01</t>
        </is>
      </c>
      <c r="H5556" s="12" t="inlineStr">
        <is>
          <t>H2 30: H2 / gas blending station (plant gas yard)</t>
        </is>
      </c>
      <c r="I5556" s="12" t="inlineStr">
        <is>
          <t>Control</t>
        </is>
      </c>
      <c r="J5556" s="12" t="inlineStr">
        <is>
          <t>ARMOR-X MC-HL 600 V control, Cu #14 AWG (Class I Div 2)</t>
        </is>
      </c>
      <c r="K5556" s="12" t="inlineStr">
        <is>
          <t>CTAX|25/C|14</t>
        </is>
      </c>
      <c r="L5556" s="12" t="inlineStr">
        <is>
          <t>25/C</t>
        </is>
      </c>
      <c r="M5556" s="12" t="inlineStr">
        <is>
          <t>14</t>
        </is>
      </c>
      <c r="N5556" s="12" t="n">
        <v>1</v>
      </c>
      <c r="O5556" s="12" t="n">
        <v>1</v>
      </c>
      <c r="P5556" s="12" t="n"/>
      <c r="Q5556" s="12" t="n"/>
      <c r="R5556" s="12" t="n"/>
      <c r="S5556" s="12" t="inlineStr">
        <is>
          <t>Duct bank</t>
        </is>
      </c>
      <c r="T5556" s="16" t="n">
        <v>994</v>
      </c>
      <c r="U5556" s="16" t="n">
        <v>114</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K-C-0081</t>
        </is>
      </c>
      <c r="B5557" s="12" t="inlineStr">
        <is>
          <t>K</t>
        </is>
      </c>
      <c r="C5557" s="12" t="inlineStr">
        <is>
          <t>Fuel supply (adjacent market)</t>
        </is>
      </c>
      <c r="D5557" s="12" t="inlineStr">
        <is>
          <t>Motor 1 of 2: control / local station</t>
        </is>
      </c>
      <c r="E5557" s="12" t="inlineStr"/>
      <c r="F5557" s="12" t="inlineStr">
        <is>
          <t>H2 20: 13.8 kV e-house</t>
        </is>
      </c>
      <c r="G5557" s="12" t="inlineStr"/>
      <c r="H5557" s="12" t="inlineStr">
        <is>
          <t>H2 pipe track and cable trench, hall -&gt; dryer / compressors (N2, instr</t>
        </is>
      </c>
      <c r="I5557" s="12" t="inlineStr">
        <is>
          <t>Control</t>
        </is>
      </c>
      <c r="J5557" s="12" t="inlineStr">
        <is>
          <t>ARMOR-X MC-HL 600 V control, Cu #14 AWG (Class I Div 2)</t>
        </is>
      </c>
      <c r="K5557" s="12" t="inlineStr">
        <is>
          <t>CTAX|7/C|14</t>
        </is>
      </c>
      <c r="L5557" s="12" t="inlineStr">
        <is>
          <t>7/C</t>
        </is>
      </c>
      <c r="M5557" s="12" t="inlineStr">
        <is>
          <t>14</t>
        </is>
      </c>
      <c r="N5557" s="12" t="n">
        <v>1</v>
      </c>
      <c r="O5557" s="12" t="n">
        <v>1</v>
      </c>
      <c r="P5557" s="12" t="n"/>
      <c r="Q5557" s="12" t="n"/>
      <c r="R5557" s="12" t="n"/>
      <c r="S5557" s="12" t="inlineStr">
        <is>
          <t>Duct bank</t>
        </is>
      </c>
      <c r="T5557" s="16" t="n">
        <v>53</v>
      </c>
      <c r="U5557" s="16" t="n">
        <v>62</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K-C-0082</t>
        </is>
      </c>
      <c r="B5558" s="12" t="inlineStr">
        <is>
          <t>K</t>
        </is>
      </c>
      <c r="C5558" s="12" t="inlineStr">
        <is>
          <t>Fuel supply (adjacent market)</t>
        </is>
      </c>
      <c r="D5558" s="12" t="inlineStr">
        <is>
          <t>Motor 2 of 2: control / local station</t>
        </is>
      </c>
      <c r="E5558" s="12" t="inlineStr"/>
      <c r="F5558" s="12" t="inlineStr">
        <is>
          <t>H2 20: 13.8 kV e-house</t>
        </is>
      </c>
      <c r="G5558" s="12" t="inlineStr"/>
      <c r="H5558" s="12" t="inlineStr">
        <is>
          <t>H2 pipe track and cable trench, hall -&gt; dryer / compressors (N2, instr</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53</v>
      </c>
      <c r="U5558" s="16" t="n">
        <v>62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K-C-0083</t>
        </is>
      </c>
      <c r="B5559" s="12" t="inlineStr">
        <is>
          <t>K</t>
        </is>
      </c>
      <c r="C5559" s="12" t="inlineStr">
        <is>
          <t>Fuel supply (adjacent market)</t>
        </is>
      </c>
      <c r="D5559" s="12" t="inlineStr">
        <is>
          <t>Control</t>
        </is>
      </c>
      <c r="E5559" s="12" t="inlineStr"/>
      <c r="F5559" s="12" t="inlineStr">
        <is>
          <t>H2 20: 13.8 kV e-house</t>
        </is>
      </c>
      <c r="G5559" s="12" t="inlineStr">
        <is>
          <t>H2-ST</t>
        </is>
      </c>
      <c r="H5559" s="12" t="inlineStr">
        <is>
          <t>H2 storage tube banks x4</t>
        </is>
      </c>
      <c r="I5559" s="12" t="inlineStr">
        <is>
          <t>Control</t>
        </is>
      </c>
      <c r="J5559" s="12" t="inlineStr">
        <is>
          <t>ARMOR-X MC-HL 600 V control, Cu #14 AWG (Class I Div 2)</t>
        </is>
      </c>
      <c r="K5559" s="12" t="inlineStr">
        <is>
          <t>CTAX|7/C|14</t>
        </is>
      </c>
      <c r="L5559" s="12" t="inlineStr">
        <is>
          <t>7/C</t>
        </is>
      </c>
      <c r="M5559" s="12" t="inlineStr">
        <is>
          <t>14</t>
        </is>
      </c>
      <c r="N5559" s="12" t="n">
        <v>1</v>
      </c>
      <c r="O5559" s="12" t="n">
        <v>1</v>
      </c>
      <c r="P5559" s="12" t="n"/>
      <c r="Q5559" s="12" t="n"/>
      <c r="R5559" s="12" t="n"/>
      <c r="S5559" s="12" t="inlineStr">
        <is>
          <t>Duct bank</t>
        </is>
      </c>
      <c r="T5559" s="16" t="n">
        <v>50</v>
      </c>
      <c r="U5559" s="16" t="n">
        <v>92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K-C-0084</t>
        </is>
      </c>
      <c r="B5560" s="12" t="inlineStr">
        <is>
          <t>K</t>
        </is>
      </c>
      <c r="C5560" s="12" t="inlineStr">
        <is>
          <t>Fuel supply (adjacent market)</t>
        </is>
      </c>
      <c r="D5560" s="12" t="inlineStr">
        <is>
          <t>Motor 1 of 1: control / local station</t>
        </is>
      </c>
      <c r="E5560" s="12" t="inlineStr"/>
      <c r="F5560" s="12" t="inlineStr">
        <is>
          <t>LNG 17: LNG e-house (13.8 kV / 480 V)</t>
        </is>
      </c>
      <c r="G5560" s="12" t="inlineStr"/>
      <c r="H5560" s="12" t="inlineStr">
        <is>
          <t>LNG 10: truck unloading bay 1</t>
        </is>
      </c>
      <c r="I5560" s="12" t="inlineStr">
        <is>
          <t>Control</t>
        </is>
      </c>
      <c r="J5560" s="12" t="inlineStr">
        <is>
          <t>ARMOR-X MC-HL 600 V control, Cu #14 AWG (Class I Div 2)</t>
        </is>
      </c>
      <c r="K5560" s="12" t="inlineStr">
        <is>
          <t>CTAX|7/C|14</t>
        </is>
      </c>
      <c r="L5560" s="12" t="inlineStr">
        <is>
          <t>7/C</t>
        </is>
      </c>
      <c r="M5560" s="12" t="inlineStr">
        <is>
          <t>14</t>
        </is>
      </c>
      <c r="N5560" s="12" t="n">
        <v>1</v>
      </c>
      <c r="O5560" s="12" t="n">
        <v>1</v>
      </c>
      <c r="P5560" s="12" t="n"/>
      <c r="Q5560" s="12" t="n"/>
      <c r="R5560" s="12" t="n"/>
      <c r="S5560" s="12" t="inlineStr">
        <is>
          <t>Duct bank</t>
        </is>
      </c>
      <c r="T5560" s="16" t="n">
        <v>237</v>
      </c>
      <c r="U5560" s="16" t="n">
        <v>61</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K-C-0085</t>
        </is>
      </c>
      <c r="B5561" s="12" t="inlineStr">
        <is>
          <t>K</t>
        </is>
      </c>
      <c r="C5561" s="12" t="inlineStr">
        <is>
          <t>Fuel supply (adjacent market)</t>
        </is>
      </c>
      <c r="D5561" s="12" t="inlineStr">
        <is>
          <t>Solenoid to JB JB-LNG 10: truck unlo-SOL01: 2 x 2/C (field cables)</t>
        </is>
      </c>
      <c r="E5561" s="12" t="inlineStr"/>
      <c r="F5561" s="12" t="inlineStr">
        <is>
          <t>LNG 10: truck unloading bay 1</t>
        </is>
      </c>
      <c r="G5561" s="12" t="inlineStr">
        <is>
          <t>JB-LNG 10: truck unlo-SOL01</t>
        </is>
      </c>
      <c r="H5561" s="12" t="inlineStr">
        <is>
          <t>LNG 10: truck unloading bay 1</t>
        </is>
      </c>
      <c r="I5561" s="12" t="inlineStr">
        <is>
          <t>Control</t>
        </is>
      </c>
      <c r="J5561" s="12" t="inlineStr">
        <is>
          <t>ARMOR-X MC-HL 600 V control, Cu #14 AWG (Class I Div 2)</t>
        </is>
      </c>
      <c r="K5561" s="12" t="inlineStr">
        <is>
          <t>CTAX|2/C|14</t>
        </is>
      </c>
      <c r="L5561" s="12" t="inlineStr">
        <is>
          <t>2/C</t>
        </is>
      </c>
      <c r="M5561" s="12" t="inlineStr">
        <is>
          <t>14</t>
        </is>
      </c>
      <c r="N5561" s="12" t="n">
        <v>2</v>
      </c>
      <c r="O5561" s="12" t="n">
        <v>1</v>
      </c>
      <c r="P5561" s="12" t="n"/>
      <c r="Q5561" s="12" t="n"/>
      <c r="R5561" s="12" t="n"/>
      <c r="S5561" s="12" t="inlineStr">
        <is>
          <t>Tray / conduit</t>
        </is>
      </c>
      <c r="T5561" s="16" t="n">
        <v>72</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K-C-0086</t>
        </is>
      </c>
      <c r="B5562" s="12" t="inlineStr">
        <is>
          <t>K</t>
        </is>
      </c>
      <c r="C5562" s="12" t="inlineStr">
        <is>
          <t>Fuel supply (adjacent market)</t>
        </is>
      </c>
      <c r="D5562" s="12" t="inlineStr">
        <is>
          <t>Home run JB-LNG 10: truck unlo-SOL01 to the control / marshalling room</t>
        </is>
      </c>
      <c r="E5562" s="12" t="inlineStr"/>
      <c r="F5562" s="12" t="inlineStr">
        <is>
          <t>LNG 17: LNG e-house (13.8 kV / 480 V)</t>
        </is>
      </c>
      <c r="G5562" s="12" t="inlineStr">
        <is>
          <t>JB-LNG 10: truck unlo-SOL01</t>
        </is>
      </c>
      <c r="H5562" s="12" t="inlineStr">
        <is>
          <t>LNG 10: truck unloading bay 1</t>
        </is>
      </c>
      <c r="I5562" s="12" t="inlineStr">
        <is>
          <t>Control</t>
        </is>
      </c>
      <c r="J5562" s="12" t="inlineStr">
        <is>
          <t>ARMOR-X MC-HL 600 V control, Cu #14 AWG (Class I Div 2)</t>
        </is>
      </c>
      <c r="K5562" s="12" t="inlineStr">
        <is>
          <t>CTAX|25/C|14</t>
        </is>
      </c>
      <c r="L5562" s="12" t="inlineStr">
        <is>
          <t>25/C</t>
        </is>
      </c>
      <c r="M5562" s="12" t="inlineStr">
        <is>
          <t>14</t>
        </is>
      </c>
      <c r="N5562" s="12" t="n">
        <v>1</v>
      </c>
      <c r="O5562" s="12" t="n">
        <v>1</v>
      </c>
      <c r="P5562" s="12" t="n"/>
      <c r="Q5562" s="12" t="n"/>
      <c r="R5562" s="12" t="n"/>
      <c r="S5562" s="12" t="inlineStr">
        <is>
          <t>Duct bank</t>
        </is>
      </c>
      <c r="T5562" s="16" t="n">
        <v>237</v>
      </c>
      <c r="U5562" s="16" t="n">
        <v>61</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K-C-0087</t>
        </is>
      </c>
      <c r="B5563" s="12" t="inlineStr">
        <is>
          <t>K</t>
        </is>
      </c>
      <c r="C5563" s="12" t="inlineStr">
        <is>
          <t>Fuel supply (adjacent market)</t>
        </is>
      </c>
      <c r="D5563" s="12" t="inlineStr">
        <is>
          <t>Motor 1 of 1: control / local station</t>
        </is>
      </c>
      <c r="E5563" s="12" t="inlineStr"/>
      <c r="F5563" s="12" t="inlineStr">
        <is>
          <t>LNG 17: LNG e-house (13.8 kV / 480 V)</t>
        </is>
      </c>
      <c r="G5563" s="12" t="inlineStr"/>
      <c r="H5563" s="12" t="inlineStr">
        <is>
          <t>LNG 10: truck unloading bay 2</t>
        </is>
      </c>
      <c r="I5563" s="12" t="inlineStr">
        <is>
          <t>Control</t>
        </is>
      </c>
      <c r="J5563" s="12" t="inlineStr">
        <is>
          <t>ARMOR-X MC-HL 600 V control, Cu #14 AWG (Class I Div 2)</t>
        </is>
      </c>
      <c r="K5563" s="12" t="inlineStr">
        <is>
          <t>CTAX|7/C|14</t>
        </is>
      </c>
      <c r="L5563" s="12" t="inlineStr">
        <is>
          <t>7/C</t>
        </is>
      </c>
      <c r="M5563" s="12" t="inlineStr">
        <is>
          <t>14</t>
        </is>
      </c>
      <c r="N5563" s="12" t="n">
        <v>1</v>
      </c>
      <c r="O5563" s="12" t="n">
        <v>1</v>
      </c>
      <c r="P5563" s="12" t="n"/>
      <c r="Q5563" s="12" t="n"/>
      <c r="R5563" s="12" t="n"/>
      <c r="S5563" s="12" t="inlineStr">
        <is>
          <t>Duct bank</t>
        </is>
      </c>
      <c r="T5563" s="16" t="n">
        <v>147</v>
      </c>
      <c r="U5563" s="16" t="n">
        <v>66</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K-C-0088</t>
        </is>
      </c>
      <c r="B5564" s="12" t="inlineStr">
        <is>
          <t>K</t>
        </is>
      </c>
      <c r="C5564" s="12" t="inlineStr">
        <is>
          <t>Fuel supply (adjacent market)</t>
        </is>
      </c>
      <c r="D5564" s="12" t="inlineStr">
        <is>
          <t>Solenoid to JB JB-LNG 10: truck unlo-SOL01: 2 x 2/C (field cables)</t>
        </is>
      </c>
      <c r="E5564" s="12" t="inlineStr"/>
      <c r="F5564" s="12" t="inlineStr">
        <is>
          <t>LNG 10: truck unloading bay 2</t>
        </is>
      </c>
      <c r="G5564" s="12" t="inlineStr">
        <is>
          <t>JB-LNG 10: truck unlo-SOL01</t>
        </is>
      </c>
      <c r="H5564" s="12" t="inlineStr">
        <is>
          <t>LNG 10: truck unloading bay 2</t>
        </is>
      </c>
      <c r="I5564" s="12" t="inlineStr">
        <is>
          <t>Control</t>
        </is>
      </c>
      <c r="J5564" s="12" t="inlineStr">
        <is>
          <t>ARMOR-X MC-HL 600 V control, Cu #14 AWG (Class I Div 2)</t>
        </is>
      </c>
      <c r="K5564" s="12" t="inlineStr">
        <is>
          <t>CTAX|2/C|14</t>
        </is>
      </c>
      <c r="L5564" s="12" t="inlineStr">
        <is>
          <t>2/C</t>
        </is>
      </c>
      <c r="M5564" s="12" t="inlineStr">
        <is>
          <t>14</t>
        </is>
      </c>
      <c r="N5564" s="12" t="n">
        <v>2</v>
      </c>
      <c r="O5564" s="12" t="n">
        <v>1</v>
      </c>
      <c r="P5564" s="12" t="n"/>
      <c r="Q5564" s="12" t="n"/>
      <c r="R5564" s="12" t="n"/>
      <c r="S5564" s="12" t="inlineStr">
        <is>
          <t>Tray / conduit</t>
        </is>
      </c>
      <c r="T5564" s="16" t="n">
        <v>72</v>
      </c>
      <c r="U5564" s="16" t="n">
        <v>10</v>
      </c>
      <c r="V5564" s="16">
        <f>ROUNDUP((T5564+U5564+2*'Read Me'!$B$13)*(1+'Read Me'!$B$12),-1)</f>
        <v/>
      </c>
      <c r="W5564" s="16">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K-C-0089</t>
        </is>
      </c>
      <c r="B5565" s="12" t="inlineStr">
        <is>
          <t>K</t>
        </is>
      </c>
      <c r="C5565" s="12" t="inlineStr">
        <is>
          <t>Fuel supply (adjacent market)</t>
        </is>
      </c>
      <c r="D5565" s="12" t="inlineStr">
        <is>
          <t>Home run JB-LNG 10: truck unlo-SOL01 to the control / marshalling room</t>
        </is>
      </c>
      <c r="E5565" s="12" t="inlineStr"/>
      <c r="F5565" s="12" t="inlineStr">
        <is>
          <t>LNG 17: LNG e-house (13.8 kV / 480 V)</t>
        </is>
      </c>
      <c r="G5565" s="12" t="inlineStr">
        <is>
          <t>JB-LNG 10: truck unlo-SOL01</t>
        </is>
      </c>
      <c r="H5565" s="12" t="inlineStr">
        <is>
          <t>LNG 10: truck unloading bay 2</t>
        </is>
      </c>
      <c r="I5565" s="12" t="inlineStr">
        <is>
          <t>Control</t>
        </is>
      </c>
      <c r="J5565" s="12" t="inlineStr">
        <is>
          <t>ARMOR-X MC-HL 600 V control, Cu #14 AWG (Class I Div 2)</t>
        </is>
      </c>
      <c r="K5565" s="12" t="inlineStr">
        <is>
          <t>CTAX|25/C|14</t>
        </is>
      </c>
      <c r="L5565" s="12" t="inlineStr">
        <is>
          <t>25/C</t>
        </is>
      </c>
      <c r="M5565" s="12" t="inlineStr">
        <is>
          <t>14</t>
        </is>
      </c>
      <c r="N5565" s="12" t="n">
        <v>1</v>
      </c>
      <c r="O5565" s="12" t="n">
        <v>1</v>
      </c>
      <c r="P5565" s="12" t="n"/>
      <c r="Q5565" s="12" t="n"/>
      <c r="R5565" s="12" t="n"/>
      <c r="S5565" s="12" t="inlineStr">
        <is>
          <t>Duct bank</t>
        </is>
      </c>
      <c r="T5565" s="16" t="n">
        <v>147</v>
      </c>
      <c r="U5565" s="16" t="n">
        <v>66</v>
      </c>
      <c r="V5565" s="16">
        <f>ROUNDUP((T5565+U5565+2*'Read Me'!$B$13)*(1+'Read Me'!$B$12),-1)</f>
        <v/>
      </c>
      <c r="W5565" s="16">
        <f>V5565*N5565*O5565</f>
        <v/>
      </c>
      <c r="X5565" s="12">
        <f>IF(LEFT(I5565,2)="MV",2*N5565*IF(L5565="1/C",O5565,1),0)</f>
        <v/>
      </c>
      <c r="Y5565" s="12">
        <f>IF(OR(LEFT(K5565,4)="LVAX",LEFT(K5565,6)="MV15AX",LEFT(K5565,4)="CTAX",LEFT(K5565,2)="W|"),2*N5565*O5565,0)</f>
        <v/>
      </c>
      <c r="Z5565" s="12" t="inlineStr"/>
      <c r="AA5565" s="12">
        <f>N5565*O5565</f>
        <v/>
      </c>
    </row>
    <row r="5566">
      <c r="A5566" s="12" t="inlineStr">
        <is>
          <t>K-C-0090</t>
        </is>
      </c>
      <c r="B5566" s="12" t="inlineStr">
        <is>
          <t>K</t>
        </is>
      </c>
      <c r="C5566" s="12" t="inlineStr">
        <is>
          <t>Fuel supply (adjacent market)</t>
        </is>
      </c>
      <c r="D5566" s="12" t="inlineStr">
        <is>
          <t>Motor 1 of 1: control / local station</t>
        </is>
      </c>
      <c r="E5566" s="12" t="inlineStr"/>
      <c r="F5566" s="12" t="inlineStr">
        <is>
          <t>LNG 17: LNG e-house (13.8 kV / 480 V)</t>
        </is>
      </c>
      <c r="G5566" s="12" t="inlineStr"/>
      <c r="H5566" s="12" t="inlineStr">
        <is>
          <t>LNG 10: unloading skid</t>
        </is>
      </c>
      <c r="I5566" s="12" t="inlineStr">
        <is>
          <t>Control</t>
        </is>
      </c>
      <c r="J5566" s="12" t="inlineStr">
        <is>
          <t>ARMOR-X MC-HL 600 V control, Cu #14 AWG (Class I Div 2)</t>
        </is>
      </c>
      <c r="K5566" s="12" t="inlineStr">
        <is>
          <t>CTAX|7/C|14</t>
        </is>
      </c>
      <c r="L5566" s="12" t="inlineStr">
        <is>
          <t>7/C</t>
        </is>
      </c>
      <c r="M5566" s="12" t="inlineStr">
        <is>
          <t>14</t>
        </is>
      </c>
      <c r="N5566" s="12" t="n">
        <v>1</v>
      </c>
      <c r="O5566" s="12" t="n">
        <v>1</v>
      </c>
      <c r="P5566" s="12" t="n"/>
      <c r="Q5566" s="12" t="n"/>
      <c r="R5566" s="12" t="n"/>
      <c r="S5566" s="12" t="inlineStr">
        <is>
          <t>Duct bank</t>
        </is>
      </c>
      <c r="T5566" s="16" t="n">
        <v>237</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K-C-0091</t>
        </is>
      </c>
      <c r="B5567" s="12" t="inlineStr">
        <is>
          <t>K</t>
        </is>
      </c>
      <c r="C5567" s="12" t="inlineStr">
        <is>
          <t>Fuel supply (adjacent market)</t>
        </is>
      </c>
      <c r="D5567" s="12" t="inlineStr">
        <is>
          <t>Solenoid to JB JB-LNG 10: unloading -SOL01: 2 x 2/C (field cables)</t>
        </is>
      </c>
      <c r="E5567" s="12" t="inlineStr"/>
      <c r="F5567" s="12" t="inlineStr">
        <is>
          <t>LNG 10: unloading skid</t>
        </is>
      </c>
      <c r="G5567" s="12" t="inlineStr">
        <is>
          <t>JB-LNG 10: unloading -SOL01</t>
        </is>
      </c>
      <c r="H5567" s="12" t="inlineStr">
        <is>
          <t>LNG 10: unloading skid</t>
        </is>
      </c>
      <c r="I5567" s="12" t="inlineStr">
        <is>
          <t>Control</t>
        </is>
      </c>
      <c r="J5567" s="12" t="inlineStr">
        <is>
          <t>ARMOR-X MC-HL 600 V control, Cu #14 AWG (Class I Div 2)</t>
        </is>
      </c>
      <c r="K5567" s="12" t="inlineStr">
        <is>
          <t>CTAX|2/C|14</t>
        </is>
      </c>
      <c r="L5567" s="12" t="inlineStr">
        <is>
          <t>2/C</t>
        </is>
      </c>
      <c r="M5567" s="12" t="inlineStr">
        <is>
          <t>14</t>
        </is>
      </c>
      <c r="N5567" s="12" t="n">
        <v>2</v>
      </c>
      <c r="O5567" s="12" t="n">
        <v>1</v>
      </c>
      <c r="P5567" s="12" t="n"/>
      <c r="Q5567" s="12" t="n"/>
      <c r="R5567" s="12" t="n"/>
      <c r="S5567" s="12" t="inlineStr">
        <is>
          <t>Tray / conduit</t>
        </is>
      </c>
      <c r="T5567" s="16" t="n">
        <v>54</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K-C-0092</t>
        </is>
      </c>
      <c r="B5568" s="12" t="inlineStr">
        <is>
          <t>K</t>
        </is>
      </c>
      <c r="C5568" s="12" t="inlineStr">
        <is>
          <t>Fuel supply (adjacent market)</t>
        </is>
      </c>
      <c r="D5568" s="12" t="inlineStr">
        <is>
          <t>Home run JB-LNG 10: unloading -SOL01 to the control / marshalling room</t>
        </is>
      </c>
      <c r="E5568" s="12" t="inlineStr"/>
      <c r="F5568" s="12" t="inlineStr">
        <is>
          <t>LNG 17: LNG e-house (13.8 kV / 480 V)</t>
        </is>
      </c>
      <c r="G5568" s="12" t="inlineStr">
        <is>
          <t>JB-LNG 10: unloading -SOL01</t>
        </is>
      </c>
      <c r="H5568" s="12" t="inlineStr">
        <is>
          <t>LNG 10: unloading skid</t>
        </is>
      </c>
      <c r="I5568" s="12" t="inlineStr">
        <is>
          <t>Control</t>
        </is>
      </c>
      <c r="J5568" s="12" t="inlineStr">
        <is>
          <t>ARMOR-X MC-HL 600 V control, Cu #14 AWG (Class I Div 2)</t>
        </is>
      </c>
      <c r="K5568" s="12" t="inlineStr">
        <is>
          <t>CTAX|25/C|14</t>
        </is>
      </c>
      <c r="L5568" s="12" t="inlineStr">
        <is>
          <t>25/C</t>
        </is>
      </c>
      <c r="M5568" s="12" t="inlineStr">
        <is>
          <t>14</t>
        </is>
      </c>
      <c r="N5568" s="12" t="n">
        <v>1</v>
      </c>
      <c r="O5568" s="12" t="n">
        <v>1</v>
      </c>
      <c r="P5568" s="12" t="n"/>
      <c r="Q5568" s="12" t="n"/>
      <c r="R5568" s="12" t="n"/>
      <c r="S5568" s="12" t="inlineStr">
        <is>
          <t>Duct bank</t>
        </is>
      </c>
      <c r="T5568" s="16" t="n">
        <v>237</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K-C-0093</t>
        </is>
      </c>
      <c r="B5569" s="12" t="inlineStr">
        <is>
          <t>K</t>
        </is>
      </c>
      <c r="C5569" s="12" t="inlineStr">
        <is>
          <t>Fuel supply (adjacent market)</t>
        </is>
      </c>
      <c r="D5569" s="12" t="inlineStr">
        <is>
          <t>Motor 1 of 1: control / local station</t>
        </is>
      </c>
      <c r="E5569" s="12" t="inlineStr"/>
      <c r="F5569" s="12" t="inlineStr">
        <is>
          <t>LNG 17: LNG e-house (13.8 kV / 480 V)</t>
        </is>
      </c>
      <c r="G5569" s="12" t="inlineStr"/>
      <c r="H5569" s="12" t="inlineStr">
        <is>
          <t>LNG 12: spill impoundment (NFPA 59A, to verify)</t>
        </is>
      </c>
      <c r="I5569" s="12" t="inlineStr">
        <is>
          <t>Control</t>
        </is>
      </c>
      <c r="J5569" s="12" t="inlineStr">
        <is>
          <t>ARMOR-X MC-HL 600 V control, Cu #14 AWG (Class I Div 2)</t>
        </is>
      </c>
      <c r="K5569" s="12" t="inlineStr">
        <is>
          <t>CTAX|7/C|14</t>
        </is>
      </c>
      <c r="L5569" s="12" t="inlineStr">
        <is>
          <t>7/C</t>
        </is>
      </c>
      <c r="M5569" s="12" t="inlineStr">
        <is>
          <t>14</t>
        </is>
      </c>
      <c r="N5569" s="12" t="n">
        <v>1</v>
      </c>
      <c r="O5569" s="12" t="n">
        <v>1</v>
      </c>
      <c r="P5569" s="12" t="n"/>
      <c r="Q5569" s="12" t="n"/>
      <c r="R5569" s="12" t="n"/>
      <c r="S5569" s="12" t="inlineStr">
        <is>
          <t>Duct bank</t>
        </is>
      </c>
      <c r="T5569" s="16" t="n">
        <v>230</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K-C-0094</t>
        </is>
      </c>
      <c r="B5570" s="12" t="inlineStr">
        <is>
          <t>K</t>
        </is>
      </c>
      <c r="C5570" s="12" t="inlineStr">
        <is>
          <t>Fuel supply (adjacent market)</t>
        </is>
      </c>
      <c r="D5570" s="12" t="inlineStr">
        <is>
          <t>Solenoid to JB JB-LNG 12: spill impo-SOL01: 2 x 2/C (field cables)</t>
        </is>
      </c>
      <c r="E5570" s="12" t="inlineStr"/>
      <c r="F5570" s="12" t="inlineStr">
        <is>
          <t>LNG 12: spill impoundment (NFPA 59A, to verify)</t>
        </is>
      </c>
      <c r="G5570" s="12" t="inlineStr">
        <is>
          <t>JB-LNG 12: spill impo-SOL01</t>
        </is>
      </c>
      <c r="H5570" s="12" t="inlineStr">
        <is>
          <t>LNG 12: spill impoundment (NFPA 59A, to verify)</t>
        </is>
      </c>
      <c r="I5570" s="12" t="inlineStr">
        <is>
          <t>Control</t>
        </is>
      </c>
      <c r="J5570" s="12" t="inlineStr">
        <is>
          <t>ARMOR-X MC-HL 600 V control, Cu #14 AWG (Class I Div 2)</t>
        </is>
      </c>
      <c r="K5570" s="12" t="inlineStr">
        <is>
          <t>CTAX|2/C|14</t>
        </is>
      </c>
      <c r="L5570" s="12" t="inlineStr">
        <is>
          <t>2/C</t>
        </is>
      </c>
      <c r="M5570" s="12" t="inlineStr">
        <is>
          <t>14</t>
        </is>
      </c>
      <c r="N5570" s="12" t="n">
        <v>2</v>
      </c>
      <c r="O5570" s="12" t="n">
        <v>1</v>
      </c>
      <c r="P5570" s="12" t="n"/>
      <c r="Q5570" s="12" t="n"/>
      <c r="R5570" s="12" t="n"/>
      <c r="S5570" s="12" t="inlineStr">
        <is>
          <t>Tray / conduit</t>
        </is>
      </c>
      <c r="T5570" s="16" t="n">
        <v>170</v>
      </c>
      <c r="U5570" s="16" t="n">
        <v>10</v>
      </c>
      <c r="V5570" s="16">
        <f>ROUNDUP((T5570+U5570+2*'Read Me'!$B$13)*(1+'Read Me'!$B$12),-1)</f>
        <v/>
      </c>
      <c r="W5570" s="16">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K-C-0095</t>
        </is>
      </c>
      <c r="B5571" s="12" t="inlineStr">
        <is>
          <t>K</t>
        </is>
      </c>
      <c r="C5571" s="12" t="inlineStr">
        <is>
          <t>Fuel supply (adjacent market)</t>
        </is>
      </c>
      <c r="D5571" s="12" t="inlineStr">
        <is>
          <t>Home run JB-LNG 12: spill impo-SOL01 to the control / marshalling room</t>
        </is>
      </c>
      <c r="E5571" s="12" t="inlineStr"/>
      <c r="F5571" s="12" t="inlineStr">
        <is>
          <t>LNG 17: LNG e-house (13.8 kV / 480 V)</t>
        </is>
      </c>
      <c r="G5571" s="12" t="inlineStr">
        <is>
          <t>JB-LNG 12: spill impo-SOL01</t>
        </is>
      </c>
      <c r="H5571" s="12" t="inlineStr">
        <is>
          <t>LNG 12: spill impoundment (NFPA 59A, to verify)</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6" t="n">
        <v>230</v>
      </c>
      <c r="U5571" s="16" t="n">
        <v>32</v>
      </c>
      <c r="V5571" s="16">
        <f>ROUNDUP((T5571+U5571+2*'Read Me'!$B$13)*(1+'Read Me'!$B$12),-1)</f>
        <v/>
      </c>
      <c r="W5571" s="16">
        <f>V5571*N5571*O5571</f>
        <v/>
      </c>
      <c r="X5571" s="12">
        <f>IF(LEFT(I5571,2)="MV",2*N5571*IF(L5571="1/C",O5571,1),0)</f>
        <v/>
      </c>
      <c r="Y5571" s="12">
        <f>IF(OR(LEFT(K5571,4)="LVAX",LEFT(K5571,6)="MV15AX",LEFT(K5571,4)="CTAX",LEFT(K5571,2)="W|"),2*N5571*O5571,0)</f>
        <v/>
      </c>
      <c r="Z5571" s="12" t="inlineStr"/>
      <c r="AA5571" s="12">
        <f>N5571*O5571</f>
        <v/>
      </c>
    </row>
    <row r="5572">
      <c r="A5572" s="12" t="inlineStr">
        <is>
          <t>K-C-0096</t>
        </is>
      </c>
      <c r="B5572" s="12" t="inlineStr">
        <is>
          <t>K</t>
        </is>
      </c>
      <c r="C5572" s="12" t="inlineStr">
        <is>
          <t>Fuel supply (adjacent market)</t>
        </is>
      </c>
      <c r="D5572" s="12" t="inlineStr">
        <is>
          <t>Motor 1 of 1: control / local station</t>
        </is>
      </c>
      <c r="E5572" s="12" t="inlineStr"/>
      <c r="F5572" s="12" t="inlineStr">
        <is>
          <t>LNG 17: LNG e-house (13.8 kV / 480 V)</t>
        </is>
      </c>
      <c r="G5572" s="12" t="inlineStr"/>
      <c r="H5572" s="12" t="inlineStr">
        <is>
          <t>LNG 13: send-out pumps 2 x 100%</t>
        </is>
      </c>
      <c r="I5572" s="12" t="inlineStr">
        <is>
          <t>Control</t>
        </is>
      </c>
      <c r="J5572" s="12" t="inlineStr">
        <is>
          <t>ARMOR-X MC-HL 600 V control, Cu #14 AWG (Class I Div 2)</t>
        </is>
      </c>
      <c r="K5572" s="12" t="inlineStr">
        <is>
          <t>CTAX|7/C|14</t>
        </is>
      </c>
      <c r="L5572" s="12" t="inlineStr">
        <is>
          <t>7/C</t>
        </is>
      </c>
      <c r="M5572" s="12" t="inlineStr">
        <is>
          <t>14</t>
        </is>
      </c>
      <c r="N5572" s="12" t="n">
        <v>1</v>
      </c>
      <c r="O5572" s="12" t="n">
        <v>1</v>
      </c>
      <c r="P5572" s="12" t="n"/>
      <c r="Q5572" s="12" t="n"/>
      <c r="R5572" s="12" t="n"/>
      <c r="S5572" s="12" t="inlineStr">
        <is>
          <t>Duct bank</t>
        </is>
      </c>
      <c r="T5572" s="16" t="n">
        <v>110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K-C-0097</t>
        </is>
      </c>
      <c r="B5573" s="12" t="inlineStr">
        <is>
          <t>K</t>
        </is>
      </c>
      <c r="C5573" s="12" t="inlineStr">
        <is>
          <t>Fuel supply (adjacent market)</t>
        </is>
      </c>
      <c r="D5573" s="12" t="inlineStr">
        <is>
          <t>Solenoid to JB JB-LNG 13: send-out p-SOL01: 2 x 2/C (field cables)</t>
        </is>
      </c>
      <c r="E5573" s="12" t="inlineStr"/>
      <c r="F5573" s="12" t="inlineStr">
        <is>
          <t>LNG 13: send-out pumps 2 x 100%</t>
        </is>
      </c>
      <c r="G5573" s="12" t="inlineStr">
        <is>
          <t>JB-LNG 13: send-out p-SOL01</t>
        </is>
      </c>
      <c r="H5573" s="12" t="inlineStr">
        <is>
          <t>LNG 13: send-out pumps 2 x 100%</t>
        </is>
      </c>
      <c r="I5573" s="12" t="inlineStr">
        <is>
          <t>Control</t>
        </is>
      </c>
      <c r="J5573" s="12" t="inlineStr">
        <is>
          <t>ARMOR-X MC-HL 600 V control, Cu #14 AWG (Class I Div 2)</t>
        </is>
      </c>
      <c r="K5573" s="12" t="inlineStr">
        <is>
          <t>CTAX|2/C|14</t>
        </is>
      </c>
      <c r="L5573" s="12" t="inlineStr">
        <is>
          <t>2/C</t>
        </is>
      </c>
      <c r="M5573" s="12" t="inlineStr">
        <is>
          <t>14</t>
        </is>
      </c>
      <c r="N5573" s="12" t="n">
        <v>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K-C-0098</t>
        </is>
      </c>
      <c r="B5574" s="12" t="inlineStr">
        <is>
          <t>K</t>
        </is>
      </c>
      <c r="C5574" s="12" t="inlineStr">
        <is>
          <t>Fuel supply (adjacent market)</t>
        </is>
      </c>
      <c r="D5574" s="12" t="inlineStr">
        <is>
          <t>Home run JB-LNG 13: send-out p-SOL01 to the control / marshalling room</t>
        </is>
      </c>
      <c r="E5574" s="12" t="inlineStr"/>
      <c r="F5574" s="12" t="inlineStr">
        <is>
          <t>LNG 17: LNG e-house (13.8 kV / 480 V)</t>
        </is>
      </c>
      <c r="G5574" s="12" t="inlineStr">
        <is>
          <t>JB-LNG 13: send-out p-SOL01</t>
        </is>
      </c>
      <c r="H5574" s="12" t="inlineStr">
        <is>
          <t>LNG 13: send-out pumps 2 x 100%</t>
        </is>
      </c>
      <c r="I5574" s="12" t="inlineStr">
        <is>
          <t>Control</t>
        </is>
      </c>
      <c r="J5574" s="12" t="inlineStr">
        <is>
          <t>ARMOR-X MC-HL 600 V control, Cu #14 AWG (Class I Div 2)</t>
        </is>
      </c>
      <c r="K5574" s="12" t="inlineStr">
        <is>
          <t>CTAX|25/C|14</t>
        </is>
      </c>
      <c r="L5574" s="12" t="inlineStr">
        <is>
          <t>25/C</t>
        </is>
      </c>
      <c r="M5574" s="12" t="inlineStr">
        <is>
          <t>14</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K-C-0099</t>
        </is>
      </c>
      <c r="B5575" s="12" t="inlineStr">
        <is>
          <t>K</t>
        </is>
      </c>
      <c r="C5575" s="12" t="inlineStr">
        <is>
          <t>Fuel supply (adjacent market)</t>
        </is>
      </c>
      <c r="D5575" s="12" t="inlineStr">
        <is>
          <t>Motor 1 of 1: control / local station</t>
        </is>
      </c>
      <c r="E5575" s="12" t="inlineStr"/>
      <c r="F5575" s="12" t="inlineStr">
        <is>
          <t>LNG 17: LNG e-house (13.8 kV / 480 V)</t>
        </is>
      </c>
      <c r="G5575" s="12" t="inlineStr"/>
      <c r="H5575" s="12" t="inlineStr">
        <is>
          <t>LNG 14: vaporizers + glycol heater</t>
        </is>
      </c>
      <c r="I5575" s="12" t="inlineStr">
        <is>
          <t>Control</t>
        </is>
      </c>
      <c r="J5575" s="12" t="inlineStr">
        <is>
          <t>ARMOR-X MC-HL 600 V control, Cu #14 AWG (Class I Div 2)</t>
        </is>
      </c>
      <c r="K5575" s="12" t="inlineStr">
        <is>
          <t>CTAX|7/C|14</t>
        </is>
      </c>
      <c r="L5575" s="12" t="inlineStr">
        <is>
          <t>7/C</t>
        </is>
      </c>
      <c r="M5575" s="12" t="inlineStr">
        <is>
          <t>14</t>
        </is>
      </c>
      <c r="N5575" s="12" t="n">
        <v>1</v>
      </c>
      <c r="O5575" s="12" t="n">
        <v>1</v>
      </c>
      <c r="P5575" s="12" t="n"/>
      <c r="Q5575" s="12" t="n"/>
      <c r="R5575" s="12" t="n"/>
      <c r="S5575" s="12" t="inlineStr">
        <is>
          <t>Duct bank</t>
        </is>
      </c>
      <c r="T5575" s="16" t="n">
        <v>259</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K-C-0100</t>
        </is>
      </c>
      <c r="B5576" s="12" t="inlineStr">
        <is>
          <t>K</t>
        </is>
      </c>
      <c r="C5576" s="12" t="inlineStr">
        <is>
          <t>Fuel supply (adjacent market)</t>
        </is>
      </c>
      <c r="D5576" s="12" t="inlineStr">
        <is>
          <t>Solenoid to JB JB-LNG 14: vaporizers-SOL01: 2 x 2/C (field cables)</t>
        </is>
      </c>
      <c r="E5576" s="12" t="inlineStr"/>
      <c r="F5576" s="12" t="inlineStr">
        <is>
          <t>LNG 14: vaporizers + glycol heater</t>
        </is>
      </c>
      <c r="G5576" s="12" t="inlineStr">
        <is>
          <t>JB-LNG 14: vaporizers-SOL01</t>
        </is>
      </c>
      <c r="H5576" s="12" t="inlineStr">
        <is>
          <t>LNG 14: vaporizers + glycol heater</t>
        </is>
      </c>
      <c r="I5576" s="12" t="inlineStr">
        <is>
          <t>Control</t>
        </is>
      </c>
      <c r="J5576" s="12" t="inlineStr">
        <is>
          <t>ARMOR-X MC-HL 600 V control, Cu #14 AWG (Class I Div 2)</t>
        </is>
      </c>
      <c r="K5576" s="12" t="inlineStr">
        <is>
          <t>CTAX|2/C|14</t>
        </is>
      </c>
      <c r="L5576" s="12" t="inlineStr">
        <is>
          <t>2/C</t>
        </is>
      </c>
      <c r="M5576" s="12" t="inlineStr">
        <is>
          <t>14</t>
        </is>
      </c>
      <c r="N5576" s="12" t="n">
        <v>2</v>
      </c>
      <c r="O5576" s="12" t="n">
        <v>1</v>
      </c>
      <c r="P5576" s="12" t="n"/>
      <c r="Q5576" s="12" t="n"/>
      <c r="R5576" s="12" t="n"/>
      <c r="S5576" s="12" t="inlineStr">
        <is>
          <t>Tray / conduit</t>
        </is>
      </c>
      <c r="T5576" s="16" t="n">
        <v>122</v>
      </c>
      <c r="U5576" s="16" t="n">
        <v>10</v>
      </c>
      <c r="V5576" s="16">
        <f>ROUNDUP((T5576+U5576+2*'Read Me'!$B$13)*(1+'Read Me'!$B$12),-1)</f>
        <v/>
      </c>
      <c r="W5576" s="16">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K-C-0101</t>
        </is>
      </c>
      <c r="B5577" s="12" t="inlineStr">
        <is>
          <t>K</t>
        </is>
      </c>
      <c r="C5577" s="12" t="inlineStr">
        <is>
          <t>Fuel supply (adjacent market)</t>
        </is>
      </c>
      <c r="D5577" s="12" t="inlineStr">
        <is>
          <t>Home run JB-LNG 14: vaporizers-SOL01 to the control / marshalling room</t>
        </is>
      </c>
      <c r="E5577" s="12" t="inlineStr"/>
      <c r="F5577" s="12" t="inlineStr">
        <is>
          <t>LNG 17: LNG e-house (13.8 kV / 480 V)</t>
        </is>
      </c>
      <c r="G5577" s="12" t="inlineStr">
        <is>
          <t>JB-LNG 14: vaporizers-SOL01</t>
        </is>
      </c>
      <c r="H5577" s="12" t="inlineStr">
        <is>
          <t>LNG 14: vaporizers + glycol heater</t>
        </is>
      </c>
      <c r="I5577" s="12" t="inlineStr">
        <is>
          <t>Control</t>
        </is>
      </c>
      <c r="J5577" s="12" t="inlineStr">
        <is>
          <t>ARMOR-X MC-HL 600 V control, Cu #14 AWG (Class I Div 2)</t>
        </is>
      </c>
      <c r="K5577" s="12" t="inlineStr">
        <is>
          <t>CTAX|25/C|14</t>
        </is>
      </c>
      <c r="L5577" s="12" t="inlineStr">
        <is>
          <t>25/C</t>
        </is>
      </c>
      <c r="M5577" s="12" t="inlineStr">
        <is>
          <t>14</t>
        </is>
      </c>
      <c r="N5577" s="12" t="n">
        <v>1</v>
      </c>
      <c r="O5577" s="12" t="n">
        <v>1</v>
      </c>
      <c r="P5577" s="12" t="n"/>
      <c r="Q5577" s="12" t="n"/>
      <c r="R5577" s="12" t="n"/>
      <c r="S5577" s="12" t="inlineStr">
        <is>
          <t>Duct bank</t>
        </is>
      </c>
      <c r="T5577" s="16" t="n">
        <v>259</v>
      </c>
      <c r="U5577" s="16" t="n">
        <v>32</v>
      </c>
      <c r="V5577" s="16">
        <f>ROUNDUP((T5577+U5577+2*'Read Me'!$B$13)*(1+'Read Me'!$B$12),-1)</f>
        <v/>
      </c>
      <c r="W5577" s="16">
        <f>V5577*N5577*O5577</f>
        <v/>
      </c>
      <c r="X5577" s="12">
        <f>IF(LEFT(I5577,2)="MV",2*N5577*IF(L5577="1/C",O5577,1),0)</f>
        <v/>
      </c>
      <c r="Y5577" s="12">
        <f>IF(OR(LEFT(K5577,4)="LVAX",LEFT(K5577,6)="MV15AX",LEFT(K5577,4)="CTAX",LEFT(K5577,2)="W|"),2*N5577*O5577,0)</f>
        <v/>
      </c>
      <c r="Z5577" s="12" t="inlineStr"/>
      <c r="AA5577" s="12">
        <f>N5577*O5577</f>
        <v/>
      </c>
    </row>
    <row r="5578">
      <c r="A5578" s="12" t="inlineStr">
        <is>
          <t>K-C-0102</t>
        </is>
      </c>
      <c r="B5578" s="12" t="inlineStr">
        <is>
          <t>K</t>
        </is>
      </c>
      <c r="C5578" s="12" t="inlineStr">
        <is>
          <t>Fuel supply (adjacent market)</t>
        </is>
      </c>
      <c r="D5578" s="12" t="inlineStr">
        <is>
          <t>Motor 1 of 1: control / local station</t>
        </is>
      </c>
      <c r="E5578" s="12" t="inlineStr"/>
      <c r="F5578" s="12" t="inlineStr">
        <is>
          <t>LNG 17: LNG e-house (13.8 kV / 480 V)</t>
        </is>
      </c>
      <c r="G5578" s="12" t="inlineStr"/>
      <c r="H5578" s="12" t="inlineStr">
        <is>
          <t>LNG 15: boil-off gas compressor</t>
        </is>
      </c>
      <c r="I5578" s="12" t="inlineStr">
        <is>
          <t>Control</t>
        </is>
      </c>
      <c r="J5578" s="12" t="inlineStr">
        <is>
          <t>ARMOR-X MC-HL 600 V control, Cu #14 AWG (Class I Div 2)</t>
        </is>
      </c>
      <c r="K5578" s="12" t="inlineStr">
        <is>
          <t>CTAX|7/C|14</t>
        </is>
      </c>
      <c r="L5578" s="12" t="inlineStr">
        <is>
          <t>7/C</t>
        </is>
      </c>
      <c r="M5578" s="12" t="inlineStr">
        <is>
          <t>14</t>
        </is>
      </c>
      <c r="N5578" s="12" t="n">
        <v>1</v>
      </c>
      <c r="O5578" s="12" t="n">
        <v>1</v>
      </c>
      <c r="P5578" s="12" t="n"/>
      <c r="Q5578" s="12" t="n"/>
      <c r="R5578" s="12" t="n"/>
      <c r="S5578" s="12" t="inlineStr">
        <is>
          <t>Duct bank</t>
        </is>
      </c>
      <c r="T5578" s="16" t="n">
        <v>25</v>
      </c>
      <c r="U5578" s="16" t="n">
        <v>54</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K-C-0103</t>
        </is>
      </c>
      <c r="B5579" s="12" t="inlineStr">
        <is>
          <t>K</t>
        </is>
      </c>
      <c r="C5579" s="12" t="inlineStr">
        <is>
          <t>Fuel supply (adjacent market)</t>
        </is>
      </c>
      <c r="D5579" s="12" t="inlineStr">
        <is>
          <t>Solenoid to JB JB-LNG 15: boil-off g-SOL01: 2 x 2/C (field cables)</t>
        </is>
      </c>
      <c r="E5579" s="12" t="inlineStr"/>
      <c r="F5579" s="12" t="inlineStr">
        <is>
          <t>LNG 15: boil-off gas compressor</t>
        </is>
      </c>
      <c r="G5579" s="12" t="inlineStr">
        <is>
          <t>JB-LNG 15: boil-off g-SOL01</t>
        </is>
      </c>
      <c r="H5579" s="12" t="inlineStr">
        <is>
          <t>LNG 15: boil-off gas compressor</t>
        </is>
      </c>
      <c r="I5579" s="12" t="inlineStr">
        <is>
          <t>Control</t>
        </is>
      </c>
      <c r="J5579" s="12" t="inlineStr">
        <is>
          <t>ARMOR-X MC-HL 600 V control, Cu #14 AWG (Class I Div 2)</t>
        </is>
      </c>
      <c r="K5579" s="12" t="inlineStr">
        <is>
          <t>CTAX|2/C|14</t>
        </is>
      </c>
      <c r="L5579" s="12" t="inlineStr">
        <is>
          <t>2/C</t>
        </is>
      </c>
      <c r="M5579" s="12" t="inlineStr">
        <is>
          <t>14</t>
        </is>
      </c>
      <c r="N5579" s="12" t="n">
        <v>2</v>
      </c>
      <c r="O5579" s="12" t="n">
        <v>1</v>
      </c>
      <c r="P5579" s="12" t="n"/>
      <c r="Q5579" s="12" t="n"/>
      <c r="R5579" s="12" t="n"/>
      <c r="S5579" s="12" t="inlineStr">
        <is>
          <t>Tray / conduit</t>
        </is>
      </c>
      <c r="T5579" s="16" t="n">
        <v>67</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K-C-0104</t>
        </is>
      </c>
      <c r="B5580" s="12" t="inlineStr">
        <is>
          <t>K</t>
        </is>
      </c>
      <c r="C5580" s="12" t="inlineStr">
        <is>
          <t>Fuel supply (adjacent market)</t>
        </is>
      </c>
      <c r="D5580" s="12" t="inlineStr">
        <is>
          <t>Home run JB-LNG 15: boil-off g-SOL01 to the control / marshalling room</t>
        </is>
      </c>
      <c r="E5580" s="12" t="inlineStr"/>
      <c r="F5580" s="12" t="inlineStr">
        <is>
          <t>LNG 17: LNG e-house (13.8 kV / 480 V)</t>
        </is>
      </c>
      <c r="G5580" s="12" t="inlineStr">
        <is>
          <t>JB-LNG 15: boil-off g-SOL01</t>
        </is>
      </c>
      <c r="H5580" s="12" t="inlineStr">
        <is>
          <t>LNG 15: boil-off gas compressor</t>
        </is>
      </c>
      <c r="I5580" s="12" t="inlineStr">
        <is>
          <t>Control</t>
        </is>
      </c>
      <c r="J5580" s="12" t="inlineStr">
        <is>
          <t>ARMOR-X MC-HL 600 V control, Cu #14 AWG (Class I Div 2)</t>
        </is>
      </c>
      <c r="K5580" s="12" t="inlineStr">
        <is>
          <t>CTAX|25/C|14</t>
        </is>
      </c>
      <c r="L5580" s="12" t="inlineStr">
        <is>
          <t>25/C</t>
        </is>
      </c>
      <c r="M5580" s="12" t="inlineStr">
        <is>
          <t>14</t>
        </is>
      </c>
      <c r="N5580" s="12" t="n">
        <v>1</v>
      </c>
      <c r="O5580" s="12" t="n">
        <v>1</v>
      </c>
      <c r="P5580" s="12" t="n"/>
      <c r="Q5580" s="12" t="n"/>
      <c r="R5580" s="12" t="n"/>
      <c r="S5580" s="12" t="inlineStr">
        <is>
          <t>Duct bank</t>
        </is>
      </c>
      <c r="T5580" s="16" t="n">
        <v>25</v>
      </c>
      <c r="U5580" s="16" t="n">
        <v>54</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K-C-0105</t>
        </is>
      </c>
      <c r="B5581" s="12" t="inlineStr">
        <is>
          <t>K</t>
        </is>
      </c>
      <c r="C5581" s="12" t="inlineStr">
        <is>
          <t>Fuel supply (adjacent market)</t>
        </is>
      </c>
      <c r="D5581" s="12" t="inlineStr">
        <is>
          <t>Motor 1 of 1: control / local station</t>
        </is>
      </c>
      <c r="E5581" s="12" t="inlineStr"/>
      <c r="F5581" s="12" t="inlineStr">
        <is>
          <t>LNG 17: LNG e-house (13.8 kV / 480 V)</t>
        </is>
      </c>
      <c r="G5581" s="12" t="inlineStr"/>
      <c r="H5581" s="12" t="inlineStr">
        <is>
          <t>LNG 16: send-out metering + pressure control</t>
        </is>
      </c>
      <c r="I5581" s="12" t="inlineStr">
        <is>
          <t>Control</t>
        </is>
      </c>
      <c r="J5581" s="12" t="inlineStr">
        <is>
          <t>ARMOR-X MC-HL 600 V control, Cu #14 AWG (Class I Div 2)</t>
        </is>
      </c>
      <c r="K5581" s="12" t="inlineStr">
        <is>
          <t>CTAX|7/C|14</t>
        </is>
      </c>
      <c r="L5581" s="12" t="inlineStr">
        <is>
          <t>7/C</t>
        </is>
      </c>
      <c r="M5581" s="12" t="inlineStr">
        <is>
          <t>14</t>
        </is>
      </c>
      <c r="N5581" s="12" t="n">
        <v>1</v>
      </c>
      <c r="O5581" s="12" t="n">
        <v>1</v>
      </c>
      <c r="P5581" s="12" t="n"/>
      <c r="Q5581" s="12" t="n"/>
      <c r="R5581" s="12" t="n"/>
      <c r="S5581" s="12" t="inlineStr">
        <is>
          <t>Duct bank</t>
        </is>
      </c>
      <c r="T5581" s="16" t="n">
        <v>20</v>
      </c>
      <c r="U5581" s="16" t="n">
        <v>32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K-C-0106</t>
        </is>
      </c>
      <c r="B5582" s="12" t="inlineStr">
        <is>
          <t>K</t>
        </is>
      </c>
      <c r="C5582" s="12" t="inlineStr">
        <is>
          <t>Fuel supply (adjacent market)</t>
        </is>
      </c>
      <c r="D5582" s="12" t="inlineStr">
        <is>
          <t>Solenoid to JB JB-LNG 16: send-out m-SOL01: 2 x 2/C (field cables)</t>
        </is>
      </c>
      <c r="E5582" s="12" t="inlineStr"/>
      <c r="F5582" s="12" t="inlineStr">
        <is>
          <t>LNG 16: send-out metering + pressure control</t>
        </is>
      </c>
      <c r="G5582" s="12" t="inlineStr">
        <is>
          <t>JB-LNG 16: send-out m-SOL01</t>
        </is>
      </c>
      <c r="H5582" s="12" t="inlineStr">
        <is>
          <t>LNG 16: send-out metering + pressure control</t>
        </is>
      </c>
      <c r="I5582" s="12" t="inlineStr">
        <is>
          <t>Control</t>
        </is>
      </c>
      <c r="J5582" s="12" t="inlineStr">
        <is>
          <t>ARMOR-X MC-HL 600 V control, Cu #14 AWG (Class I Div 2)</t>
        </is>
      </c>
      <c r="K5582" s="12" t="inlineStr">
        <is>
          <t>CTAX|2/C|14</t>
        </is>
      </c>
      <c r="L5582" s="12" t="inlineStr">
        <is>
          <t>2/C</t>
        </is>
      </c>
      <c r="M5582" s="12" t="inlineStr">
        <is>
          <t>14</t>
        </is>
      </c>
      <c r="N5582" s="12" t="n">
        <v>2</v>
      </c>
      <c r="O5582" s="12" t="n">
        <v>1</v>
      </c>
      <c r="P5582" s="12" t="n"/>
      <c r="Q5582" s="12" t="n"/>
      <c r="R5582" s="12" t="n"/>
      <c r="S5582" s="12" t="inlineStr">
        <is>
          <t>Tray / conduit</t>
        </is>
      </c>
      <c r="T5582" s="16" t="n">
        <v>74</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K-C-0107</t>
        </is>
      </c>
      <c r="B5583" s="12" t="inlineStr">
        <is>
          <t>K</t>
        </is>
      </c>
      <c r="C5583" s="12" t="inlineStr">
        <is>
          <t>Fuel supply (adjacent market)</t>
        </is>
      </c>
      <c r="D5583" s="12" t="inlineStr">
        <is>
          <t>Home run JB-LNG 16: send-out m-SOL01 to the control / marshalling room</t>
        </is>
      </c>
      <c r="E5583" s="12" t="inlineStr"/>
      <c r="F5583" s="12" t="inlineStr">
        <is>
          <t>LNG 17: LNG e-house (13.8 kV / 480 V)</t>
        </is>
      </c>
      <c r="G5583" s="12" t="inlineStr">
        <is>
          <t>JB-LNG 16: send-out m-SOL01</t>
        </is>
      </c>
      <c r="H5583" s="12" t="inlineStr">
        <is>
          <t>LNG 16: send-out metering + pressure control</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20</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K-C-0108</t>
        </is>
      </c>
      <c r="B5584" s="12" t="inlineStr">
        <is>
          <t>K</t>
        </is>
      </c>
      <c r="C5584" s="12" t="inlineStr">
        <is>
          <t>Fuel supply (adjacent market)</t>
        </is>
      </c>
      <c r="D5584" s="12" t="inlineStr">
        <is>
          <t>Motor 1 of 1: control / local station</t>
        </is>
      </c>
      <c r="E5584" s="12" t="inlineStr"/>
      <c r="F5584" s="12" t="inlineStr">
        <is>
          <t>LNG 17: LNG e-house (13.8 kV / 480 V)</t>
        </is>
      </c>
      <c r="G5584" s="12" t="inlineStr"/>
      <c r="H5584" s="12" t="inlineStr">
        <is>
          <t>LNG 17: LNG e-house (13.8 kV / 480 V)</t>
        </is>
      </c>
      <c r="I5584" s="12" t="inlineStr">
        <is>
          <t>Control</t>
        </is>
      </c>
      <c r="J5584" s="12" t="inlineStr">
        <is>
          <t>ARMOR-X MC-HL 600 V control, Cu #14 AWG (Class I Div 2)</t>
        </is>
      </c>
      <c r="K5584" s="12" t="inlineStr">
        <is>
          <t>CTAX|7/C|14</t>
        </is>
      </c>
      <c r="L5584" s="12" t="inlineStr">
        <is>
          <t>7/C</t>
        </is>
      </c>
      <c r="M5584" s="12" t="inlineStr">
        <is>
          <t>14</t>
        </is>
      </c>
      <c r="N5584" s="12" t="n">
        <v>1</v>
      </c>
      <c r="O5584" s="12" t="n">
        <v>1</v>
      </c>
      <c r="P5584" s="12" t="n"/>
      <c r="Q5584" s="12" t="n"/>
      <c r="R5584" s="12" t="n"/>
      <c r="S5584" s="12" t="inlineStr">
        <is>
          <t>Tray</t>
        </is>
      </c>
      <c r="T5584" s="16" t="n">
        <v>0</v>
      </c>
      <c r="U5584" s="16" t="n">
        <v>32</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K-C-0109</t>
        </is>
      </c>
      <c r="B5585" s="12" t="inlineStr">
        <is>
          <t>K</t>
        </is>
      </c>
      <c r="C5585" s="12" t="inlineStr">
        <is>
          <t>Fuel supply (adjacent market)</t>
        </is>
      </c>
      <c r="D5585" s="12" t="inlineStr">
        <is>
          <t>Solenoid to JB JB-LNG 17: LNG e-hous-SOL01: 2 x 2/C (field cables)</t>
        </is>
      </c>
      <c r="E5585" s="12" t="inlineStr"/>
      <c r="F5585" s="12" t="inlineStr">
        <is>
          <t>LNG 17: LNG e-house (13.8 kV / 480 V)</t>
        </is>
      </c>
      <c r="G5585" s="12" t="inlineStr">
        <is>
          <t>JB-LNG 17: LNG e-hous-SOL01</t>
        </is>
      </c>
      <c r="H5585" s="12" t="inlineStr">
        <is>
          <t>LNG 17: LNG e-house (13.8 kV / 480 V)</t>
        </is>
      </c>
      <c r="I5585" s="12" t="inlineStr">
        <is>
          <t>Control</t>
        </is>
      </c>
      <c r="J5585" s="12" t="inlineStr">
        <is>
          <t>ARMOR-X MC-HL 600 V control, Cu #14 AWG (Class I Div 2)</t>
        </is>
      </c>
      <c r="K5585" s="12" t="inlineStr">
        <is>
          <t>CTAX|2/C|14</t>
        </is>
      </c>
      <c r="L5585" s="12" t="inlineStr">
        <is>
          <t>2/C</t>
        </is>
      </c>
      <c r="M5585" s="12" t="inlineStr">
        <is>
          <t>14</t>
        </is>
      </c>
      <c r="N5585" s="12" t="n">
        <v>2</v>
      </c>
      <c r="O5585" s="12" t="n">
        <v>1</v>
      </c>
      <c r="P5585" s="12" t="n"/>
      <c r="Q5585" s="12" t="n"/>
      <c r="R5585" s="12" t="n"/>
      <c r="S5585" s="12" t="inlineStr">
        <is>
          <t>Tray / conduit</t>
        </is>
      </c>
      <c r="T5585" s="16" t="n">
        <v>58</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K-C-0110</t>
        </is>
      </c>
      <c r="B5586" s="12" t="inlineStr">
        <is>
          <t>K</t>
        </is>
      </c>
      <c r="C5586" s="12" t="inlineStr">
        <is>
          <t>Fuel supply (adjacent market)</t>
        </is>
      </c>
      <c r="D5586" s="12" t="inlineStr">
        <is>
          <t>Home run JB-LNG 17: LNG e-hous-SOL01 to the control / marshalling room</t>
        </is>
      </c>
      <c r="E5586" s="12" t="inlineStr"/>
      <c r="F5586" s="12" t="inlineStr">
        <is>
          <t>LNG 17: LNG e-house (13.8 kV / 480 V)</t>
        </is>
      </c>
      <c r="G5586" s="12" t="inlineStr">
        <is>
          <t>JB-LNG 17: LNG e-hous-SOL01</t>
        </is>
      </c>
      <c r="H5586" s="12" t="inlineStr">
        <is>
          <t>LNG 17: LNG e-house (13.8 kV / 480 V)</t>
        </is>
      </c>
      <c r="I5586" s="12" t="inlineStr">
        <is>
          <t>Control</t>
        </is>
      </c>
      <c r="J5586" s="12" t="inlineStr">
        <is>
          <t>ARMOR-X MC-HL 600 V control, Cu #14 AWG (Class I Div 2)</t>
        </is>
      </c>
      <c r="K5586" s="12" t="inlineStr">
        <is>
          <t>CTAX|25/C|14</t>
        </is>
      </c>
      <c r="L5586" s="12" t="inlineStr">
        <is>
          <t>25/C</t>
        </is>
      </c>
      <c r="M5586" s="12" t="inlineStr">
        <is>
          <t>14</t>
        </is>
      </c>
      <c r="N5586" s="12" t="n">
        <v>1</v>
      </c>
      <c r="O5586" s="12" t="n">
        <v>1</v>
      </c>
      <c r="P5586" s="12" t="n"/>
      <c r="Q5586" s="12" t="n"/>
      <c r="R5586" s="12" t="n"/>
      <c r="S5586" s="12" t="inlineStr">
        <is>
          <t>Tray</t>
        </is>
      </c>
      <c r="T5586" s="16" t="n">
        <v>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K-C-0111</t>
        </is>
      </c>
      <c r="B5587" s="12" t="inlineStr">
        <is>
          <t>K</t>
        </is>
      </c>
      <c r="C5587" s="12" t="inlineStr">
        <is>
          <t>Fuel supply (adjacent market)</t>
        </is>
      </c>
      <c r="D5587" s="12" t="inlineStr">
        <is>
          <t>Motor 1 of 1: control / local station</t>
        </is>
      </c>
      <c r="E5587" s="12" t="inlineStr"/>
      <c r="F5587" s="12" t="inlineStr">
        <is>
          <t>LNG 17: LNG e-house (13.8 kV / 480 V)</t>
        </is>
      </c>
      <c r="G5587" s="12" t="inlineStr"/>
      <c r="H5587" s="12" t="inlineStr">
        <is>
          <t>LNG 18: vent stack</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25</v>
      </c>
      <c r="U5587" s="16" t="n">
        <v>117</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K-C-0112</t>
        </is>
      </c>
      <c r="B5588" s="12" t="inlineStr">
        <is>
          <t>K</t>
        </is>
      </c>
      <c r="C5588" s="12" t="inlineStr">
        <is>
          <t>Fuel supply (adjacent market)</t>
        </is>
      </c>
      <c r="D5588" s="12" t="inlineStr">
        <is>
          <t>Solenoid to JB JB-LNG 18: vent stack-SOL01: 2 x 2/C (field cables)</t>
        </is>
      </c>
      <c r="E5588" s="12" t="inlineStr"/>
      <c r="F5588" s="12" t="inlineStr">
        <is>
          <t>LNG 18: vent stack</t>
        </is>
      </c>
      <c r="G5588" s="12" t="inlineStr">
        <is>
          <t>JB-LNG 18: vent stack-SOL01</t>
        </is>
      </c>
      <c r="H5588" s="12" t="inlineStr">
        <is>
          <t>LNG 18: vent stack</t>
        </is>
      </c>
      <c r="I5588" s="12" t="inlineStr">
        <is>
          <t>Control</t>
        </is>
      </c>
      <c r="J5588" s="12" t="inlineStr">
        <is>
          <t>ARMOR-X MC-HL 600 V control, Cu #14 AWG (Class I Div 2)</t>
        </is>
      </c>
      <c r="K5588" s="12" t="inlineStr">
        <is>
          <t>CTAX|2/C|14</t>
        </is>
      </c>
      <c r="L5588" s="12" t="inlineStr">
        <is>
          <t>2/C</t>
        </is>
      </c>
      <c r="M5588" s="12" t="inlineStr">
        <is>
          <t>14</t>
        </is>
      </c>
      <c r="N5588" s="12" t="n">
        <v>2</v>
      </c>
      <c r="O5588" s="12" t="n">
        <v>1</v>
      </c>
      <c r="P5588" s="12" t="n"/>
      <c r="Q5588" s="12" t="n"/>
      <c r="R5588" s="12" t="n"/>
      <c r="S5588" s="12" t="inlineStr">
        <is>
          <t>Tray / conduit</t>
        </is>
      </c>
      <c r="T5588" s="16" t="n">
        <v>55</v>
      </c>
      <c r="U5588" s="16" t="n">
        <v>10</v>
      </c>
      <c r="V5588" s="16">
        <f>ROUNDUP((T5588+U5588+2*'Read Me'!$B$13)*(1+'Read Me'!$B$12),-1)</f>
        <v/>
      </c>
      <c r="W5588" s="16">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K-C-0113</t>
        </is>
      </c>
      <c r="B5589" s="12" t="inlineStr">
        <is>
          <t>K</t>
        </is>
      </c>
      <c r="C5589" s="12" t="inlineStr">
        <is>
          <t>Fuel supply (adjacent market)</t>
        </is>
      </c>
      <c r="D5589" s="12" t="inlineStr">
        <is>
          <t>Home run JB-LNG 18: vent stack-SOL01 to the control / marshalling room</t>
        </is>
      </c>
      <c r="E5589" s="12" t="inlineStr"/>
      <c r="F5589" s="12" t="inlineStr">
        <is>
          <t>LNG 17: LNG e-house (13.8 kV / 480 V)</t>
        </is>
      </c>
      <c r="G5589" s="12" t="inlineStr">
        <is>
          <t>JB-LNG 18: vent stack-SOL01</t>
        </is>
      </c>
      <c r="H5589" s="12" t="inlineStr">
        <is>
          <t>LNG 18: vent stack</t>
        </is>
      </c>
      <c r="I5589" s="12" t="inlineStr">
        <is>
          <t>Control</t>
        </is>
      </c>
      <c r="J5589" s="12" t="inlineStr">
        <is>
          <t>ARMOR-X MC-HL 600 V control, Cu #14 AWG (Class I Div 2)</t>
        </is>
      </c>
      <c r="K5589" s="12" t="inlineStr">
        <is>
          <t>CTAX|25/C|14</t>
        </is>
      </c>
      <c r="L5589" s="12" t="inlineStr">
        <is>
          <t>25/C</t>
        </is>
      </c>
      <c r="M5589" s="12" t="inlineStr">
        <is>
          <t>14</t>
        </is>
      </c>
      <c r="N5589" s="12" t="n">
        <v>1</v>
      </c>
      <c r="O5589" s="12" t="n">
        <v>1</v>
      </c>
      <c r="P5589" s="12" t="n"/>
      <c r="Q5589" s="12" t="n"/>
      <c r="R5589" s="12" t="n"/>
      <c r="S5589" s="12" t="inlineStr">
        <is>
          <t>Duct bank</t>
        </is>
      </c>
      <c r="T5589" s="16" t="n">
        <v>25</v>
      </c>
      <c r="U5589" s="16" t="n">
        <v>117</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K-C-0114</t>
        </is>
      </c>
      <c r="B5590" s="12" t="inlineStr">
        <is>
          <t>K</t>
        </is>
      </c>
      <c r="C5590" s="12" t="inlineStr">
        <is>
          <t>Fuel supply (adjacent market)</t>
        </is>
      </c>
      <c r="D5590" s="12" t="inlineStr">
        <is>
          <t>Solenoid to JB JB-M&amp;R 2: insulating -SOL01: 4 x 2/C (field cables)</t>
        </is>
      </c>
      <c r="E5590" s="12" t="inlineStr"/>
      <c r="F5590" s="12" t="inlineStr">
        <is>
          <t>M&amp;R 2: insulating joint + ESD valve</t>
        </is>
      </c>
      <c r="G5590" s="12" t="inlineStr">
        <is>
          <t>JB-M&amp;R 2: insulating -SOL01</t>
        </is>
      </c>
      <c r="H5590" s="12" t="inlineStr">
        <is>
          <t>M&amp;R 2: insulating joint + ESD valve</t>
        </is>
      </c>
      <c r="I5590" s="12" t="inlineStr">
        <is>
          <t>Control</t>
        </is>
      </c>
      <c r="J5590" s="12" t="inlineStr">
        <is>
          <t>ARMOR-X MC-HL 600 V control, Cu #14 AWG (Class I Div 2)</t>
        </is>
      </c>
      <c r="K5590" s="12" t="inlineStr">
        <is>
          <t>CTAX|2/C|14</t>
        </is>
      </c>
      <c r="L5590" s="12" t="inlineStr">
        <is>
          <t>2/C</t>
        </is>
      </c>
      <c r="M5590" s="12" t="inlineStr">
        <is>
          <t>14</t>
        </is>
      </c>
      <c r="N5590" s="12" t="n">
        <v>4</v>
      </c>
      <c r="O5590" s="12" t="n">
        <v>1</v>
      </c>
      <c r="P5590" s="12" t="n"/>
      <c r="Q5590" s="12" t="n"/>
      <c r="R5590" s="12" t="n"/>
      <c r="S5590" s="12" t="inlineStr">
        <is>
          <t>Tray / conduit</t>
        </is>
      </c>
      <c r="T5590" s="16" t="n">
        <v>40</v>
      </c>
      <c r="U5590" s="16" t="n">
        <v>10</v>
      </c>
      <c r="V5590" s="16">
        <f>ROUNDUP((T5590+U5590+2*'Read Me'!$B$13)*(1+'Read Me'!$B$12),-1)</f>
        <v/>
      </c>
      <c r="W5590" s="16">
        <f>V5590*N5590*O5590</f>
        <v/>
      </c>
      <c r="X5590" s="12">
        <f>IF(LEFT(I5590,2)="MV",2*N5590*IF(L5590="1/C",O5590,1),0)</f>
        <v/>
      </c>
      <c r="Y5590" s="12">
        <f>IF(OR(LEFT(K5590,4)="LVAX",LEFT(K5590,6)="MV15AX",LEFT(K5590,4)="CTAX",LEFT(K5590,2)="W|"),2*N5590*O5590,0)</f>
        <v/>
      </c>
      <c r="Z5590" s="12" t="inlineStr">
        <is>
          <t>device-to-JB field wiring, one cable per device</t>
        </is>
      </c>
      <c r="AA5590" s="12">
        <f>N5590*O5590</f>
        <v/>
      </c>
    </row>
    <row r="5591">
      <c r="A5591" s="12" t="inlineStr">
        <is>
          <t>K-C-0115</t>
        </is>
      </c>
      <c r="B5591" s="12" t="inlineStr">
        <is>
          <t>K</t>
        </is>
      </c>
      <c r="C5591" s="12" t="inlineStr">
        <is>
          <t>Fuel supply (adjacent market)</t>
        </is>
      </c>
      <c r="D5591" s="12" t="inlineStr">
        <is>
          <t>Home run JB-M&amp;R 2: insulating -SOL01 to the control / marshalling room</t>
        </is>
      </c>
      <c r="E5591" s="12" t="inlineStr"/>
      <c r="F5591" s="12" t="inlineStr">
        <is>
          <t>LNG 17: LNG e-house (13.8 kV / 480 V)</t>
        </is>
      </c>
      <c r="G5591" s="12" t="inlineStr">
        <is>
          <t>JB-M&amp;R 2: insulating -SOL01</t>
        </is>
      </c>
      <c r="H5591" s="12" t="inlineStr">
        <is>
          <t>M&amp;R 2: insulating joint + ESD valve</t>
        </is>
      </c>
      <c r="I5591" s="12" t="inlineStr">
        <is>
          <t>Control</t>
        </is>
      </c>
      <c r="J5591" s="12" t="inlineStr">
        <is>
          <t>ARMOR-X MC-HL 600 V control, Cu #14 AWG (Class I Div 2)</t>
        </is>
      </c>
      <c r="K5591" s="12" t="inlineStr">
        <is>
          <t>CTAX|25/C|14</t>
        </is>
      </c>
      <c r="L5591" s="12" t="inlineStr">
        <is>
          <t>25/C</t>
        </is>
      </c>
      <c r="M5591" s="12" t="inlineStr">
        <is>
          <t>14</t>
        </is>
      </c>
      <c r="N5591" s="12" t="n">
        <v>1</v>
      </c>
      <c r="O5591" s="12" t="n">
        <v>1</v>
      </c>
      <c r="P5591" s="12" t="n"/>
      <c r="Q5591" s="12" t="n"/>
      <c r="R5591" s="12" t="n"/>
      <c r="S5591" s="12" t="inlineStr">
        <is>
          <t>Duct bank</t>
        </is>
      </c>
      <c r="T5591" s="16" t="n">
        <v>758</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K-C-0116</t>
        </is>
      </c>
      <c r="B5592" s="12" t="inlineStr">
        <is>
          <t>K</t>
        </is>
      </c>
      <c r="C5592" s="12" t="inlineStr">
        <is>
          <t>Fuel supply (adjacent market)</t>
        </is>
      </c>
      <c r="D5592" s="12" t="inlineStr">
        <is>
          <t>Solenoid to JB JB-M&amp;R 3: horizontal -SOL01: 4 x 2/C (field cables)</t>
        </is>
      </c>
      <c r="E5592" s="12" t="inlineStr"/>
      <c r="F5592" s="12" t="inlineStr">
        <is>
          <t>M&amp;R 3: horizontal filter-separator</t>
        </is>
      </c>
      <c r="G5592" s="12" t="inlineStr">
        <is>
          <t>JB-M&amp;R 3: horizontal -SOL01</t>
        </is>
      </c>
      <c r="H5592" s="12" t="inlineStr">
        <is>
          <t>M&amp;R 3: horizontal filter-separator</t>
        </is>
      </c>
      <c r="I5592" s="12" t="inlineStr">
        <is>
          <t>Control</t>
        </is>
      </c>
      <c r="J5592" s="12" t="inlineStr">
        <is>
          <t>ARMOR-X MC-HL 600 V control, Cu #14 AWG (Class I Div 2)</t>
        </is>
      </c>
      <c r="K5592" s="12" t="inlineStr">
        <is>
          <t>CTAX|2/C|14</t>
        </is>
      </c>
      <c r="L5592" s="12" t="inlineStr">
        <is>
          <t>2/C</t>
        </is>
      </c>
      <c r="M5592" s="12" t="inlineStr">
        <is>
          <t>14</t>
        </is>
      </c>
      <c r="N5592" s="12" t="n">
        <v>4</v>
      </c>
      <c r="O5592" s="12" t="n">
        <v>1</v>
      </c>
      <c r="P5592" s="12" t="n"/>
      <c r="Q5592" s="12" t="n"/>
      <c r="R5592" s="12" t="n"/>
      <c r="S5592" s="12" t="inlineStr">
        <is>
          <t>Tray / conduit</t>
        </is>
      </c>
      <c r="T5592" s="16" t="n">
        <v>53</v>
      </c>
      <c r="U5592" s="16" t="n">
        <v>10</v>
      </c>
      <c r="V5592" s="16">
        <f>ROUNDUP((T5592+U5592+2*'Read Me'!$B$13)*(1+'Read Me'!$B$12),-1)</f>
        <v/>
      </c>
      <c r="W5592" s="16">
        <f>V5592*N5592*O5592</f>
        <v/>
      </c>
      <c r="X5592" s="12">
        <f>IF(LEFT(I5592,2)="MV",2*N5592*IF(L5592="1/C",O5592,1),0)</f>
        <v/>
      </c>
      <c r="Y5592" s="12">
        <f>IF(OR(LEFT(K5592,4)="LVAX",LEFT(K5592,6)="MV15AX",LEFT(K5592,4)="CTAX",LEFT(K5592,2)="W|"),2*N5592*O5592,0)</f>
        <v/>
      </c>
      <c r="Z5592" s="12" t="inlineStr">
        <is>
          <t>device-to-JB field wiring, one cable per device</t>
        </is>
      </c>
      <c r="AA5592" s="12">
        <f>N5592*O5592</f>
        <v/>
      </c>
    </row>
    <row r="5593">
      <c r="A5593" s="12" t="inlineStr">
        <is>
          <t>K-C-0117</t>
        </is>
      </c>
      <c r="B5593" s="12" t="inlineStr">
        <is>
          <t>K</t>
        </is>
      </c>
      <c r="C5593" s="12" t="inlineStr">
        <is>
          <t>Fuel supply (adjacent market)</t>
        </is>
      </c>
      <c r="D5593" s="12" t="inlineStr">
        <is>
          <t>Home run JB-M&amp;R 3: horizontal -SOL01 to the control / marshalling room</t>
        </is>
      </c>
      <c r="E5593" s="12" t="inlineStr"/>
      <c r="F5593" s="12" t="inlineStr">
        <is>
          <t>LNG 17: LNG e-house (13.8 kV / 480 V)</t>
        </is>
      </c>
      <c r="G5593" s="12" t="inlineStr">
        <is>
          <t>JB-M&amp;R 3: horizontal -SOL01</t>
        </is>
      </c>
      <c r="H5593" s="12" t="inlineStr">
        <is>
          <t>M&amp;R 3: horizontal filter-separator</t>
        </is>
      </c>
      <c r="I5593" s="12" t="inlineStr">
        <is>
          <t>Control</t>
        </is>
      </c>
      <c r="J5593" s="12" t="inlineStr">
        <is>
          <t>ARMOR-X MC-HL 600 V control, Cu #14 AWG (Class I Div 2)</t>
        </is>
      </c>
      <c r="K5593" s="12" t="inlineStr">
        <is>
          <t>CTAX|25/C|14</t>
        </is>
      </c>
      <c r="L5593" s="12" t="inlineStr">
        <is>
          <t>25/C</t>
        </is>
      </c>
      <c r="M5593" s="12" t="inlineStr">
        <is>
          <t>14</t>
        </is>
      </c>
      <c r="N5593" s="12" t="n">
        <v>1</v>
      </c>
      <c r="O5593" s="12" t="n">
        <v>1</v>
      </c>
      <c r="P5593" s="12" t="n"/>
      <c r="Q5593" s="12" t="n"/>
      <c r="R5593" s="12" t="n"/>
      <c r="S5593" s="12" t="inlineStr">
        <is>
          <t>Duct bank</t>
        </is>
      </c>
      <c r="T5593" s="16" t="n">
        <v>797</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K-C-0118</t>
        </is>
      </c>
      <c r="B5594" s="12" t="inlineStr">
        <is>
          <t>K</t>
        </is>
      </c>
      <c r="C5594" s="12" t="inlineStr">
        <is>
          <t>Fuel supply (adjacent market)</t>
        </is>
      </c>
      <c r="D5594" s="12" t="inlineStr">
        <is>
          <t>Control</t>
        </is>
      </c>
      <c r="E5594" s="12" t="inlineStr"/>
      <c r="F5594" s="12" t="inlineStr">
        <is>
          <t>LNG 17: LNG e-house (13.8 kV / 480 V)</t>
        </is>
      </c>
      <c r="G5594" s="12" t="inlineStr"/>
      <c r="H5594" s="12" t="inlineStr">
        <is>
          <t>M&amp;R 4: line heater 1 (water bath)</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593</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K-C-0119</t>
        </is>
      </c>
      <c r="B5595" s="12" t="inlineStr">
        <is>
          <t>K</t>
        </is>
      </c>
      <c r="C5595" s="12" t="inlineStr">
        <is>
          <t>Fuel supply (adjacent market)</t>
        </is>
      </c>
      <c r="D5595" s="12" t="inlineStr">
        <is>
          <t>Control</t>
        </is>
      </c>
      <c r="E5595" s="12" t="inlineStr"/>
      <c r="F5595" s="12" t="inlineStr">
        <is>
          <t>LNG 17: LNG e-house (13.8 kV / 480 V)</t>
        </is>
      </c>
      <c r="G5595" s="12" t="inlineStr"/>
      <c r="H5595" s="12" t="inlineStr">
        <is>
          <t>M&amp;R 4: line heater 2 (water bath)</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593</v>
      </c>
      <c r="U5595" s="16" t="n">
        <v>50</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K-C-0120</t>
        </is>
      </c>
      <c r="B5596" s="12" t="inlineStr">
        <is>
          <t>K</t>
        </is>
      </c>
      <c r="C5596" s="12" t="inlineStr">
        <is>
          <t>Fuel supply (adjacent market)</t>
        </is>
      </c>
      <c r="D5596" s="12" t="inlineStr">
        <is>
          <t>Control</t>
        </is>
      </c>
      <c r="E5596" s="12" t="inlineStr"/>
      <c r="F5596" s="12" t="inlineStr">
        <is>
          <t>LNG 17: LNG e-house (13.8 kV / 480 V)</t>
        </is>
      </c>
      <c r="G5596" s="12" t="inlineStr"/>
      <c r="H5596" s="12" t="inlineStr">
        <is>
          <t>M&amp;R 4: line heater 3 (water bath)</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593</v>
      </c>
      <c r="U5596" s="16" t="n">
        <v>68</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K-C-0121</t>
        </is>
      </c>
      <c r="B5597" s="12" t="inlineStr">
        <is>
          <t>K</t>
        </is>
      </c>
      <c r="C5597" s="12" t="inlineStr">
        <is>
          <t>Fuel supply (adjacent market)</t>
        </is>
      </c>
      <c r="D5597" s="12" t="inlineStr">
        <is>
          <t>Solenoid to JB JB-M&amp;R 6: regulation -SOL01: 6 x 2/C (field cables)</t>
        </is>
      </c>
      <c r="E5597" s="12" t="inlineStr"/>
      <c r="F5597" s="12" t="inlineStr">
        <is>
          <t>M&amp;R 6: regulation / flow control building</t>
        </is>
      </c>
      <c r="G5597" s="12" t="inlineStr">
        <is>
          <t>JB-M&amp;R 6: regulation -SOL01</t>
        </is>
      </c>
      <c r="H5597" s="12" t="inlineStr">
        <is>
          <t>M&amp;R 6: regulation / flow control building</t>
        </is>
      </c>
      <c r="I5597" s="12" t="inlineStr">
        <is>
          <t>Control</t>
        </is>
      </c>
      <c r="J5597" s="12" t="inlineStr">
        <is>
          <t>ARMOR-X MC-HL 600 V control, Cu #14 AWG (Class I Div 2)</t>
        </is>
      </c>
      <c r="K5597" s="12" t="inlineStr">
        <is>
          <t>CTAX|2/C|14</t>
        </is>
      </c>
      <c r="L5597" s="12" t="inlineStr">
        <is>
          <t>2/C</t>
        </is>
      </c>
      <c r="M5597" s="12" t="inlineStr">
        <is>
          <t>14</t>
        </is>
      </c>
      <c r="N5597" s="12" t="n">
        <v>6</v>
      </c>
      <c r="O5597" s="12" t="n">
        <v>1</v>
      </c>
      <c r="P5597" s="12" t="n"/>
      <c r="Q5597" s="12" t="n"/>
      <c r="R5597" s="12" t="n"/>
      <c r="S5597" s="12" t="inlineStr">
        <is>
          <t>Tray / conduit</t>
        </is>
      </c>
      <c r="T5597" s="16" t="n">
        <v>61</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K-C-0122</t>
        </is>
      </c>
      <c r="B5598" s="12" t="inlineStr">
        <is>
          <t>K</t>
        </is>
      </c>
      <c r="C5598" s="12" t="inlineStr">
        <is>
          <t>Fuel supply (adjacent market)</t>
        </is>
      </c>
      <c r="D5598" s="12" t="inlineStr">
        <is>
          <t>Home run JB-M&amp;R 6: regulation -SOL01 to the control / marshalling room</t>
        </is>
      </c>
      <c r="E5598" s="12" t="inlineStr"/>
      <c r="F5598" s="12" t="inlineStr">
        <is>
          <t>LNG 17: LNG e-house (13.8 kV / 480 V)</t>
        </is>
      </c>
      <c r="G5598" s="12" t="inlineStr">
        <is>
          <t>JB-M&amp;R 6: regulation -SOL01</t>
        </is>
      </c>
      <c r="H5598" s="12" t="inlineStr">
        <is>
          <t>M&amp;R 6: regulation / flow control building</t>
        </is>
      </c>
      <c r="I5598" s="12" t="inlineStr">
        <is>
          <t>Control</t>
        </is>
      </c>
      <c r="J5598" s="12" t="inlineStr">
        <is>
          <t>ARMOR-X MC-HL 600 V control, Cu #14 AWG (Class I Div 2)</t>
        </is>
      </c>
      <c r="K5598" s="12" t="inlineStr">
        <is>
          <t>CTAX|25/C|14</t>
        </is>
      </c>
      <c r="L5598" s="12" t="inlineStr">
        <is>
          <t>25/C</t>
        </is>
      </c>
      <c r="M5598" s="12" t="inlineStr">
        <is>
          <t>14</t>
        </is>
      </c>
      <c r="N5598" s="12" t="n">
        <v>1</v>
      </c>
      <c r="O5598" s="12" t="n">
        <v>1</v>
      </c>
      <c r="P5598" s="12" t="n"/>
      <c r="Q5598" s="12" t="n"/>
      <c r="R5598" s="12" t="n"/>
      <c r="S5598" s="12" t="inlineStr">
        <is>
          <t>Duct bank</t>
        </is>
      </c>
      <c r="T5598" s="16" t="n">
        <v>470</v>
      </c>
      <c r="U5598" s="16" t="n">
        <v>70</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K-C-0123</t>
        </is>
      </c>
      <c r="B5599" s="12" t="inlineStr">
        <is>
          <t>K</t>
        </is>
      </c>
      <c r="C5599" s="12" t="inlineStr">
        <is>
          <t>Fuel supply (adjacent market)</t>
        </is>
      </c>
      <c r="D5599" s="12" t="inlineStr">
        <is>
          <t>Control</t>
        </is>
      </c>
      <c r="E5599" s="12" t="inlineStr"/>
      <c r="F5599" s="12" t="inlineStr">
        <is>
          <t>LNG 17: LNG e-house (13.8 kV / 480 V)</t>
        </is>
      </c>
      <c r="G5599" s="12" t="inlineStr"/>
      <c r="H5599" s="12" t="inlineStr">
        <is>
          <t>M&amp;R 9: service panel + UPS, SCADA RTU, CP</t>
        </is>
      </c>
      <c r="I5599" s="12" t="inlineStr">
        <is>
          <t>Control</t>
        </is>
      </c>
      <c r="J5599" s="12" t="inlineStr">
        <is>
          <t>ARMOR-X MC-HL 600 V control, Cu #14 AWG (Class I Div 2)</t>
        </is>
      </c>
      <c r="K5599" s="12" t="inlineStr">
        <is>
          <t>CTAX|7/C|14</t>
        </is>
      </c>
      <c r="L5599" s="12" t="inlineStr">
        <is>
          <t>7/C</t>
        </is>
      </c>
      <c r="M5599" s="12" t="inlineStr">
        <is>
          <t>14</t>
        </is>
      </c>
      <c r="N5599" s="12" t="n">
        <v>1</v>
      </c>
      <c r="O5599" s="12" t="n">
        <v>1</v>
      </c>
      <c r="P5599" s="12" t="n"/>
      <c r="Q5599" s="12" t="n"/>
      <c r="R5599" s="12" t="n"/>
      <c r="S5599" s="12" t="inlineStr">
        <is>
          <t>Duct bank</t>
        </is>
      </c>
      <c r="T5599" s="16" t="n">
        <v>466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K-C-0124</t>
        </is>
      </c>
      <c r="B5600" s="12" t="inlineStr">
        <is>
          <t>K</t>
        </is>
      </c>
      <c r="C5600" s="12" t="inlineStr">
        <is>
          <t>Fuel supply (adjacent market)</t>
        </is>
      </c>
      <c r="D5600" s="12" t="inlineStr">
        <is>
          <t>Control</t>
        </is>
      </c>
      <c r="E5600" s="12" t="inlineStr"/>
      <c r="F5600" s="12" t="inlineStr">
        <is>
          <t>LNG 17: LNG e-house (13.8 kV / 480 V)</t>
        </is>
      </c>
      <c r="G5600" s="12" t="inlineStr"/>
      <c r="H5600" s="12" t="inlineStr">
        <is>
          <t>M&amp;R CP test station (as drawn)</t>
        </is>
      </c>
      <c r="I5600" s="12" t="inlineStr">
        <is>
          <t>Control</t>
        </is>
      </c>
      <c r="J5600" s="12" t="inlineStr">
        <is>
          <t>ARMOR-X MC-HL 600 V control, Cu #14 AWG (Class I Div 2)</t>
        </is>
      </c>
      <c r="K5600" s="12" t="inlineStr">
        <is>
          <t>CTAX|7/C|14</t>
        </is>
      </c>
      <c r="L5600" s="12" t="inlineStr">
        <is>
          <t>7/C</t>
        </is>
      </c>
      <c r="M5600" s="12" t="inlineStr">
        <is>
          <t>14</t>
        </is>
      </c>
      <c r="N5600" s="12" t="n">
        <v>1</v>
      </c>
      <c r="O5600" s="12" t="n">
        <v>1</v>
      </c>
      <c r="P5600" s="12" t="n"/>
      <c r="Q5600" s="12" t="n"/>
      <c r="R5600" s="12" t="n"/>
      <c r="S5600" s="12" t="inlineStr">
        <is>
          <t>Duct bank</t>
        </is>
      </c>
      <c r="T5600" s="16" t="n">
        <v>441</v>
      </c>
      <c r="U5600" s="16" t="n">
        <v>42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K-C-0125</t>
        </is>
      </c>
      <c r="B5601" s="12" t="inlineStr">
        <is>
          <t>K</t>
        </is>
      </c>
      <c r="C5601" s="12" t="inlineStr">
        <is>
          <t>Fuel supply (adjacent market)</t>
        </is>
      </c>
      <c r="D5601" s="12" t="inlineStr">
        <is>
          <t>Control</t>
        </is>
      </c>
      <c r="E5601" s="12" t="inlineStr"/>
      <c r="F5601" s="12" t="inlineStr">
        <is>
          <t>LNG 17: LNG e-house (13.8 kV / 480 V)</t>
        </is>
      </c>
      <c r="G5601" s="12" t="inlineStr"/>
      <c r="H5601" s="12" t="inlineStr">
        <is>
          <t>M&amp;R SCADA antenna mast base (as drawn)</t>
        </is>
      </c>
      <c r="I5601" s="12" t="inlineStr">
        <is>
          <t>Control</t>
        </is>
      </c>
      <c r="J5601" s="12" t="inlineStr">
        <is>
          <t>ARMOR-X MC-HL 600 V control, Cu #14 AWG (Class I Div 2)</t>
        </is>
      </c>
      <c r="K5601" s="12" t="inlineStr">
        <is>
          <t>CTAX|7/C|14</t>
        </is>
      </c>
      <c r="L5601" s="12" t="inlineStr">
        <is>
          <t>7/C</t>
        </is>
      </c>
      <c r="M5601" s="12" t="inlineStr">
        <is>
          <t>14</t>
        </is>
      </c>
      <c r="N5601" s="12" t="n">
        <v>1</v>
      </c>
      <c r="O5601" s="12" t="n">
        <v>1</v>
      </c>
      <c r="P5601" s="12" t="n"/>
      <c r="Q5601" s="12" t="n"/>
      <c r="R5601" s="12" t="n"/>
      <c r="S5601" s="12" t="inlineStr">
        <is>
          <t>Duct bank</t>
        </is>
      </c>
      <c r="T5601" s="16" t="n">
        <v>433</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K-C-0126</t>
        </is>
      </c>
      <c r="B5602" s="12" t="inlineStr">
        <is>
          <t>K</t>
        </is>
      </c>
      <c r="C5602" s="12" t="inlineStr">
        <is>
          <t>Fuel supply (adjacent market)</t>
        </is>
      </c>
      <c r="D5602" s="12" t="inlineStr">
        <is>
          <t>Control</t>
        </is>
      </c>
      <c r="E5602" s="12" t="inlineStr"/>
      <c r="F5602" s="12" t="inlineStr">
        <is>
          <t>H2 20: 13.8 kV e-house</t>
        </is>
      </c>
      <c r="G5602" s="12" t="inlineStr"/>
      <c r="H5602" s="12" t="inlineStr">
        <is>
          <t>PEM electrolyzer 1 (HyLYZER-1000)</t>
        </is>
      </c>
      <c r="I5602" s="12" t="inlineStr">
        <is>
          <t>Control</t>
        </is>
      </c>
      <c r="J5602" s="12" t="inlineStr">
        <is>
          <t>ARMOR-X MC-HL 600 V control, Cu #14 AWG (Class I Div 2)</t>
        </is>
      </c>
      <c r="K5602" s="12" t="inlineStr">
        <is>
          <t>CTAX|7/C|14</t>
        </is>
      </c>
      <c r="L5602" s="12" t="inlineStr">
        <is>
          <t>7/C</t>
        </is>
      </c>
      <c r="M5602" s="12" t="inlineStr">
        <is>
          <t>14</t>
        </is>
      </c>
      <c r="N5602" s="12" t="n">
        <v>1</v>
      </c>
      <c r="O5602" s="12" t="n">
        <v>1</v>
      </c>
      <c r="P5602" s="12" t="n"/>
      <c r="Q5602" s="12" t="n"/>
      <c r="R5602" s="12" t="n"/>
      <c r="S5602" s="12" t="inlineStr">
        <is>
          <t>Duct bank</t>
        </is>
      </c>
      <c r="T5602" s="16" t="n">
        <v>358</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K-C-0127</t>
        </is>
      </c>
      <c r="B5603" s="12" t="inlineStr">
        <is>
          <t>K</t>
        </is>
      </c>
      <c r="C5603" s="12" t="inlineStr">
        <is>
          <t>Fuel supply (adjacent market)</t>
        </is>
      </c>
      <c r="D5603" s="12" t="inlineStr">
        <is>
          <t>Control</t>
        </is>
      </c>
      <c r="E5603" s="12" t="inlineStr"/>
      <c r="F5603" s="12" t="inlineStr">
        <is>
          <t>H2 20: 13.8 kV e-house</t>
        </is>
      </c>
      <c r="G5603" s="12" t="inlineStr"/>
      <c r="H5603" s="12" t="inlineStr">
        <is>
          <t>PEM electrolyzer 2 (HyLYZER-1000)</t>
        </is>
      </c>
      <c r="I5603" s="12" t="inlineStr">
        <is>
          <t>Control</t>
        </is>
      </c>
      <c r="J5603" s="12" t="inlineStr">
        <is>
          <t>ARMOR-X MC-HL 600 V control, Cu #14 AWG (Class I Div 2)</t>
        </is>
      </c>
      <c r="K5603" s="12" t="inlineStr">
        <is>
          <t>CTAX|7/C|14</t>
        </is>
      </c>
      <c r="L5603" s="12" t="inlineStr">
        <is>
          <t>7/C</t>
        </is>
      </c>
      <c r="M5603" s="12" t="inlineStr">
        <is>
          <t>14</t>
        </is>
      </c>
      <c r="N5603" s="12" t="n">
        <v>1</v>
      </c>
      <c r="O5603" s="12" t="n">
        <v>1</v>
      </c>
      <c r="P5603" s="12" t="n"/>
      <c r="Q5603" s="12" t="n"/>
      <c r="R5603" s="12" t="n"/>
      <c r="S5603" s="12" t="inlineStr">
        <is>
          <t>Duct bank</t>
        </is>
      </c>
      <c r="T5603" s="16" t="n">
        <v>358</v>
      </c>
      <c r="U5603" s="16" t="n">
        <v>48</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K-C-0128</t>
        </is>
      </c>
      <c r="B5604" s="12" t="inlineStr">
        <is>
          <t>K</t>
        </is>
      </c>
      <c r="C5604" s="12" t="inlineStr">
        <is>
          <t>Fuel supply (adjacent market)</t>
        </is>
      </c>
      <c r="D5604" s="12" t="inlineStr">
        <is>
          <t>Control</t>
        </is>
      </c>
      <c r="E5604" s="12" t="inlineStr"/>
      <c r="F5604" s="12" t="inlineStr">
        <is>
          <t>H2 20: 13.8 kV e-house</t>
        </is>
      </c>
      <c r="G5604" s="12" t="inlineStr"/>
      <c r="H5604" s="12" t="inlineStr">
        <is>
          <t>PEM electrolyzer 3 (HyLYZER-1000)</t>
        </is>
      </c>
      <c r="I5604" s="12" t="inlineStr">
        <is>
          <t>Control</t>
        </is>
      </c>
      <c r="J5604" s="12" t="inlineStr">
        <is>
          <t>ARMOR-X MC-HL 600 V control, Cu #14 AWG (Class I Div 2)</t>
        </is>
      </c>
      <c r="K5604" s="12" t="inlineStr">
        <is>
          <t>CTAX|7/C|14</t>
        </is>
      </c>
      <c r="L5604" s="12" t="inlineStr">
        <is>
          <t>7/C</t>
        </is>
      </c>
      <c r="M5604" s="12" t="inlineStr">
        <is>
          <t>14</t>
        </is>
      </c>
      <c r="N5604" s="12" t="n">
        <v>1</v>
      </c>
      <c r="O5604" s="12" t="n">
        <v>1</v>
      </c>
      <c r="P5604" s="12" t="n"/>
      <c r="Q5604" s="12" t="n"/>
      <c r="R5604" s="12" t="n"/>
      <c r="S5604" s="12" t="inlineStr">
        <is>
          <t>Duct bank</t>
        </is>
      </c>
      <c r="T5604" s="16" t="n">
        <v>348</v>
      </c>
      <c r="U5604" s="16" t="n">
        <v>49</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K-C-0129</t>
        </is>
      </c>
      <c r="B5605" s="12" t="inlineStr">
        <is>
          <t>K</t>
        </is>
      </c>
      <c r="C5605" s="12" t="inlineStr">
        <is>
          <t>Fuel supply (adjacent market)</t>
        </is>
      </c>
      <c r="D5605" s="12" t="inlineStr">
        <is>
          <t>Control</t>
        </is>
      </c>
      <c r="E5605" s="12" t="inlineStr"/>
      <c r="F5605" s="12" t="inlineStr">
        <is>
          <t>H2 20: 13.8 kV e-house</t>
        </is>
      </c>
      <c r="G5605" s="12" t="inlineStr"/>
      <c r="H5605" s="12" t="inlineStr">
        <is>
          <t>PEM electrolyzer 4 (HyLYZER-1000)</t>
        </is>
      </c>
      <c r="I5605" s="12" t="inlineStr">
        <is>
          <t>Control</t>
        </is>
      </c>
      <c r="J5605" s="12" t="inlineStr">
        <is>
          <t>ARMOR-X MC-HL 600 V control, Cu #14 AWG (Class I Div 2)</t>
        </is>
      </c>
      <c r="K5605" s="12" t="inlineStr">
        <is>
          <t>CTAX|7/C|14</t>
        </is>
      </c>
      <c r="L5605" s="12" t="inlineStr">
        <is>
          <t>7/C</t>
        </is>
      </c>
      <c r="M5605" s="12" t="inlineStr">
        <is>
          <t>14</t>
        </is>
      </c>
      <c r="N5605" s="12" t="n">
        <v>1</v>
      </c>
      <c r="O5605" s="12" t="n">
        <v>1</v>
      </c>
      <c r="P5605" s="12" t="n"/>
      <c r="Q5605" s="12" t="n"/>
      <c r="R5605" s="12" t="n"/>
      <c r="S5605" s="12" t="inlineStr">
        <is>
          <t>Duct bank</t>
        </is>
      </c>
      <c r="T5605" s="16" t="n">
        <v>328</v>
      </c>
      <c r="U5605" s="16" t="n">
        <v>49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K-C-0130</t>
        </is>
      </c>
      <c r="B5606" s="12" t="inlineStr">
        <is>
          <t>K</t>
        </is>
      </c>
      <c r="C5606" s="12" t="inlineStr">
        <is>
          <t>Fuel supply (adjacent market)</t>
        </is>
      </c>
      <c r="D5606" s="12" t="inlineStr">
        <is>
          <t>Control</t>
        </is>
      </c>
      <c r="E5606" s="12" t="inlineStr"/>
      <c r="F5606" s="12" t="inlineStr">
        <is>
          <t>H2 20: 13.8 kV e-house</t>
        </is>
      </c>
      <c r="G5606" s="12" t="inlineStr"/>
      <c r="H5606" s="12" t="inlineStr">
        <is>
          <t>PEM electrolyzer 5 (HyLYZER-1000)</t>
        </is>
      </c>
      <c r="I5606" s="12" t="inlineStr">
        <is>
          <t>Control</t>
        </is>
      </c>
      <c r="J5606" s="12" t="inlineStr">
        <is>
          <t>ARMOR-X MC-HL 600 V control, Cu #14 AWG (Class I Div 2)</t>
        </is>
      </c>
      <c r="K5606" s="12" t="inlineStr">
        <is>
          <t>CTAX|7/C|14</t>
        </is>
      </c>
      <c r="L5606" s="12" t="inlineStr">
        <is>
          <t>7/C</t>
        </is>
      </c>
      <c r="M5606" s="12" t="inlineStr">
        <is>
          <t>14</t>
        </is>
      </c>
      <c r="N5606" s="12" t="n">
        <v>1</v>
      </c>
      <c r="O5606" s="12" t="n">
        <v>1</v>
      </c>
      <c r="P5606" s="12" t="n"/>
      <c r="Q5606" s="12" t="n"/>
      <c r="R5606" s="12" t="n"/>
      <c r="S5606" s="12" t="inlineStr">
        <is>
          <t>Duct bank</t>
        </is>
      </c>
      <c r="T5606" s="16" t="n">
        <v>328</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K-C-0131</t>
        </is>
      </c>
      <c r="B5607" s="12" t="inlineStr">
        <is>
          <t>K</t>
        </is>
      </c>
      <c r="C5607" s="12" t="inlineStr">
        <is>
          <t>Fuel supply (adjacent market)</t>
        </is>
      </c>
      <c r="D5607" s="12" t="inlineStr">
        <is>
          <t>Control</t>
        </is>
      </c>
      <c r="E5607" s="12" t="inlineStr"/>
      <c r="F5607" s="12" t="inlineStr">
        <is>
          <t>H2 20: 13.8 kV e-house</t>
        </is>
      </c>
      <c r="G5607" s="12" t="inlineStr"/>
      <c r="H5607" s="12" t="inlineStr">
        <is>
          <t>Rectifier 1 (7 MVA)</t>
        </is>
      </c>
      <c r="I5607" s="12" t="inlineStr">
        <is>
          <t>Control</t>
        </is>
      </c>
      <c r="J5607" s="12" t="inlineStr">
        <is>
          <t>Control cable 600 V Type TC-ER, Cu #14 AWG, PVC jacket</t>
        </is>
      </c>
      <c r="K5607" s="12" t="inlineStr">
        <is>
          <t>CT|7/C|14</t>
        </is>
      </c>
      <c r="L5607" s="12" t="inlineStr">
        <is>
          <t>7/C</t>
        </is>
      </c>
      <c r="M5607" s="12" t="inlineStr">
        <is>
          <t>14</t>
        </is>
      </c>
      <c r="N5607" s="12" t="n">
        <v>1</v>
      </c>
      <c r="O5607" s="12" t="n">
        <v>1</v>
      </c>
      <c r="P5607" s="12" t="n"/>
      <c r="Q5607" s="12" t="n"/>
      <c r="R5607" s="12" t="n"/>
      <c r="S5607" s="12" t="inlineStr">
        <is>
          <t>Duct bank</t>
        </is>
      </c>
      <c r="T5607" s="16" t="n">
        <v>346</v>
      </c>
      <c r="U5607" s="16" t="n">
        <v>32</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K-C-0132</t>
        </is>
      </c>
      <c r="B5608" s="12" t="inlineStr">
        <is>
          <t>K</t>
        </is>
      </c>
      <c r="C5608" s="12" t="inlineStr">
        <is>
          <t>Fuel supply (adjacent market)</t>
        </is>
      </c>
      <c r="D5608" s="12" t="inlineStr">
        <is>
          <t>Control</t>
        </is>
      </c>
      <c r="E5608" s="12" t="inlineStr"/>
      <c r="F5608" s="12" t="inlineStr">
        <is>
          <t>H2 20: 13.8 kV e-house</t>
        </is>
      </c>
      <c r="G5608" s="12" t="inlineStr"/>
      <c r="H5608" s="12" t="inlineStr">
        <is>
          <t>Rectifier 2 (7 MVA)</t>
        </is>
      </c>
      <c r="I5608" s="12" t="inlineStr">
        <is>
          <t>Control</t>
        </is>
      </c>
      <c r="J5608" s="12" t="inlineStr">
        <is>
          <t>Control cable 600 V Type TC-ER, Cu #14 AWG, PVC jacket</t>
        </is>
      </c>
      <c r="K5608" s="12" t="inlineStr">
        <is>
          <t>CT|7/C|14</t>
        </is>
      </c>
      <c r="L5608" s="12" t="inlineStr">
        <is>
          <t>7/C</t>
        </is>
      </c>
      <c r="M5608" s="12" t="inlineStr">
        <is>
          <t>14</t>
        </is>
      </c>
      <c r="N5608" s="12" t="n">
        <v>1</v>
      </c>
      <c r="O5608" s="12" t="n">
        <v>1</v>
      </c>
      <c r="P5608" s="12" t="n"/>
      <c r="Q5608" s="12" t="n"/>
      <c r="R5608" s="12" t="n"/>
      <c r="S5608" s="12" t="inlineStr">
        <is>
          <t>Duct bank</t>
        </is>
      </c>
      <c r="T5608" s="16" t="n">
        <v>361</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K-C-0133</t>
        </is>
      </c>
      <c r="B5609" s="12" t="inlineStr">
        <is>
          <t>K</t>
        </is>
      </c>
      <c r="C5609" s="12" t="inlineStr">
        <is>
          <t>Fuel supply (adjacent market)</t>
        </is>
      </c>
      <c r="D5609" s="12" t="inlineStr">
        <is>
          <t>Control</t>
        </is>
      </c>
      <c r="E5609" s="12" t="inlineStr"/>
      <c r="F5609" s="12" t="inlineStr">
        <is>
          <t>H2 20: 13.8 kV e-house</t>
        </is>
      </c>
      <c r="G5609" s="12" t="inlineStr"/>
      <c r="H5609" s="12" t="inlineStr">
        <is>
          <t>Rectifier 3 (7 MVA)</t>
        </is>
      </c>
      <c r="I5609" s="12" t="inlineStr">
        <is>
          <t>Control</t>
        </is>
      </c>
      <c r="J5609" s="12" t="inlineStr">
        <is>
          <t>Control cable 600 V Type TC-ER, Cu #14 AWG, PVC jacket</t>
        </is>
      </c>
      <c r="K5609" s="12" t="inlineStr">
        <is>
          <t>CT|7/C|14</t>
        </is>
      </c>
      <c r="L5609" s="12" t="inlineStr">
        <is>
          <t>7/C</t>
        </is>
      </c>
      <c r="M5609" s="12" t="inlineStr">
        <is>
          <t>14</t>
        </is>
      </c>
      <c r="N5609" s="12" t="n">
        <v>1</v>
      </c>
      <c r="O5609" s="12" t="n">
        <v>1</v>
      </c>
      <c r="P5609" s="12" t="n"/>
      <c r="Q5609" s="12" t="n"/>
      <c r="R5609" s="12" t="n"/>
      <c r="S5609" s="12" t="inlineStr">
        <is>
          <t>Duct bank</t>
        </is>
      </c>
      <c r="T5609" s="16" t="n">
        <v>341</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K-C-0134</t>
        </is>
      </c>
      <c r="B5610" s="12" t="inlineStr">
        <is>
          <t>K</t>
        </is>
      </c>
      <c r="C5610" s="12" t="inlineStr">
        <is>
          <t>Fuel supply (adjacent market)</t>
        </is>
      </c>
      <c r="D5610" s="12" t="inlineStr">
        <is>
          <t>Control</t>
        </is>
      </c>
      <c r="E5610" s="12" t="inlineStr"/>
      <c r="F5610" s="12" t="inlineStr">
        <is>
          <t>H2 20: 13.8 kV e-house</t>
        </is>
      </c>
      <c r="G5610" s="12" t="inlineStr"/>
      <c r="H5610" s="12" t="inlineStr">
        <is>
          <t>Rectifier 4 (7 MVA)</t>
        </is>
      </c>
      <c r="I5610" s="12" t="inlineStr">
        <is>
          <t>Control</t>
        </is>
      </c>
      <c r="J5610" s="12" t="inlineStr">
        <is>
          <t>Control cable 600 V Type TC-ER, Cu #14 AWG, PVC jacket</t>
        </is>
      </c>
      <c r="K5610" s="12" t="inlineStr">
        <is>
          <t>CT|7/C|14</t>
        </is>
      </c>
      <c r="L5610" s="12" t="inlineStr">
        <is>
          <t>7/C</t>
        </is>
      </c>
      <c r="M5610" s="12" t="inlineStr">
        <is>
          <t>14</t>
        </is>
      </c>
      <c r="N5610" s="12" t="n">
        <v>1</v>
      </c>
      <c r="O5610" s="12" t="n">
        <v>1</v>
      </c>
      <c r="P5610" s="12" t="n"/>
      <c r="Q5610" s="12" t="n"/>
      <c r="R5610" s="12" t="n"/>
      <c r="S5610" s="12" t="inlineStr">
        <is>
          <t>Duct bank</t>
        </is>
      </c>
      <c r="T5610" s="16" t="n">
        <v>321</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K-C-0135</t>
        </is>
      </c>
      <c r="B5611" s="12" t="inlineStr">
        <is>
          <t>K</t>
        </is>
      </c>
      <c r="C5611" s="12" t="inlineStr">
        <is>
          <t>Fuel supply (adjacent market)</t>
        </is>
      </c>
      <c r="D5611" s="12" t="inlineStr">
        <is>
          <t>Control</t>
        </is>
      </c>
      <c r="E5611" s="12" t="inlineStr"/>
      <c r="F5611" s="12" t="inlineStr">
        <is>
          <t>H2 20: 13.8 kV e-house</t>
        </is>
      </c>
      <c r="G5611" s="12" t="inlineStr"/>
      <c r="H5611" s="12" t="inlineStr">
        <is>
          <t>Rectifier 5 (7 MVA)</t>
        </is>
      </c>
      <c r="I5611" s="12" t="inlineStr">
        <is>
          <t>Control</t>
        </is>
      </c>
      <c r="J5611" s="12" t="inlineStr">
        <is>
          <t>Control cable 600 V Type TC-ER, Cu #14 AWG, PVC jacket</t>
        </is>
      </c>
      <c r="K5611" s="12" t="inlineStr">
        <is>
          <t>CT|7/C|14</t>
        </is>
      </c>
      <c r="L5611" s="12" t="inlineStr">
        <is>
          <t>7/C</t>
        </is>
      </c>
      <c r="M5611" s="12" t="inlineStr">
        <is>
          <t>14</t>
        </is>
      </c>
      <c r="N5611" s="12" t="n">
        <v>1</v>
      </c>
      <c r="O5611" s="12" t="n">
        <v>1</v>
      </c>
      <c r="P5611" s="12" t="n"/>
      <c r="Q5611" s="12" t="n"/>
      <c r="R5611" s="12" t="n"/>
      <c r="S5611" s="12" t="inlineStr">
        <is>
          <t>Duct bank</t>
        </is>
      </c>
      <c r="T5611" s="16" t="n">
        <v>301</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K-F-0001</t>
        </is>
      </c>
      <c r="B5612" s="12" t="inlineStr">
        <is>
          <t>K</t>
        </is>
      </c>
      <c r="C5612" s="12" t="inlineStr">
        <is>
          <t>Fuel supply (adjacent market)</t>
        </is>
      </c>
      <c r="D5612" s="12" t="inlineStr">
        <is>
          <t>Plant network / DCS fibre</t>
        </is>
      </c>
      <c r="E5612" s="12" t="inlineStr">
        <is>
          <t>CR</t>
        </is>
      </c>
      <c r="F5612" s="12" t="inlineStr">
        <is>
          <t>Control / admin building (main control room)</t>
        </is>
      </c>
      <c r="G5612" s="12" t="inlineStr"/>
      <c r="H5612" s="12" t="inlineStr">
        <is>
          <t>H2 20: 13.8 kV e-house</t>
        </is>
      </c>
      <c r="I5612" s="12" t="inlineStr">
        <is>
          <t>Fibre / data</t>
        </is>
      </c>
      <c r="J5612" s="12" t="inlineStr">
        <is>
          <t>Fibre optic, single-mode, 12-fibre, armored, orange jacket</t>
        </is>
      </c>
      <c r="K5612" s="12" t="inlineStr">
        <is>
          <t>FO|12 SM|-</t>
        </is>
      </c>
      <c r="L5612" s="12" t="inlineStr">
        <is>
          <t>12 SM</t>
        </is>
      </c>
      <c r="M5612" s="12" t="inlineStr">
        <is>
          <t>-</t>
        </is>
      </c>
      <c r="N5612" s="12" t="n">
        <v>1</v>
      </c>
      <c r="O5612" s="12" t="n">
        <v>1</v>
      </c>
      <c r="P5612" s="12" t="n"/>
      <c r="Q5612" s="12" t="n"/>
      <c r="R5612" s="12" t="n"/>
      <c r="S5612" s="12" t="inlineStr">
        <is>
          <t>Trench</t>
        </is>
      </c>
      <c r="T5612" s="16" t="n">
        <v>4293</v>
      </c>
      <c r="U5612" s="16" t="n">
        <v>36</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K-F-0002</t>
        </is>
      </c>
      <c r="B5613" s="12" t="inlineStr">
        <is>
          <t>K</t>
        </is>
      </c>
      <c r="C5613" s="12" t="inlineStr">
        <is>
          <t>Fuel supply (adjacent market)</t>
        </is>
      </c>
      <c r="D5613" s="12" t="inlineStr">
        <is>
          <t>Plant network / DCS fibre</t>
        </is>
      </c>
      <c r="E5613" s="12" t="inlineStr">
        <is>
          <t>CR</t>
        </is>
      </c>
      <c r="F5613" s="12" t="inlineStr">
        <is>
          <t>Control / admin building (main control room)</t>
        </is>
      </c>
      <c r="G5613" s="12" t="inlineStr"/>
      <c r="H5613" s="12" t="inlineStr">
        <is>
          <t>LNG 17: LNG e-house (13.8 kV / 480 V)</t>
        </is>
      </c>
      <c r="I5613" s="12" t="inlineStr">
        <is>
          <t>Fibre / data</t>
        </is>
      </c>
      <c r="J5613" s="12" t="inlineStr">
        <is>
          <t>Fibre optic, single-mode, 12-fibre, armored, orange jacket</t>
        </is>
      </c>
      <c r="K5613" s="12" t="inlineStr">
        <is>
          <t>FO|12 SM|-</t>
        </is>
      </c>
      <c r="L5613" s="12" t="inlineStr">
        <is>
          <t>12 SM</t>
        </is>
      </c>
      <c r="M5613" s="12" t="inlineStr">
        <is>
          <t>-</t>
        </is>
      </c>
      <c r="N5613" s="12" t="n">
        <v>1</v>
      </c>
      <c r="O5613" s="12" t="n">
        <v>1</v>
      </c>
      <c r="P5613" s="12" t="n"/>
      <c r="Q5613" s="12" t="n"/>
      <c r="R5613" s="12" t="n"/>
      <c r="S5613" s="12" t="inlineStr">
        <is>
          <t>Duct bank</t>
        </is>
      </c>
      <c r="T5613" s="16" t="n">
        <v>3499</v>
      </c>
      <c r="U5613" s="16" t="n">
        <v>359</v>
      </c>
      <c r="V5613" s="16">
        <f>ROUNDUP((T5613+U5613+2*'Read Me'!$B$13)*(1+'Read Me'!$B$12),-1)</f>
        <v/>
      </c>
      <c r="W5613" s="16">
        <f>V5613*N5613*O5613</f>
        <v/>
      </c>
      <c r="X5613" s="12">
        <f>IF(LEFT(I5613,2)="MV",2*N5613*IF(L5613="1/C",O5613,1),0)</f>
        <v/>
      </c>
      <c r="Y5613" s="12">
        <f>IF(OR(LEFT(K5613,4)="LVAX",LEFT(K5613,6)="MV15AX",LEFT(K5613,4)="CTAX",LEFT(K5613,2)="W|"),2*N5613*O5613,0)</f>
        <v/>
      </c>
      <c r="Z5613" s="12" t="inlineStr"/>
      <c r="AA5613" s="12">
        <f>N5613*O5613</f>
        <v/>
      </c>
    </row>
    <row r="5614">
      <c r="A5614" s="12" t="inlineStr">
        <is>
          <t>K-F-0003</t>
        </is>
      </c>
      <c r="B5614" s="12" t="inlineStr">
        <is>
          <t>K</t>
        </is>
      </c>
      <c r="C5614" s="12" t="inlineStr">
        <is>
          <t>Fuel supply (adjacent market)</t>
        </is>
      </c>
      <c r="D5614" s="12" t="inlineStr">
        <is>
          <t>Plant network / DCS fibre</t>
        </is>
      </c>
      <c r="E5614" s="12" t="inlineStr">
        <is>
          <t>CR</t>
        </is>
      </c>
      <c r="F5614" s="12" t="inlineStr">
        <is>
          <t>Control / admin building (main control room)</t>
        </is>
      </c>
      <c r="G5614" s="12" t="inlineStr"/>
      <c r="H5614" s="12" t="inlineStr">
        <is>
          <t>M&amp;R 6: regulation / flow control building</t>
        </is>
      </c>
      <c r="I5614" s="12" t="inlineStr">
        <is>
          <t>Fibre / data</t>
        </is>
      </c>
      <c r="J5614" s="12" t="inlineStr">
        <is>
          <t>Fibre optic, single-mode, 12-fibre, armored, orange jacket</t>
        </is>
      </c>
      <c r="K5614" s="12" t="inlineStr">
        <is>
          <t>FO|12 SM|-</t>
        </is>
      </c>
      <c r="L5614" s="12" t="inlineStr">
        <is>
          <t>12 SM</t>
        </is>
      </c>
      <c r="M5614" s="12" t="inlineStr">
        <is>
          <t>-</t>
        </is>
      </c>
      <c r="N5614" s="12" t="n">
        <v>1</v>
      </c>
      <c r="O5614" s="12" t="n">
        <v>1</v>
      </c>
      <c r="P5614" s="12" t="n"/>
      <c r="Q5614" s="12" t="n"/>
      <c r="R5614" s="12" t="n"/>
      <c r="S5614" s="12" t="inlineStr">
        <is>
          <t>Duct bank</t>
        </is>
      </c>
      <c r="T5614" s="16" t="n">
        <v>3128</v>
      </c>
      <c r="U5614" s="16" t="n">
        <v>302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K-F-0004</t>
        </is>
      </c>
      <c r="B5615" s="12" t="inlineStr">
        <is>
          <t>K</t>
        </is>
      </c>
      <c r="C5615" s="12" t="inlineStr">
        <is>
          <t>Fuel supply (adjacent market)</t>
        </is>
      </c>
      <c r="D5615" s="12" t="inlineStr">
        <is>
          <t>Plant network / DCS fibre</t>
        </is>
      </c>
      <c r="E5615" s="12" t="inlineStr">
        <is>
          <t>CR</t>
        </is>
      </c>
      <c r="F5615" s="12" t="inlineStr">
        <is>
          <t>Control / admin building (main control room)</t>
        </is>
      </c>
      <c r="G5615" s="12" t="inlineStr"/>
      <c r="H5615" s="12" t="inlineStr">
        <is>
          <t>M&amp;R 7: gas quality + measurement building</t>
        </is>
      </c>
      <c r="I5615" s="12" t="inlineStr">
        <is>
          <t>Fibre / data</t>
        </is>
      </c>
      <c r="J5615" s="12" t="inlineStr">
        <is>
          <t>Fibre optic, single-mode, 12-fibre, armored, orange jacket</t>
        </is>
      </c>
      <c r="K5615" s="12" t="inlineStr">
        <is>
          <t>FO|12 SM|-</t>
        </is>
      </c>
      <c r="L5615" s="12" t="inlineStr">
        <is>
          <t>12 SM</t>
        </is>
      </c>
      <c r="M5615" s="12" t="inlineStr">
        <is>
          <t>-</t>
        </is>
      </c>
      <c r="N5615" s="12" t="n">
        <v>1</v>
      </c>
      <c r="O5615" s="12" t="n">
        <v>1</v>
      </c>
      <c r="P5615" s="12" t="n"/>
      <c r="Q5615" s="12" t="n"/>
      <c r="R5615" s="12" t="n"/>
      <c r="S5615" s="12" t="inlineStr">
        <is>
          <t>Duct bank</t>
        </is>
      </c>
      <c r="T5615" s="16" t="n">
        <v>2978</v>
      </c>
      <c r="U5615" s="16" t="n">
        <v>284</v>
      </c>
      <c r="V5615" s="16">
        <f>ROUNDUP((T5615+U5615+2*'Read Me'!$B$13)*(1+'Read Me'!$B$12),-1)</f>
        <v/>
      </c>
      <c r="W5615" s="16">
        <f>V5615*N5615*O5615</f>
        <v/>
      </c>
      <c r="X5615" s="12">
        <f>IF(LEFT(I5615,2)="MV",2*N5615*IF(L5615="1/C",O5615,1),0)</f>
        <v/>
      </c>
      <c r="Y5615" s="12">
        <f>IF(OR(LEFT(K5615,4)="LVAX",LEFT(K5615,6)="MV15AX",LEFT(K5615,4)="CTAX",LEFT(K5615,2)="W|"),2*N5615*O5615,0)</f>
        <v/>
      </c>
      <c r="Z5615" s="12" t="inlineStr"/>
      <c r="AA5615" s="12">
        <f>N5615*O5615</f>
        <v/>
      </c>
    </row>
    <row r="5616">
      <c r="A5616" s="12" t="inlineStr">
        <is>
          <t>K-FA-0001</t>
        </is>
      </c>
      <c r="B5616" s="12" t="inlineStr">
        <is>
          <t>K</t>
        </is>
      </c>
      <c r="C5616" s="12" t="inlineStr">
        <is>
          <t>Fuel supply (adjacent market)</t>
        </is>
      </c>
      <c r="D5616" s="12" t="inlineStr">
        <is>
          <t>Fire alarm / F&amp;G loop (to the local FACP / F&amp;G node)</t>
        </is>
      </c>
      <c r="E5616" s="12" t="inlineStr"/>
      <c r="F5616" s="12" t="inlineStr">
        <is>
          <t>H2 20: 13.8 kV e-house</t>
        </is>
      </c>
      <c r="G5616" s="12" t="inlineStr"/>
      <c r="H5616" s="12" t="inlineStr">
        <is>
          <t>H2 20: 13.8 kV e-house</t>
        </is>
      </c>
      <c r="I5616" s="12" t="inlineStr">
        <is>
          <t>Fire alarm</t>
        </is>
      </c>
      <c r="J5616" s="12" t="inlineStr">
        <is>
          <t>Fire alarm FPLR 2/C #14 shielded, red jacket (NEC 760)</t>
        </is>
      </c>
      <c r="K5616" s="12" t="inlineStr">
        <is>
          <t>FA|2/C|14</t>
        </is>
      </c>
      <c r="L5616" s="12" t="inlineStr">
        <is>
          <t>2/C</t>
        </is>
      </c>
      <c r="M5616" s="12" t="inlineStr">
        <is>
          <t>14</t>
        </is>
      </c>
      <c r="N5616" s="12" t="n">
        <v>1</v>
      </c>
      <c r="O5616" s="12" t="n">
        <v>1</v>
      </c>
      <c r="P5616" s="12" t="n"/>
      <c r="Q5616" s="12" t="n"/>
      <c r="R5616" s="12" t="n"/>
      <c r="S5616" s="12" t="inlineStr">
        <is>
          <t>Tray</t>
        </is>
      </c>
      <c r="T5616" s="16" t="n">
        <v>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K-FA-0002</t>
        </is>
      </c>
      <c r="B5617" s="12" t="inlineStr">
        <is>
          <t>K</t>
        </is>
      </c>
      <c r="C5617" s="12" t="inlineStr">
        <is>
          <t>Fuel supply (adjacent market)</t>
        </is>
      </c>
      <c r="D5617" s="12" t="inlineStr">
        <is>
          <t>Fire alarm / F&amp;G loop (to the local FACP / F&amp;G node)</t>
        </is>
      </c>
      <c r="E5617" s="12" t="inlineStr"/>
      <c r="F5617" s="12" t="inlineStr">
        <is>
          <t>LNG 17: LNG e-house (13.8 kV / 480 V)</t>
        </is>
      </c>
      <c r="G5617" s="12" t="inlineStr"/>
      <c r="H5617" s="12" t="inlineStr">
        <is>
          <t>LNG 17: LNG e-house (13.8 kV / 480 V)</t>
        </is>
      </c>
      <c r="I5617" s="12" t="inlineStr">
        <is>
          <t>Fire alarm</t>
        </is>
      </c>
      <c r="J5617" s="12" t="inlineStr">
        <is>
          <t>Fire alarm FPLR 2/C #14 shielded, red jacket (NEC 760)</t>
        </is>
      </c>
      <c r="K5617" s="12" t="inlineStr">
        <is>
          <t>FA|2/C|14</t>
        </is>
      </c>
      <c r="L5617" s="12" t="inlineStr">
        <is>
          <t>2/C</t>
        </is>
      </c>
      <c r="M5617" s="12" t="inlineStr">
        <is>
          <t>14</t>
        </is>
      </c>
      <c r="N5617" s="12" t="n">
        <v>1</v>
      </c>
      <c r="O5617" s="12" t="n">
        <v>1</v>
      </c>
      <c r="P5617" s="12" t="n"/>
      <c r="Q5617" s="12" t="n"/>
      <c r="R5617" s="12" t="n"/>
      <c r="S5617" s="12" t="inlineStr">
        <is>
          <t>Tray</t>
        </is>
      </c>
      <c r="T5617" s="16" t="n">
        <v>0</v>
      </c>
      <c r="U5617" s="16" t="n">
        <v>32</v>
      </c>
      <c r="V5617" s="16">
        <f>ROUNDUP((T5617+U5617+2*'Read Me'!$B$13)*(1+'Read Me'!$B$12),-1)</f>
        <v/>
      </c>
      <c r="W5617" s="16">
        <f>V5617*N5617*O5617</f>
        <v/>
      </c>
      <c r="X5617" s="12">
        <f>IF(LEFT(I5617,2)="MV",2*N5617*IF(L5617="1/C",O5617,1),0)</f>
        <v/>
      </c>
      <c r="Y5617" s="12">
        <f>IF(OR(LEFT(K5617,4)="LVAX",LEFT(K5617,6)="MV15AX",LEFT(K5617,4)="CTAX",LEFT(K5617,2)="W|"),2*N5617*O5617,0)</f>
        <v/>
      </c>
      <c r="Z5617" s="12" t="inlineStr"/>
      <c r="AA5617" s="12">
        <f>N5617*O5617</f>
        <v/>
      </c>
    </row>
    <row r="5618">
      <c r="A5618" s="12" t="inlineStr">
        <is>
          <t>K-FA-0003</t>
        </is>
      </c>
      <c r="B5618" s="12" t="inlineStr">
        <is>
          <t>K</t>
        </is>
      </c>
      <c r="C5618" s="12" t="inlineStr">
        <is>
          <t>Fuel supply (adjacent market)</t>
        </is>
      </c>
      <c r="D5618" s="12" t="inlineStr">
        <is>
          <t>Fire alarm / F&amp;G loop (to the local FACP / F&amp;G node)</t>
        </is>
      </c>
      <c r="E5618" s="12" t="inlineStr"/>
      <c r="F5618" s="12" t="inlineStr">
        <is>
          <t>LNG 17: LNG e-house (13.8 kV / 480 V)</t>
        </is>
      </c>
      <c r="G5618" s="12" t="inlineStr"/>
      <c r="H5618" s="12" t="inlineStr">
        <is>
          <t>M&amp;R 6: regulation / flow control building</t>
        </is>
      </c>
      <c r="I5618" s="12" t="inlineStr">
        <is>
          <t>Fire alarm</t>
        </is>
      </c>
      <c r="J5618" s="12" t="inlineStr">
        <is>
          <t>Fire alarm FPLR 2/C #14 shielded, red jacket (NEC 760)</t>
        </is>
      </c>
      <c r="K5618" s="12" t="inlineStr">
        <is>
          <t>FA|2/C|14</t>
        </is>
      </c>
      <c r="L5618" s="12" t="inlineStr">
        <is>
          <t>2/C</t>
        </is>
      </c>
      <c r="M5618" s="12" t="inlineStr">
        <is>
          <t>14</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K-FA-0004</t>
        </is>
      </c>
      <c r="B5619" s="12" t="inlineStr">
        <is>
          <t>K</t>
        </is>
      </c>
      <c r="C5619" s="12" t="inlineStr">
        <is>
          <t>Fuel supply (adjacent market)</t>
        </is>
      </c>
      <c r="D5619" s="12" t="inlineStr">
        <is>
          <t>Fire alarm / F&amp;G loop (to the local FACP / F&amp;G node)</t>
        </is>
      </c>
      <c r="E5619" s="12" t="inlineStr"/>
      <c r="F5619" s="12" t="inlineStr">
        <is>
          <t>LNG 17: LNG e-house (13.8 kV / 480 V)</t>
        </is>
      </c>
      <c r="G5619" s="12" t="inlineStr"/>
      <c r="H5619" s="12" t="inlineStr">
        <is>
          <t>M&amp;R 9: service panel + UPS, SCADA RTU, CP</t>
        </is>
      </c>
      <c r="I5619" s="12" t="inlineStr">
        <is>
          <t>Fire alarm</t>
        </is>
      </c>
      <c r="J5619" s="12" t="inlineStr">
        <is>
          <t>Fire alarm FPLR 2/C #14 shielded, red jacket (NEC 760)</t>
        </is>
      </c>
      <c r="K5619" s="12" t="inlineStr">
        <is>
          <t>FA|2/C|14</t>
        </is>
      </c>
      <c r="L5619" s="12" t="inlineStr">
        <is>
          <t>2/C</t>
        </is>
      </c>
      <c r="M5619" s="12" t="inlineStr">
        <is>
          <t>14</t>
        </is>
      </c>
      <c r="N5619" s="12" t="n">
        <v>1</v>
      </c>
      <c r="O5619" s="12" t="n">
        <v>1</v>
      </c>
      <c r="P5619" s="12" t="n"/>
      <c r="Q5619" s="12" t="n"/>
      <c r="R5619" s="12" t="n"/>
      <c r="S5619" s="12" t="inlineStr">
        <is>
          <t>Duct bank</t>
        </is>
      </c>
      <c r="T5619" s="16" t="n">
        <v>466</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c r="AA5619" s="12">
        <f>N5619*O5619</f>
        <v/>
      </c>
    </row>
    <row r="5620">
      <c r="A5620" s="12" t="inlineStr">
        <is>
          <t>K-FA-0005</t>
        </is>
      </c>
      <c r="B5620" s="12" t="inlineStr">
        <is>
          <t>K</t>
        </is>
      </c>
      <c r="C5620" s="12" t="inlineStr">
        <is>
          <t>Fuel supply (adjacent market)</t>
        </is>
      </c>
      <c r="D5620" s="12" t="inlineStr">
        <is>
          <t>Fire alarm / F&amp;G loop (to the local FACP / F&amp;G node)</t>
        </is>
      </c>
      <c r="E5620" s="12" t="inlineStr"/>
      <c r="F5620" s="12" t="inlineStr">
        <is>
          <t>LNG 17: LNG e-house (13.8 kV / 480 V)</t>
        </is>
      </c>
      <c r="G5620" s="12" t="inlineStr"/>
      <c r="H5620" s="12" t="inlineStr">
        <is>
          <t>M&amp;R SCADA antenna mast base (as drawn)</t>
        </is>
      </c>
      <c r="I5620" s="12" t="inlineStr">
        <is>
          <t>Fire alarm</t>
        </is>
      </c>
      <c r="J5620" s="12" t="inlineStr">
        <is>
          <t>Fire alarm FPLR 2/C #14 shielded, red jacket (NEC 760)</t>
        </is>
      </c>
      <c r="K5620" s="12" t="inlineStr">
        <is>
          <t>FA|2/C|14</t>
        </is>
      </c>
      <c r="L5620" s="12" t="inlineStr">
        <is>
          <t>2/C</t>
        </is>
      </c>
      <c r="M5620" s="12" t="inlineStr">
        <is>
          <t>14</t>
        </is>
      </c>
      <c r="N5620" s="12" t="n">
        <v>1</v>
      </c>
      <c r="O5620" s="12" t="n">
        <v>1</v>
      </c>
      <c r="P5620" s="12" t="n"/>
      <c r="Q5620" s="12" t="n"/>
      <c r="R5620" s="12" t="n"/>
      <c r="S5620" s="12" t="inlineStr">
        <is>
          <t>Duct bank</t>
        </is>
      </c>
      <c r="T5620" s="16" t="n">
        <v>433</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K-I-0001</t>
        </is>
      </c>
      <c r="B5621" s="12" t="inlineStr">
        <is>
          <t>K</t>
        </is>
      </c>
      <c r="C5621" s="12" t="inlineStr">
        <is>
          <t>Fuel supply (adjacent market)</t>
        </is>
      </c>
      <c r="D5621" s="12" t="inlineStr">
        <is>
          <t>Analog instrument to JB JB-T-H2-AI01: 12 x 1 pr (field cables)</t>
        </is>
      </c>
      <c r="E5621" s="12" t="inlineStr">
        <is>
          <t>T-H2</t>
        </is>
      </c>
      <c r="F5621" s="12" t="inlineStr">
        <is>
          <t>H2 19: T-H2 230/13.8 kV (about 40 MVA)</t>
        </is>
      </c>
      <c r="G5621" s="12" t="inlineStr">
        <is>
          <t>JB-T-H2-AI01</t>
        </is>
      </c>
      <c r="H5621" s="12" t="inlineStr">
        <is>
          <t>H2 19: T-H2 230/13.8 kV (about 40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80</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K-I-0002</t>
        </is>
      </c>
      <c r="B5622" s="12" t="inlineStr">
        <is>
          <t>K</t>
        </is>
      </c>
      <c r="C5622" s="12" t="inlineStr">
        <is>
          <t>Fuel supply (adjacent market)</t>
        </is>
      </c>
      <c r="D5622" s="12" t="inlineStr">
        <is>
          <t>Home run JB-T-H2-AI01 to the control / marshalling room</t>
        </is>
      </c>
      <c r="E5622" s="12" t="inlineStr"/>
      <c r="F5622" s="12" t="inlineStr">
        <is>
          <t>H2 20: 13.8 kV e-house</t>
        </is>
      </c>
      <c r="G5622" s="12" t="inlineStr">
        <is>
          <t>JB-T-H2-AI01</t>
        </is>
      </c>
      <c r="H5622" s="12" t="inlineStr">
        <is>
          <t>H2 19: T-H2 230/13.8 kV (about 40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K-I-0003</t>
        </is>
      </c>
      <c r="B5623" s="12" t="inlineStr">
        <is>
          <t>K</t>
        </is>
      </c>
      <c r="C5623" s="12" t="inlineStr">
        <is>
          <t>Fuel supply (adjacent market)</t>
        </is>
      </c>
      <c r="D5623" s="12" t="inlineStr">
        <is>
          <t>Discrete device to JB JB-T-H2-DI01: 12 x 1 pr (field cables)</t>
        </is>
      </c>
      <c r="E5623" s="12" t="inlineStr">
        <is>
          <t>T-H2</t>
        </is>
      </c>
      <c r="F5623" s="12" t="inlineStr">
        <is>
          <t>H2 19: T-H2 230/13.8 kV (about 40 MVA)</t>
        </is>
      </c>
      <c r="G5623" s="12" t="inlineStr">
        <is>
          <t>JB-T-H2-DI01</t>
        </is>
      </c>
      <c r="H5623" s="12" t="inlineStr">
        <is>
          <t>H2 19: T-H2 230/13.8 kV (about 40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80</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K-I-0004</t>
        </is>
      </c>
      <c r="B5624" s="12" t="inlineStr">
        <is>
          <t>K</t>
        </is>
      </c>
      <c r="C5624" s="12" t="inlineStr">
        <is>
          <t>Fuel supply (adjacent market)</t>
        </is>
      </c>
      <c r="D5624" s="12" t="inlineStr">
        <is>
          <t>Home run JB-T-H2-DI01 to the control / marshalling room</t>
        </is>
      </c>
      <c r="E5624" s="12" t="inlineStr"/>
      <c r="F5624" s="12" t="inlineStr">
        <is>
          <t>H2 20: 13.8 kV e-house</t>
        </is>
      </c>
      <c r="G5624" s="12" t="inlineStr">
        <is>
          <t>JB-T-H2-DI01</t>
        </is>
      </c>
      <c r="H5624" s="12" t="inlineStr">
        <is>
          <t>H2 19: T-H2 230/13.8 kV (about 40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K-I-0005</t>
        </is>
      </c>
      <c r="B5625" s="12" t="inlineStr">
        <is>
          <t>K</t>
        </is>
      </c>
      <c r="C5625" s="12" t="inlineStr">
        <is>
          <t>Fuel supply (adjacent market)</t>
        </is>
      </c>
      <c r="D5625" s="12" t="inlineStr">
        <is>
          <t>Analog instrument to JB JB-H2 20: 13.8 kV e-h-AI01: 12 x 1 pr (field cables)</t>
        </is>
      </c>
      <c r="E5625" s="12" t="inlineStr"/>
      <c r="F5625" s="12" t="inlineStr">
        <is>
          <t>H2 20: 13.8 kV e-house</t>
        </is>
      </c>
      <c r="G5625" s="12" t="inlineStr">
        <is>
          <t>JB-H2 20: 13.8 kV e-h-AI01</t>
        </is>
      </c>
      <c r="H5625" s="12" t="inlineStr">
        <is>
          <t>H2 20: 13.8 kV e-house</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69</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K-I-0006</t>
        </is>
      </c>
      <c r="B5626" s="12" t="inlineStr">
        <is>
          <t>K</t>
        </is>
      </c>
      <c r="C5626" s="12" t="inlineStr">
        <is>
          <t>Fuel supply (adjacent market)</t>
        </is>
      </c>
      <c r="D5626" s="12" t="inlineStr">
        <is>
          <t>Home run JB-H2 20: 13.8 kV e-h-AI01 to the control / marshalling room</t>
        </is>
      </c>
      <c r="E5626" s="12" t="inlineStr"/>
      <c r="F5626" s="12" t="inlineStr">
        <is>
          <t>H2 20: 13.8 kV e-house</t>
        </is>
      </c>
      <c r="G5626" s="12" t="inlineStr">
        <is>
          <t>JB-H2 20: 13.8 kV e-h-AI01</t>
        </is>
      </c>
      <c r="H5626" s="12" t="inlineStr">
        <is>
          <t>H2 20: 13.8 kV e-house</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Tray</t>
        </is>
      </c>
      <c r="T5626" s="16" t="n">
        <v>0</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K-I-0007</t>
        </is>
      </c>
      <c r="B5627" s="12" t="inlineStr">
        <is>
          <t>K</t>
        </is>
      </c>
      <c r="C5627" s="12" t="inlineStr">
        <is>
          <t>Fuel supply (adjacent market)</t>
        </is>
      </c>
      <c r="D5627" s="12" t="inlineStr">
        <is>
          <t>Discrete device to JB JB-H2 20: 13.8 kV e-h-DI01: 12 x 1 pr (field cables)</t>
        </is>
      </c>
      <c r="E5627" s="12" t="inlineStr"/>
      <c r="F5627" s="12" t="inlineStr">
        <is>
          <t>H2 20: 13.8 kV e-house</t>
        </is>
      </c>
      <c r="G5627" s="12" t="inlineStr">
        <is>
          <t>JB-H2 20: 13.8 kV e-h-DI01</t>
        </is>
      </c>
      <c r="H5627" s="12" t="inlineStr">
        <is>
          <t>H2 20: 13.8 kV e-house</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69</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K-I-0008</t>
        </is>
      </c>
      <c r="B5628" s="12" t="inlineStr">
        <is>
          <t>K</t>
        </is>
      </c>
      <c r="C5628" s="12" t="inlineStr">
        <is>
          <t>Fuel supply (adjacent market)</t>
        </is>
      </c>
      <c r="D5628" s="12" t="inlineStr">
        <is>
          <t>Home run JB-H2 20: 13.8 kV e-h-DI01 to the control / marshalling room</t>
        </is>
      </c>
      <c r="E5628" s="12" t="inlineStr"/>
      <c r="F5628" s="12" t="inlineStr">
        <is>
          <t>H2 20: 13.8 kV e-house</t>
        </is>
      </c>
      <c r="G5628" s="12" t="inlineStr">
        <is>
          <t>JB-H2 20: 13.8 kV e-h-DI01</t>
        </is>
      </c>
      <c r="H5628" s="12" t="inlineStr">
        <is>
          <t>H2 20: 13.8 kV e-house</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Tray</t>
        </is>
      </c>
      <c r="T5628" s="16" t="n">
        <v>0</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K-I-0009</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1 (7 MVA)</t>
        </is>
      </c>
      <c r="G5629" s="12" t="inlineStr">
        <is>
          <t>JB-H2 21: rectifier t-AI01</t>
        </is>
      </c>
      <c r="H5629" s="12" t="inlineStr">
        <is>
          <t>H2 21: rectifier transformer 1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K-I-0010</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1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356</v>
      </c>
      <c r="U5630" s="16" t="n">
        <v>48</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K-I-0011</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1 (7 MVA)</t>
        </is>
      </c>
      <c r="G5631" s="12" t="inlineStr">
        <is>
          <t>JB-H2 21: rectifier t-DI01</t>
        </is>
      </c>
      <c r="H5631" s="12" t="inlineStr">
        <is>
          <t>H2 21: rectifier transformer 1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K-I-0012</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1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356</v>
      </c>
      <c r="U5632" s="16" t="n">
        <v>48</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K-I-0013</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2 (7 MVA)</t>
        </is>
      </c>
      <c r="G5633" s="12" t="inlineStr">
        <is>
          <t>JB-H2 21: rectifier t-AI01</t>
        </is>
      </c>
      <c r="H5633" s="12" t="inlineStr">
        <is>
          <t>H2 21: rectifier transformer 2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K-I-0014</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2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356</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K-I-0015</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2 (7 MVA)</t>
        </is>
      </c>
      <c r="G5635" s="12" t="inlineStr">
        <is>
          <t>JB-H2 21: rectifier t-DI01</t>
        </is>
      </c>
      <c r="H5635" s="12" t="inlineStr">
        <is>
          <t>H2 21: rectifier transformer 2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K-I-0016</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2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K-I-0017</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3 (7 MVA)</t>
        </is>
      </c>
      <c r="G5637" s="12" t="inlineStr">
        <is>
          <t>JB-H2 21: rectifier t-AI01</t>
        </is>
      </c>
      <c r="H5637" s="12" t="inlineStr">
        <is>
          <t>H2 21: rectifier transformer 3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K-I-0018</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3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334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K-I-0019</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3 (7 MVA)</t>
        </is>
      </c>
      <c r="G5639" s="12" t="inlineStr">
        <is>
          <t>JB-H2 21: rectifier t-DI01</t>
        </is>
      </c>
      <c r="H5639" s="12" t="inlineStr">
        <is>
          <t>H2 21: rectifier transformer 3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K-I-0020</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3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334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K-I-0021</t>
        </is>
      </c>
      <c r="B5641" s="12" t="inlineStr">
        <is>
          <t>K</t>
        </is>
      </c>
      <c r="C5641" s="12" t="inlineStr">
        <is>
          <t>Fuel supply (adjacent market)</t>
        </is>
      </c>
      <c r="D5641" s="12" t="inlineStr">
        <is>
          <t>Analog instrument to JB JB-H2 21: rectifier t-AI01: 12 x 1 pr (field cables)</t>
        </is>
      </c>
      <c r="E5641" s="12" t="inlineStr"/>
      <c r="F5641" s="12" t="inlineStr">
        <is>
          <t>H2 21: rectifier transformer 4 (7 MVA)</t>
        </is>
      </c>
      <c r="G5641" s="12" t="inlineStr">
        <is>
          <t>JB-H2 21: rectifier t-AI01</t>
        </is>
      </c>
      <c r="H5641" s="12" t="inlineStr">
        <is>
          <t>H2 21: rectifier transformer 4 (7 MVA)</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41</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K-I-0022</t>
        </is>
      </c>
      <c r="B5642" s="12" t="inlineStr">
        <is>
          <t>K</t>
        </is>
      </c>
      <c r="C5642" s="12" t="inlineStr">
        <is>
          <t>Fuel supply (adjacent market)</t>
        </is>
      </c>
      <c r="D5642" s="12" t="inlineStr">
        <is>
          <t>Home run JB-H2 21: rectifier t-AI01 to the control / marshalling room</t>
        </is>
      </c>
      <c r="E5642" s="12" t="inlineStr"/>
      <c r="F5642" s="12" t="inlineStr">
        <is>
          <t>H2 20: 13.8 kV e-house</t>
        </is>
      </c>
      <c r="G5642" s="12" t="inlineStr">
        <is>
          <t>JB-H2 21: rectifier t-AI01</t>
        </is>
      </c>
      <c r="H5642" s="12" t="inlineStr">
        <is>
          <t>H2 21: rectifier transformer 4 (7 MVA)</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312</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K-I-0023</t>
        </is>
      </c>
      <c r="B5643" s="12" t="inlineStr">
        <is>
          <t>K</t>
        </is>
      </c>
      <c r="C5643" s="12" t="inlineStr">
        <is>
          <t>Fuel supply (adjacent market)</t>
        </is>
      </c>
      <c r="D5643" s="12" t="inlineStr">
        <is>
          <t>Discrete device to JB JB-H2 21: rectifier t-DI01: 12 x 1 pr (field cables)</t>
        </is>
      </c>
      <c r="E5643" s="12" t="inlineStr"/>
      <c r="F5643" s="12" t="inlineStr">
        <is>
          <t>H2 21: rectifier transformer 4 (7 MVA)</t>
        </is>
      </c>
      <c r="G5643" s="12" t="inlineStr">
        <is>
          <t>JB-H2 21: rectifier t-DI01</t>
        </is>
      </c>
      <c r="H5643" s="12" t="inlineStr">
        <is>
          <t>H2 21: rectifier transformer 4 (7 MVA)</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41</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K-I-0024</t>
        </is>
      </c>
      <c r="B5644" s="12" t="inlineStr">
        <is>
          <t>K</t>
        </is>
      </c>
      <c r="C5644" s="12" t="inlineStr">
        <is>
          <t>Fuel supply (adjacent market)</t>
        </is>
      </c>
      <c r="D5644" s="12" t="inlineStr">
        <is>
          <t>Home run JB-H2 21: rectifier t-DI01 to the control / marshalling room</t>
        </is>
      </c>
      <c r="E5644" s="12" t="inlineStr"/>
      <c r="F5644" s="12" t="inlineStr">
        <is>
          <t>H2 20: 13.8 kV e-house</t>
        </is>
      </c>
      <c r="G5644" s="12" t="inlineStr">
        <is>
          <t>JB-H2 21: rectifier t-DI01</t>
        </is>
      </c>
      <c r="H5644" s="12" t="inlineStr">
        <is>
          <t>H2 21: rectifier transformer 4 (7 MVA)</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312</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K-I-0025</t>
        </is>
      </c>
      <c r="B5645" s="12" t="inlineStr">
        <is>
          <t>K</t>
        </is>
      </c>
      <c r="C5645" s="12" t="inlineStr">
        <is>
          <t>Fuel supply (adjacent market)</t>
        </is>
      </c>
      <c r="D5645" s="12" t="inlineStr">
        <is>
          <t>Analog instrument to JB JB-H2 21: rectifier t-AI01: 12 x 1 pr (field cables)</t>
        </is>
      </c>
      <c r="E5645" s="12" t="inlineStr"/>
      <c r="F5645" s="12" t="inlineStr">
        <is>
          <t>H2 21: rectifier transformer 5 (7 MVA)</t>
        </is>
      </c>
      <c r="G5645" s="12" t="inlineStr">
        <is>
          <t>JB-H2 21: rectifier t-AI01</t>
        </is>
      </c>
      <c r="H5645" s="12" t="inlineStr">
        <is>
          <t>H2 21: rectifier transformer 5 (7 MVA)</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41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K-I-0026</t>
        </is>
      </c>
      <c r="B5646" s="12" t="inlineStr">
        <is>
          <t>K</t>
        </is>
      </c>
      <c r="C5646" s="12" t="inlineStr">
        <is>
          <t>Fuel supply (adjacent market)</t>
        </is>
      </c>
      <c r="D5646" s="12" t="inlineStr">
        <is>
          <t>Home run JB-H2 21: rectifier t-AI01 to the control / marshalling room</t>
        </is>
      </c>
      <c r="E5646" s="12" t="inlineStr"/>
      <c r="F5646" s="12" t="inlineStr">
        <is>
          <t>H2 20: 13.8 kV e-house</t>
        </is>
      </c>
      <c r="G5646" s="12" t="inlineStr">
        <is>
          <t>JB-H2 21: rectifier t-AI01</t>
        </is>
      </c>
      <c r="H5646" s="12" t="inlineStr">
        <is>
          <t>H2 21: rectifier transformer 5 (7 MVA)</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254</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K-I-0027</t>
        </is>
      </c>
      <c r="B5647" s="12" t="inlineStr">
        <is>
          <t>K</t>
        </is>
      </c>
      <c r="C5647" s="12" t="inlineStr">
        <is>
          <t>Fuel supply (adjacent market)</t>
        </is>
      </c>
      <c r="D5647" s="12" t="inlineStr">
        <is>
          <t>Discrete device to JB JB-H2 21: rectifier t-DI01: 12 x 1 pr (field cables)</t>
        </is>
      </c>
      <c r="E5647" s="12" t="inlineStr"/>
      <c r="F5647" s="12" t="inlineStr">
        <is>
          <t>H2 21: rectifier transformer 5 (7 MVA)</t>
        </is>
      </c>
      <c r="G5647" s="12" t="inlineStr">
        <is>
          <t>JB-H2 21: rectifier t-DI01</t>
        </is>
      </c>
      <c r="H5647" s="12" t="inlineStr">
        <is>
          <t>H2 21: rectifier transformer 5 (7 MVA)</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41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K-I-0028</t>
        </is>
      </c>
      <c r="B5648" s="12" t="inlineStr">
        <is>
          <t>K</t>
        </is>
      </c>
      <c r="C5648" s="12" t="inlineStr">
        <is>
          <t>Fuel supply (adjacent market)</t>
        </is>
      </c>
      <c r="D5648" s="12" t="inlineStr">
        <is>
          <t>Home run JB-H2 21: rectifier t-DI01 to the control / marshalling room</t>
        </is>
      </c>
      <c r="E5648" s="12" t="inlineStr"/>
      <c r="F5648" s="12" t="inlineStr">
        <is>
          <t>H2 20: 13.8 kV e-house</t>
        </is>
      </c>
      <c r="G5648" s="12" t="inlineStr">
        <is>
          <t>JB-H2 21: rectifier t-DI01</t>
        </is>
      </c>
      <c r="H5648" s="12" t="inlineStr">
        <is>
          <t>H2 21: rectifier transformer 5 (7 MVA)</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254</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K-I-0029</t>
        </is>
      </c>
      <c r="B5649" s="12" t="inlineStr">
        <is>
          <t>K</t>
        </is>
      </c>
      <c r="C5649" s="12" t="inlineStr">
        <is>
          <t>Fuel supply (adjacent market)</t>
        </is>
      </c>
      <c r="D5649" s="12" t="inlineStr">
        <is>
          <t>Analog instrument to JB JB-H2-EL-AI01: 12 x 1 pr (field cables)</t>
        </is>
      </c>
      <c r="E5649" s="12" t="inlineStr">
        <is>
          <t>H2-EL</t>
        </is>
      </c>
      <c r="F5649" s="12" t="inlineStr">
        <is>
          <t>H2 22: electrolyzer building (5 x HyLYZER-1000 + 5 rectifiers)</t>
        </is>
      </c>
      <c r="G5649" s="12" t="inlineStr">
        <is>
          <t>JB-H2-EL-AI01</t>
        </is>
      </c>
      <c r="H5649" s="12" t="inlineStr">
        <is>
          <t>H2 22: electrolyzer building (5 x HyLYZER-1000 + 5 rectifiers)</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157</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K-I-0030</t>
        </is>
      </c>
      <c r="B5650" s="12" t="inlineStr">
        <is>
          <t>K</t>
        </is>
      </c>
      <c r="C5650" s="12" t="inlineStr">
        <is>
          <t>Fuel supply (adjacent market)</t>
        </is>
      </c>
      <c r="D5650" s="12" t="inlineStr">
        <is>
          <t>Home run JB-H2-EL-AI01 to the control / marshalling room</t>
        </is>
      </c>
      <c r="E5650" s="12" t="inlineStr"/>
      <c r="F5650" s="12" t="inlineStr">
        <is>
          <t>H2 20: 13.8 kV e-house</t>
        </is>
      </c>
      <c r="G5650" s="12" t="inlineStr">
        <is>
          <t>JB-H2-EL-AI01</t>
        </is>
      </c>
      <c r="H5650" s="12" t="inlineStr">
        <is>
          <t>H2 22: electrolyzer building (5 x HyLYZER-1000 + 5 rectifiers)</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346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K-I-0031</t>
        </is>
      </c>
      <c r="B5651" s="12" t="inlineStr">
        <is>
          <t>K</t>
        </is>
      </c>
      <c r="C5651" s="12" t="inlineStr">
        <is>
          <t>Fuel supply (adjacent market)</t>
        </is>
      </c>
      <c r="D5651" s="12" t="inlineStr">
        <is>
          <t>Discrete device to JB JB-H2-EL-DI01: 12 x 1 pr (field cables)</t>
        </is>
      </c>
      <c r="E5651" s="12" t="inlineStr">
        <is>
          <t>H2-EL</t>
        </is>
      </c>
      <c r="F5651" s="12" t="inlineStr">
        <is>
          <t>H2 22: electrolyzer building (5 x HyLYZER-1000 + 5 rectifiers)</t>
        </is>
      </c>
      <c r="G5651" s="12" t="inlineStr">
        <is>
          <t>JB-H2-EL-DI01</t>
        </is>
      </c>
      <c r="H5651" s="12" t="inlineStr">
        <is>
          <t>H2 22: electrolyzer building (5 x HyLYZER-1000 + 5 rectifiers)</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157</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K-I-0032</t>
        </is>
      </c>
      <c r="B5652" s="12" t="inlineStr">
        <is>
          <t>K</t>
        </is>
      </c>
      <c r="C5652" s="12" t="inlineStr">
        <is>
          <t>Fuel supply (adjacent market)</t>
        </is>
      </c>
      <c r="D5652" s="12" t="inlineStr">
        <is>
          <t>Home run JB-H2-EL-DI01 to the control / marshalling room</t>
        </is>
      </c>
      <c r="E5652" s="12" t="inlineStr"/>
      <c r="F5652" s="12" t="inlineStr">
        <is>
          <t>H2 20: 13.8 kV e-house</t>
        </is>
      </c>
      <c r="G5652" s="12" t="inlineStr">
        <is>
          <t>JB-H2-EL-DI01</t>
        </is>
      </c>
      <c r="H5652" s="12" t="inlineStr">
        <is>
          <t>H2 22: electrolyzer building (5 x HyLYZER-1000 + 5 rectifiers)</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346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K-I-0033</t>
        </is>
      </c>
      <c r="B5653" s="12" t="inlineStr">
        <is>
          <t>K</t>
        </is>
      </c>
      <c r="C5653" s="12" t="inlineStr">
        <is>
          <t>Fuel supply (adjacent market)</t>
        </is>
      </c>
      <c r="D5653" s="12" t="inlineStr">
        <is>
          <t>Analog instrument to JB JB-H2 23: dry coolers-AI01: 12 x 1 pr (field cables)</t>
        </is>
      </c>
      <c r="E5653" s="12" t="inlineStr"/>
      <c r="F5653" s="12" t="inlineStr">
        <is>
          <t>H2 23: dry coolers</t>
        </is>
      </c>
      <c r="G5653" s="12" t="inlineStr">
        <is>
          <t>JB-H2 23: dry coolers-AI01</t>
        </is>
      </c>
      <c r="H5653" s="12" t="inlineStr">
        <is>
          <t>H2 23: dry coolers</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111</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K-I-0034</t>
        </is>
      </c>
      <c r="B5654" s="12" t="inlineStr">
        <is>
          <t>K</t>
        </is>
      </c>
      <c r="C5654" s="12" t="inlineStr">
        <is>
          <t>Fuel supply (adjacent market)</t>
        </is>
      </c>
      <c r="D5654" s="12" t="inlineStr">
        <is>
          <t>Home run JB-H2 23: dry coolers-AI01 to the control / marshalling room</t>
        </is>
      </c>
      <c r="E5654" s="12" t="inlineStr"/>
      <c r="F5654" s="12" t="inlineStr">
        <is>
          <t>H2 20: 13.8 kV e-house</t>
        </is>
      </c>
      <c r="G5654" s="12" t="inlineStr">
        <is>
          <t>JB-H2 23: dry coolers-AI01</t>
        </is>
      </c>
      <c r="H5654" s="12" t="inlineStr">
        <is>
          <t>H2 23: dry coolers</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100</v>
      </c>
      <c r="U5654" s="16" t="n">
        <v>32</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K-I-0035</t>
        </is>
      </c>
      <c r="B5655" s="12" t="inlineStr">
        <is>
          <t>K</t>
        </is>
      </c>
      <c r="C5655" s="12" t="inlineStr">
        <is>
          <t>Fuel supply (adjacent market)</t>
        </is>
      </c>
      <c r="D5655" s="12" t="inlineStr">
        <is>
          <t>Discrete device to JB JB-H2 23: dry coolers-DI01: 12 x 1 pr (field cables)</t>
        </is>
      </c>
      <c r="E5655" s="12" t="inlineStr"/>
      <c r="F5655" s="12" t="inlineStr">
        <is>
          <t>H2 23: dry coolers</t>
        </is>
      </c>
      <c r="G5655" s="12" t="inlineStr">
        <is>
          <t>JB-H2 23: dry coolers-DI01</t>
        </is>
      </c>
      <c r="H5655" s="12" t="inlineStr">
        <is>
          <t>H2 23: dry coolers</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111</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K-I-0036</t>
        </is>
      </c>
      <c r="B5656" s="12" t="inlineStr">
        <is>
          <t>K</t>
        </is>
      </c>
      <c r="C5656" s="12" t="inlineStr">
        <is>
          <t>Fuel supply (adjacent market)</t>
        </is>
      </c>
      <c r="D5656" s="12" t="inlineStr">
        <is>
          <t>Home run JB-H2 23: dry coolers-DI01 to the control / marshalling room</t>
        </is>
      </c>
      <c r="E5656" s="12" t="inlineStr"/>
      <c r="F5656" s="12" t="inlineStr">
        <is>
          <t>H2 20: 13.8 kV e-house</t>
        </is>
      </c>
      <c r="G5656" s="12" t="inlineStr">
        <is>
          <t>JB-H2 23: dry coolers-DI01</t>
        </is>
      </c>
      <c r="H5656" s="12" t="inlineStr">
        <is>
          <t>H2 23: dry coolers</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100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K-I-0037</t>
        </is>
      </c>
      <c r="B5657" s="12" t="inlineStr">
        <is>
          <t>K</t>
        </is>
      </c>
      <c r="C5657" s="12" t="inlineStr">
        <is>
          <t>Fuel supply (adjacent market)</t>
        </is>
      </c>
      <c r="D5657" s="12" t="inlineStr">
        <is>
          <t>Analog instrument to JB JB-H2 24: water purif-AI01: 12 x 1 pr (field cables)</t>
        </is>
      </c>
      <c r="E5657" s="12" t="inlineStr"/>
      <c r="F5657" s="12" t="inlineStr">
        <is>
          <t>H2 24: water purification (RO / EDI)</t>
        </is>
      </c>
      <c r="G5657" s="12" t="inlineStr">
        <is>
          <t>JB-H2 24: water purif-AI01</t>
        </is>
      </c>
      <c r="H5657" s="12" t="inlineStr">
        <is>
          <t>H2 24: water purification (RO / EDI)</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60</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K-I-0038</t>
        </is>
      </c>
      <c r="B5658" s="12" t="inlineStr">
        <is>
          <t>K</t>
        </is>
      </c>
      <c r="C5658" s="12" t="inlineStr">
        <is>
          <t>Fuel supply (adjacent market)</t>
        </is>
      </c>
      <c r="D5658" s="12" t="inlineStr">
        <is>
          <t>Home run JB-H2 24: water purif-AI01 to the control / marshalling room</t>
        </is>
      </c>
      <c r="E5658" s="12" t="inlineStr"/>
      <c r="F5658" s="12" t="inlineStr">
        <is>
          <t>H2 20: 13.8 kV e-house</t>
        </is>
      </c>
      <c r="G5658" s="12" t="inlineStr">
        <is>
          <t>JB-H2 24: water purif-AI01</t>
        </is>
      </c>
      <c r="H5658" s="12" t="inlineStr">
        <is>
          <t>H2 24: water purification (RO / EDI)</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146</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K-I-0039</t>
        </is>
      </c>
      <c r="B5659" s="12" t="inlineStr">
        <is>
          <t>K</t>
        </is>
      </c>
      <c r="C5659" s="12" t="inlineStr">
        <is>
          <t>Fuel supply (adjacent market)</t>
        </is>
      </c>
      <c r="D5659" s="12" t="inlineStr">
        <is>
          <t>Discrete device to JB JB-H2 24: water purif-DI01: 12 x 1 pr (field cables)</t>
        </is>
      </c>
      <c r="E5659" s="12" t="inlineStr"/>
      <c r="F5659" s="12" t="inlineStr">
        <is>
          <t>H2 24: water purification (RO / EDI)</t>
        </is>
      </c>
      <c r="G5659" s="12" t="inlineStr">
        <is>
          <t>JB-H2 24: water purif-DI01</t>
        </is>
      </c>
      <c r="H5659" s="12" t="inlineStr">
        <is>
          <t>H2 24: water purification (RO / EDI)</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60</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K-I-0040</t>
        </is>
      </c>
      <c r="B5660" s="12" t="inlineStr">
        <is>
          <t>K</t>
        </is>
      </c>
      <c r="C5660" s="12" t="inlineStr">
        <is>
          <t>Fuel supply (adjacent market)</t>
        </is>
      </c>
      <c r="D5660" s="12" t="inlineStr">
        <is>
          <t>Home run JB-H2 24: water purif-DI01 to the control / marshalling room</t>
        </is>
      </c>
      <c r="E5660" s="12" t="inlineStr"/>
      <c r="F5660" s="12" t="inlineStr">
        <is>
          <t>H2 20: 13.8 kV e-house</t>
        </is>
      </c>
      <c r="G5660" s="12" t="inlineStr">
        <is>
          <t>JB-H2 24: water purif-DI01</t>
        </is>
      </c>
      <c r="H5660" s="12" t="inlineStr">
        <is>
          <t>H2 24: water purification (RO / EDI)</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146</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K-I-0041</t>
        </is>
      </c>
      <c r="B5661" s="12" t="inlineStr">
        <is>
          <t>K</t>
        </is>
      </c>
      <c r="C5661" s="12" t="inlineStr">
        <is>
          <t>Fuel supply (adjacent market)</t>
        </is>
      </c>
      <c r="D5661" s="12" t="inlineStr">
        <is>
          <t>Analog instrument to JB JB-H2 25: H2 dryer / -AI01: 12 x 1 pr (field cables)</t>
        </is>
      </c>
      <c r="E5661" s="12" t="inlineStr"/>
      <c r="F5661" s="12" t="inlineStr">
        <is>
          <t>H2 25: H2 dryer / purification</t>
        </is>
      </c>
      <c r="G5661" s="12" t="inlineStr">
        <is>
          <t>JB-H2 25: H2 dryer / -AI01</t>
        </is>
      </c>
      <c r="H5661" s="12" t="inlineStr">
        <is>
          <t>H2 25: H2 dryer / purification</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60</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K-I-0042</t>
        </is>
      </c>
      <c r="B5662" s="12" t="inlineStr">
        <is>
          <t>K</t>
        </is>
      </c>
      <c r="C5662" s="12" t="inlineStr">
        <is>
          <t>Fuel supply (adjacent market)</t>
        </is>
      </c>
      <c r="D5662" s="12" t="inlineStr">
        <is>
          <t>Home run JB-H2 25: H2 dryer / -AI01 to the control / marshalling room</t>
        </is>
      </c>
      <c r="E5662" s="12" t="inlineStr"/>
      <c r="F5662" s="12" t="inlineStr">
        <is>
          <t>H2 20: 13.8 kV e-house</t>
        </is>
      </c>
      <c r="G5662" s="12" t="inlineStr">
        <is>
          <t>JB-H2 25: H2 dryer / -AI01</t>
        </is>
      </c>
      <c r="H5662" s="12" t="inlineStr">
        <is>
          <t>H2 25: H2 dryer / purification</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0</v>
      </c>
      <c r="U5662" s="16" t="n">
        <v>49</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K-I-0043</t>
        </is>
      </c>
      <c r="B5663" s="12" t="inlineStr">
        <is>
          <t>K</t>
        </is>
      </c>
      <c r="C5663" s="12" t="inlineStr">
        <is>
          <t>Fuel supply (adjacent market)</t>
        </is>
      </c>
      <c r="D5663" s="12" t="inlineStr">
        <is>
          <t>Discrete device to JB JB-H2 25: H2 dryer / -DI01: 12 x 1 pr (field cables)</t>
        </is>
      </c>
      <c r="E5663" s="12" t="inlineStr"/>
      <c r="F5663" s="12" t="inlineStr">
        <is>
          <t>H2 25: H2 dryer / purification</t>
        </is>
      </c>
      <c r="G5663" s="12" t="inlineStr">
        <is>
          <t>JB-H2 25: H2 dryer / -DI01</t>
        </is>
      </c>
      <c r="H5663" s="12" t="inlineStr">
        <is>
          <t>H2 25: H2 dryer / purification</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60</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K-I-0044</t>
        </is>
      </c>
      <c r="B5664" s="12" t="inlineStr">
        <is>
          <t>K</t>
        </is>
      </c>
      <c r="C5664" s="12" t="inlineStr">
        <is>
          <t>Fuel supply (adjacent market)</t>
        </is>
      </c>
      <c r="D5664" s="12" t="inlineStr">
        <is>
          <t>Home run JB-H2 25: H2 dryer / -DI01 to the control / marshalling room</t>
        </is>
      </c>
      <c r="E5664" s="12" t="inlineStr"/>
      <c r="F5664" s="12" t="inlineStr">
        <is>
          <t>H2 20: 13.8 kV e-house</t>
        </is>
      </c>
      <c r="G5664" s="12" t="inlineStr">
        <is>
          <t>JB-H2 25: H2 dryer / -DI01</t>
        </is>
      </c>
      <c r="H5664" s="12" t="inlineStr">
        <is>
          <t>H2 25: H2 dryer / purification</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0</v>
      </c>
      <c r="U5664" s="16" t="n">
        <v>49</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K-I-0045</t>
        </is>
      </c>
      <c r="B5665" s="12" t="inlineStr">
        <is>
          <t>K</t>
        </is>
      </c>
      <c r="C5665" s="12" t="inlineStr">
        <is>
          <t>Fuel supply (adjacent market)</t>
        </is>
      </c>
      <c r="D5665" s="12" t="inlineStr">
        <is>
          <t>Analog instrument to JB JB-H2 26: H2 compress-AI01: 12 x 1 pr (field cables)</t>
        </is>
      </c>
      <c r="E5665" s="12" t="inlineStr"/>
      <c r="F5665" s="12" t="inlineStr">
        <is>
          <t>H2 26: H2 compressor 1 (40 ft ISO)</t>
        </is>
      </c>
      <c r="G5665" s="12" t="inlineStr">
        <is>
          <t>JB-H2 26: H2 compress-AI01</t>
        </is>
      </c>
      <c r="H5665" s="12" t="inlineStr">
        <is>
          <t>H2 26: H2 compressor 1 (40 ft ISO)</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53</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K-I-0046</t>
        </is>
      </c>
      <c r="B5666" s="12" t="inlineStr">
        <is>
          <t>K</t>
        </is>
      </c>
      <c r="C5666" s="12" t="inlineStr">
        <is>
          <t>Fuel supply (adjacent market)</t>
        </is>
      </c>
      <c r="D5666" s="12" t="inlineStr">
        <is>
          <t>Home run JB-H2 26: H2 compress-AI01 to the control / marshalling room</t>
        </is>
      </c>
      <c r="E5666" s="12" t="inlineStr"/>
      <c r="F5666" s="12" t="inlineStr">
        <is>
          <t>H2 20: 13.8 kV e-house</t>
        </is>
      </c>
      <c r="G5666" s="12" t="inlineStr">
        <is>
          <t>JB-H2 26: H2 compress-AI01</t>
        </is>
      </c>
      <c r="H5666" s="12" t="inlineStr">
        <is>
          <t>H2 26: H2 compressor 1 (40 ft ISO)</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K-I-0047</t>
        </is>
      </c>
      <c r="B5667" s="12" t="inlineStr">
        <is>
          <t>K</t>
        </is>
      </c>
      <c r="C5667" s="12" t="inlineStr">
        <is>
          <t>Fuel supply (adjacent market)</t>
        </is>
      </c>
      <c r="D5667" s="12" t="inlineStr">
        <is>
          <t>Discrete device to JB JB-H2 26: H2 compress-DI01: 12 x 1 pr (field cables)</t>
        </is>
      </c>
      <c r="E5667" s="12" t="inlineStr"/>
      <c r="F5667" s="12" t="inlineStr">
        <is>
          <t>H2 26: H2 compressor 1 (40 ft ISO)</t>
        </is>
      </c>
      <c r="G5667" s="12" t="inlineStr">
        <is>
          <t>JB-H2 26: H2 compress-DI01</t>
        </is>
      </c>
      <c r="H5667" s="12" t="inlineStr">
        <is>
          <t>H2 26: H2 compressor 1 (40 ft ISO)</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53</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K-I-0048</t>
        </is>
      </c>
      <c r="B5668" s="12" t="inlineStr">
        <is>
          <t>K</t>
        </is>
      </c>
      <c r="C5668" s="12" t="inlineStr">
        <is>
          <t>Fuel supply (adjacent market)</t>
        </is>
      </c>
      <c r="D5668" s="12" t="inlineStr">
        <is>
          <t>Home run JB-H2 26: H2 compress-DI01 to the control / marshalling room</t>
        </is>
      </c>
      <c r="E5668" s="12" t="inlineStr"/>
      <c r="F5668" s="12" t="inlineStr">
        <is>
          <t>H2 20: 13.8 kV e-house</t>
        </is>
      </c>
      <c r="G5668" s="12" t="inlineStr">
        <is>
          <t>JB-H2 26: H2 compress-DI01</t>
        </is>
      </c>
      <c r="H5668" s="12" t="inlineStr">
        <is>
          <t>H2 26: H2 compressor 1 (40 ft ISO)</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K-I-0049</t>
        </is>
      </c>
      <c r="B5669" s="12" t="inlineStr">
        <is>
          <t>K</t>
        </is>
      </c>
      <c r="C5669" s="12" t="inlineStr">
        <is>
          <t>Fuel supply (adjacent market)</t>
        </is>
      </c>
      <c r="D5669" s="12" t="inlineStr">
        <is>
          <t>Analog instrument to JB JB-H2 26: H2 compress-AI01: 12 x 1 pr (field cables)</t>
        </is>
      </c>
      <c r="E5669" s="12" t="inlineStr"/>
      <c r="F5669" s="12" t="inlineStr">
        <is>
          <t>H2 26: H2 compressor 2 (40 ft ISO)</t>
        </is>
      </c>
      <c r="G5669" s="12" t="inlineStr">
        <is>
          <t>JB-H2 26: H2 compress-AI01</t>
        </is>
      </c>
      <c r="H5669" s="12" t="inlineStr">
        <is>
          <t>H2 26: H2 compressor 2 (40 ft ISO)</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53</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K-I-0050</t>
        </is>
      </c>
      <c r="B5670" s="12" t="inlineStr">
        <is>
          <t>K</t>
        </is>
      </c>
      <c r="C5670" s="12" t="inlineStr">
        <is>
          <t>Fuel supply (adjacent market)</t>
        </is>
      </c>
      <c r="D5670" s="12" t="inlineStr">
        <is>
          <t>Home run JB-H2 26: H2 compress-AI01 to the control / marshalling room</t>
        </is>
      </c>
      <c r="E5670" s="12" t="inlineStr"/>
      <c r="F5670" s="12" t="inlineStr">
        <is>
          <t>H2 20: 13.8 kV e-house</t>
        </is>
      </c>
      <c r="G5670" s="12" t="inlineStr">
        <is>
          <t>JB-H2 26: H2 compress-AI01</t>
        </is>
      </c>
      <c r="H5670" s="12" t="inlineStr">
        <is>
          <t>H2 26: H2 compressor 2 (40 ft ISO)</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47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K-I-0051</t>
        </is>
      </c>
      <c r="B5671" s="12" t="inlineStr">
        <is>
          <t>K</t>
        </is>
      </c>
      <c r="C5671" s="12" t="inlineStr">
        <is>
          <t>Fuel supply (adjacent market)</t>
        </is>
      </c>
      <c r="D5671" s="12" t="inlineStr">
        <is>
          <t>Discrete device to JB JB-H2 26: H2 compress-DI01: 12 x 1 pr (field cables)</t>
        </is>
      </c>
      <c r="E5671" s="12" t="inlineStr"/>
      <c r="F5671" s="12" t="inlineStr">
        <is>
          <t>H2 26: H2 compressor 2 (40 ft ISO)</t>
        </is>
      </c>
      <c r="G5671" s="12" t="inlineStr">
        <is>
          <t>JB-H2 26: H2 compress-DI01</t>
        </is>
      </c>
      <c r="H5671" s="12" t="inlineStr">
        <is>
          <t>H2 26: H2 compressor 2 (40 ft ISO)</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53</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K-I-0052</t>
        </is>
      </c>
      <c r="B5672" s="12" t="inlineStr">
        <is>
          <t>K</t>
        </is>
      </c>
      <c r="C5672" s="12" t="inlineStr">
        <is>
          <t>Fuel supply (adjacent market)</t>
        </is>
      </c>
      <c r="D5672" s="12" t="inlineStr">
        <is>
          <t>Home run JB-H2 26: H2 compress-DI01 to the control / marshalling room</t>
        </is>
      </c>
      <c r="E5672" s="12" t="inlineStr"/>
      <c r="F5672" s="12" t="inlineStr">
        <is>
          <t>H2 20: 13.8 kV e-house</t>
        </is>
      </c>
      <c r="G5672" s="12" t="inlineStr">
        <is>
          <t>JB-H2 26: H2 compress-DI01</t>
        </is>
      </c>
      <c r="H5672" s="12" t="inlineStr">
        <is>
          <t>H2 26: H2 compressor 2 (40 ft ISO)</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47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K-I-0053</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K-I-0054</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K-I-0055</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K-I-0056</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K-I-0057</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K-I-0058</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K-I-0059</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K-I-0060</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K-I-0061</t>
        </is>
      </c>
      <c r="B5681" s="12" t="inlineStr">
        <is>
          <t>K</t>
        </is>
      </c>
      <c r="C5681" s="12" t="inlineStr">
        <is>
          <t>Fuel supply (adjacent market)</t>
        </is>
      </c>
      <c r="D5681" s="12" t="inlineStr">
        <is>
          <t>Analog instrument to JB JB-H2 27: storage tub-AI01: 12 x 1 pr (field cables)</t>
        </is>
      </c>
      <c r="E5681" s="12" t="inlineStr"/>
      <c r="F5681" s="12" t="inlineStr">
        <is>
          <t>H2 27: storage tube bank (~40 ft tubes)</t>
        </is>
      </c>
      <c r="G5681" s="12" t="inlineStr">
        <is>
          <t>JB-H2 27: storage tub-AI01</t>
        </is>
      </c>
      <c r="H5681" s="12" t="inlineStr">
        <is>
          <t>H2 27: storage tube bank (~40 ft tubes)</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54</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K-I-0062</t>
        </is>
      </c>
      <c r="B5682" s="12" t="inlineStr">
        <is>
          <t>K</t>
        </is>
      </c>
      <c r="C5682" s="12" t="inlineStr">
        <is>
          <t>Fuel supply (adjacent market)</t>
        </is>
      </c>
      <c r="D5682" s="12" t="inlineStr">
        <is>
          <t>Home run JB-H2 27: storage tub-AI01 to the control / marshalling room</t>
        </is>
      </c>
      <c r="E5682" s="12" t="inlineStr"/>
      <c r="F5682" s="12" t="inlineStr">
        <is>
          <t>H2 20: 13.8 kV e-house</t>
        </is>
      </c>
      <c r="G5682" s="12" t="inlineStr">
        <is>
          <t>JB-H2 27: storage tub-AI01</t>
        </is>
      </c>
      <c r="H5682" s="12" t="inlineStr">
        <is>
          <t>H2 27: storage tube bank (~40 ft tubes)</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50</v>
      </c>
      <c r="U5682" s="16" t="n">
        <v>97</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K-I-0063</t>
        </is>
      </c>
      <c r="B5683" s="12" t="inlineStr">
        <is>
          <t>K</t>
        </is>
      </c>
      <c r="C5683" s="12" t="inlineStr">
        <is>
          <t>Fuel supply (adjacent market)</t>
        </is>
      </c>
      <c r="D5683" s="12" t="inlineStr">
        <is>
          <t>Discrete device to JB JB-H2 27: storage tub-DI01: 12 x 1 pr (field cables)</t>
        </is>
      </c>
      <c r="E5683" s="12" t="inlineStr"/>
      <c r="F5683" s="12" t="inlineStr">
        <is>
          <t>H2 27: storage tube bank (~40 ft tubes)</t>
        </is>
      </c>
      <c r="G5683" s="12" t="inlineStr">
        <is>
          <t>JB-H2 27: storage tub-DI01</t>
        </is>
      </c>
      <c r="H5683" s="12" t="inlineStr">
        <is>
          <t>H2 27: storage tube bank (~40 ft tubes)</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54</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K-I-0064</t>
        </is>
      </c>
      <c r="B5684" s="12" t="inlineStr">
        <is>
          <t>K</t>
        </is>
      </c>
      <c r="C5684" s="12" t="inlineStr">
        <is>
          <t>Fuel supply (adjacent market)</t>
        </is>
      </c>
      <c r="D5684" s="12" t="inlineStr">
        <is>
          <t>Home run JB-H2 27: storage tub-DI01 to the control / marshalling room</t>
        </is>
      </c>
      <c r="E5684" s="12" t="inlineStr"/>
      <c r="F5684" s="12" t="inlineStr">
        <is>
          <t>H2 20: 13.8 kV e-house</t>
        </is>
      </c>
      <c r="G5684" s="12" t="inlineStr">
        <is>
          <t>JB-H2 27: storage tub-DI01</t>
        </is>
      </c>
      <c r="H5684" s="12" t="inlineStr">
        <is>
          <t>H2 27: storage tube bank (~40 ft tubes)</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50</v>
      </c>
      <c r="U5684" s="16" t="n">
        <v>97</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K-I-0065</t>
        </is>
      </c>
      <c r="B5685" s="12" t="inlineStr">
        <is>
          <t>K</t>
        </is>
      </c>
      <c r="C5685" s="12" t="inlineStr">
        <is>
          <t>Fuel supply (adjacent market)</t>
        </is>
      </c>
      <c r="D5685" s="12" t="inlineStr">
        <is>
          <t>Analog instrument to JB JB-H2 27: storage tub-AI01: 12 x 1 pr (field cables)</t>
        </is>
      </c>
      <c r="E5685" s="12" t="inlineStr"/>
      <c r="F5685" s="12" t="inlineStr">
        <is>
          <t>H2 27: storage tube bank (~40 ft tubes)</t>
        </is>
      </c>
      <c r="G5685" s="12" t="inlineStr">
        <is>
          <t>JB-H2 27: storage tub-AI01</t>
        </is>
      </c>
      <c r="H5685" s="12" t="inlineStr">
        <is>
          <t>H2 27: storage tube bank (~40 ft tubes)</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54</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K-I-0066</t>
        </is>
      </c>
      <c r="B5686" s="12" t="inlineStr">
        <is>
          <t>K</t>
        </is>
      </c>
      <c r="C5686" s="12" t="inlineStr">
        <is>
          <t>Fuel supply (adjacent market)</t>
        </is>
      </c>
      <c r="D5686" s="12" t="inlineStr">
        <is>
          <t>Home run JB-H2 27: storage tub-AI01 to the control / marshalling room</t>
        </is>
      </c>
      <c r="E5686" s="12" t="inlineStr"/>
      <c r="F5686" s="12" t="inlineStr">
        <is>
          <t>H2 20: 13.8 kV e-house</t>
        </is>
      </c>
      <c r="G5686" s="12" t="inlineStr">
        <is>
          <t>JB-H2 27: storage tub-AI01</t>
        </is>
      </c>
      <c r="H5686" s="12" t="inlineStr">
        <is>
          <t>H2 27: storage tube bank (~40 ft tubes)</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50</v>
      </c>
      <c r="U5686" s="16" t="n">
        <v>117</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K-I-0067</t>
        </is>
      </c>
      <c r="B5687" s="12" t="inlineStr">
        <is>
          <t>K</t>
        </is>
      </c>
      <c r="C5687" s="12" t="inlineStr">
        <is>
          <t>Fuel supply (adjacent market)</t>
        </is>
      </c>
      <c r="D5687" s="12" t="inlineStr">
        <is>
          <t>Discrete device to JB JB-H2 27: storage tub-DI01: 12 x 1 pr (field cables)</t>
        </is>
      </c>
      <c r="E5687" s="12" t="inlineStr"/>
      <c r="F5687" s="12" t="inlineStr">
        <is>
          <t>H2 27: storage tube bank (~40 ft tubes)</t>
        </is>
      </c>
      <c r="G5687" s="12" t="inlineStr">
        <is>
          <t>JB-H2 27: storage tub-DI01</t>
        </is>
      </c>
      <c r="H5687" s="12" t="inlineStr">
        <is>
          <t>H2 27: storage tube bank (~40 ft tubes)</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54</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K-I-0068</t>
        </is>
      </c>
      <c r="B5688" s="12" t="inlineStr">
        <is>
          <t>K</t>
        </is>
      </c>
      <c r="C5688" s="12" t="inlineStr">
        <is>
          <t>Fuel supply (adjacent market)</t>
        </is>
      </c>
      <c r="D5688" s="12" t="inlineStr">
        <is>
          <t>Home run JB-H2 27: storage tub-DI01 to the control / marshalling room</t>
        </is>
      </c>
      <c r="E5688" s="12" t="inlineStr"/>
      <c r="F5688" s="12" t="inlineStr">
        <is>
          <t>H2 20: 13.8 kV e-house</t>
        </is>
      </c>
      <c r="G5688" s="12" t="inlineStr">
        <is>
          <t>JB-H2 27: storage tub-DI01</t>
        </is>
      </c>
      <c r="H5688" s="12" t="inlineStr">
        <is>
          <t>H2 27: storage tube bank (~40 ft tubes)</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50</v>
      </c>
      <c r="U5688" s="16" t="n">
        <v>117</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K-I-0069</t>
        </is>
      </c>
      <c r="B5689" s="12" t="inlineStr">
        <is>
          <t>K</t>
        </is>
      </c>
      <c r="C5689" s="12" t="inlineStr">
        <is>
          <t>Fuel supply (adjacent market)</t>
        </is>
      </c>
      <c r="D5689" s="12" t="inlineStr">
        <is>
          <t>Analog instrument to JB JB-H2 28: N2 purge su-AI01: 12 x 1 pr (field cables)</t>
        </is>
      </c>
      <c r="E5689" s="12" t="inlineStr"/>
      <c r="F5689" s="12" t="inlineStr">
        <is>
          <t>H2 28: N2 purge supply</t>
        </is>
      </c>
      <c r="G5689" s="12" t="inlineStr">
        <is>
          <t>JB-H2 28: N2 purge su-AI01</t>
        </is>
      </c>
      <c r="H5689" s="12" t="inlineStr">
        <is>
          <t>H2 28: N2 purge supply</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56</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K-I-0070</t>
        </is>
      </c>
      <c r="B5690" s="12" t="inlineStr">
        <is>
          <t>K</t>
        </is>
      </c>
      <c r="C5690" s="12" t="inlineStr">
        <is>
          <t>Fuel supply (adjacent market)</t>
        </is>
      </c>
      <c r="D5690" s="12" t="inlineStr">
        <is>
          <t>Home run JB-H2 28: N2 purge su-AI01 to the control / marshalling room</t>
        </is>
      </c>
      <c r="E5690" s="12" t="inlineStr"/>
      <c r="F5690" s="12" t="inlineStr">
        <is>
          <t>H2 20: 13.8 kV e-house</t>
        </is>
      </c>
      <c r="G5690" s="12" t="inlineStr">
        <is>
          <t>JB-H2 28: N2 purge su-AI01</t>
        </is>
      </c>
      <c r="H5690" s="12" t="inlineStr">
        <is>
          <t>H2 28: N2 purge supply</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53</v>
      </c>
      <c r="U5690" s="16" t="n">
        <v>36</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K-I-0071</t>
        </is>
      </c>
      <c r="B5691" s="12" t="inlineStr">
        <is>
          <t>K</t>
        </is>
      </c>
      <c r="C5691" s="12" t="inlineStr">
        <is>
          <t>Fuel supply (adjacent market)</t>
        </is>
      </c>
      <c r="D5691" s="12" t="inlineStr">
        <is>
          <t>Discrete device to JB JB-H2 28: N2 purge su-DI01: 12 x 1 pr (field cables)</t>
        </is>
      </c>
      <c r="E5691" s="12" t="inlineStr"/>
      <c r="F5691" s="12" t="inlineStr">
        <is>
          <t>H2 28: N2 purge supply</t>
        </is>
      </c>
      <c r="G5691" s="12" t="inlineStr">
        <is>
          <t>JB-H2 28: N2 purge su-DI01</t>
        </is>
      </c>
      <c r="H5691" s="12" t="inlineStr">
        <is>
          <t>H2 28: N2 purge supply</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56</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K-I-0072</t>
        </is>
      </c>
      <c r="B5692" s="12" t="inlineStr">
        <is>
          <t>K</t>
        </is>
      </c>
      <c r="C5692" s="12" t="inlineStr">
        <is>
          <t>Fuel supply (adjacent market)</t>
        </is>
      </c>
      <c r="D5692" s="12" t="inlineStr">
        <is>
          <t>Home run JB-H2 28: N2 purge su-DI01 to the control / marshalling room</t>
        </is>
      </c>
      <c r="E5692" s="12" t="inlineStr"/>
      <c r="F5692" s="12" t="inlineStr">
        <is>
          <t>H2 20: 13.8 kV e-house</t>
        </is>
      </c>
      <c r="G5692" s="12" t="inlineStr">
        <is>
          <t>JB-H2 28: N2 purge su-DI01</t>
        </is>
      </c>
      <c r="H5692" s="12" t="inlineStr">
        <is>
          <t>H2 28: N2 purge supply</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53</v>
      </c>
      <c r="U5692" s="16" t="n">
        <v>36</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K-I-0073</t>
        </is>
      </c>
      <c r="B5693" s="12" t="inlineStr">
        <is>
          <t>K</t>
        </is>
      </c>
      <c r="C5693" s="12" t="inlineStr">
        <is>
          <t>Fuel supply (adjacent market)</t>
        </is>
      </c>
      <c r="D5693" s="12" t="inlineStr">
        <is>
          <t>Analog instrument to JB JB-H2 29: vent stack-AI01: 12 x 1 pr (field cables)</t>
        </is>
      </c>
      <c r="E5693" s="12" t="inlineStr"/>
      <c r="F5693" s="12" t="inlineStr">
        <is>
          <t>H2 29: vent stack</t>
        </is>
      </c>
      <c r="G5693" s="12" t="inlineStr">
        <is>
          <t>JB-H2 29: vent stack-AI01</t>
        </is>
      </c>
      <c r="H5693" s="12" t="inlineStr">
        <is>
          <t>H2 29: vent stack</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12</v>
      </c>
      <c r="O5693" s="12" t="n">
        <v>1</v>
      </c>
      <c r="P5693" s="12" t="n"/>
      <c r="Q5693" s="12" t="n"/>
      <c r="R5693" s="12" t="n"/>
      <c r="S5693" s="12" t="inlineStr">
        <is>
          <t>Tray / conduit</t>
        </is>
      </c>
      <c r="T5693" s="16" t="n">
        <v>45</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K-I-0074</t>
        </is>
      </c>
      <c r="B5694" s="12" t="inlineStr">
        <is>
          <t>K</t>
        </is>
      </c>
      <c r="C5694" s="12" t="inlineStr">
        <is>
          <t>Fuel supply (adjacent market)</t>
        </is>
      </c>
      <c r="D5694" s="12" t="inlineStr">
        <is>
          <t>Home run JB-H2 29: vent stack-AI01 to the control / marshalling room</t>
        </is>
      </c>
      <c r="E5694" s="12" t="inlineStr"/>
      <c r="F5694" s="12" t="inlineStr">
        <is>
          <t>H2 20: 13.8 kV e-house</t>
        </is>
      </c>
      <c r="G5694" s="12" t="inlineStr">
        <is>
          <t>JB-H2 29: vent stack-AI01</t>
        </is>
      </c>
      <c r="H5694" s="12" t="inlineStr">
        <is>
          <t>H2 29: vent stack</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55</v>
      </c>
      <c r="U5694" s="16" t="n">
        <v>205</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K-I-0075</t>
        </is>
      </c>
      <c r="B5695" s="12" t="inlineStr">
        <is>
          <t>K</t>
        </is>
      </c>
      <c r="C5695" s="12" t="inlineStr">
        <is>
          <t>Fuel supply (adjacent market)</t>
        </is>
      </c>
      <c r="D5695" s="12" t="inlineStr">
        <is>
          <t>Discrete device to JB JB-H2 29: vent stack-DI01: 12 x 1 pr (field cables)</t>
        </is>
      </c>
      <c r="E5695" s="12" t="inlineStr"/>
      <c r="F5695" s="12" t="inlineStr">
        <is>
          <t>H2 29: vent stack</t>
        </is>
      </c>
      <c r="G5695" s="12" t="inlineStr">
        <is>
          <t>JB-H2 29: vent stack-DI01</t>
        </is>
      </c>
      <c r="H5695" s="12" t="inlineStr">
        <is>
          <t>H2 29: vent stack</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12</v>
      </c>
      <c r="O5695" s="12" t="n">
        <v>1</v>
      </c>
      <c r="P5695" s="12" t="n"/>
      <c r="Q5695" s="12" t="n"/>
      <c r="R5695" s="12" t="n"/>
      <c r="S5695" s="12" t="inlineStr">
        <is>
          <t>Tray / conduit</t>
        </is>
      </c>
      <c r="T5695" s="16" t="n">
        <v>45</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K-I-0076</t>
        </is>
      </c>
      <c r="B5696" s="12" t="inlineStr">
        <is>
          <t>K</t>
        </is>
      </c>
      <c r="C5696" s="12" t="inlineStr">
        <is>
          <t>Fuel supply (adjacent market)</t>
        </is>
      </c>
      <c r="D5696" s="12" t="inlineStr">
        <is>
          <t>Home run JB-H2 29: vent stack-DI01 to the control / marshalling room</t>
        </is>
      </c>
      <c r="E5696" s="12" t="inlineStr"/>
      <c r="F5696" s="12" t="inlineStr">
        <is>
          <t>H2 20: 13.8 kV e-house</t>
        </is>
      </c>
      <c r="G5696" s="12" t="inlineStr">
        <is>
          <t>JB-H2 29: vent stack-DI01</t>
        </is>
      </c>
      <c r="H5696" s="12" t="inlineStr">
        <is>
          <t>H2 29: vent stack</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55</v>
      </c>
      <c r="U5696" s="16" t="n">
        <v>205</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K-I-0077</t>
        </is>
      </c>
      <c r="B5697" s="12" t="inlineStr">
        <is>
          <t>K</t>
        </is>
      </c>
      <c r="C5697" s="12" t="inlineStr">
        <is>
          <t>Fuel supply (adjacent market)</t>
        </is>
      </c>
      <c r="D5697" s="12" t="inlineStr">
        <is>
          <t>Analog instrument to JB JB-H2 30: H2 / gas bl-AI01: 12 x 1 pr (field cables)</t>
        </is>
      </c>
      <c r="E5697" s="12" t="inlineStr"/>
      <c r="F5697" s="12" t="inlineStr">
        <is>
          <t>H2 30: H2 / gas blending station (plant gas yard)</t>
        </is>
      </c>
      <c r="G5697" s="12" t="inlineStr">
        <is>
          <t>JB-H2 30: H2 / gas bl-AI01</t>
        </is>
      </c>
      <c r="H5697" s="12" t="inlineStr">
        <is>
          <t>H2 30: H2 / gas blending station (plant gas yard)</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6" t="n">
        <v>129</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K-I-0078</t>
        </is>
      </c>
      <c r="B5698" s="12" t="inlineStr">
        <is>
          <t>K</t>
        </is>
      </c>
      <c r="C5698" s="12" t="inlineStr">
        <is>
          <t>Fuel supply (adjacent market)</t>
        </is>
      </c>
      <c r="D5698" s="12" t="inlineStr">
        <is>
          <t>Home run JB-H2 30: H2 / gas bl-AI01 to the control / marshalling room</t>
        </is>
      </c>
      <c r="E5698" s="12" t="inlineStr"/>
      <c r="F5698" s="12" t="inlineStr">
        <is>
          <t>LNG 17: LNG e-house (13.8 kV / 480 V)</t>
        </is>
      </c>
      <c r="G5698" s="12" t="inlineStr">
        <is>
          <t>JB-H2 30: H2 / gas bl-AI01</t>
        </is>
      </c>
      <c r="H5698" s="12" t="inlineStr">
        <is>
          <t>H2 30: H2 / gas blending station (plant gas yard)</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6" t="n">
        <v>994</v>
      </c>
      <c r="U5698" s="16" t="n">
        <v>114</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K-I-0079</t>
        </is>
      </c>
      <c r="B5699" s="12" t="inlineStr">
        <is>
          <t>K</t>
        </is>
      </c>
      <c r="C5699" s="12" t="inlineStr">
        <is>
          <t>Fuel supply (adjacent market)</t>
        </is>
      </c>
      <c r="D5699" s="12" t="inlineStr">
        <is>
          <t>Discrete device to JB JB-H2 30: H2 / gas bl-DI01: 12 x 1 pr (field cables)</t>
        </is>
      </c>
      <c r="E5699" s="12" t="inlineStr"/>
      <c r="F5699" s="12" t="inlineStr">
        <is>
          <t>H2 30: H2 / gas blending station (plant gas yard)</t>
        </is>
      </c>
      <c r="G5699" s="12" t="inlineStr">
        <is>
          <t>JB-H2 30: H2 / gas bl-DI01</t>
        </is>
      </c>
      <c r="H5699" s="12" t="inlineStr">
        <is>
          <t>H2 30: H2 / gas blending station (plant gas yard)</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129</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K-I-0080</t>
        </is>
      </c>
      <c r="B5700" s="12" t="inlineStr">
        <is>
          <t>K</t>
        </is>
      </c>
      <c r="C5700" s="12" t="inlineStr">
        <is>
          <t>Fuel supply (adjacent market)</t>
        </is>
      </c>
      <c r="D5700" s="12" t="inlineStr">
        <is>
          <t>Home run JB-H2 30: H2 / gas bl-DI01 to the control / marshalling room</t>
        </is>
      </c>
      <c r="E5700" s="12" t="inlineStr"/>
      <c r="F5700" s="12" t="inlineStr">
        <is>
          <t>LNG 17: LNG e-house (13.8 kV / 480 V)</t>
        </is>
      </c>
      <c r="G5700" s="12" t="inlineStr">
        <is>
          <t>JB-H2 30: H2 / gas bl-DI01</t>
        </is>
      </c>
      <c r="H5700" s="12" t="inlineStr">
        <is>
          <t>H2 30: H2 / gas blending station (plant gas yard)</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994</v>
      </c>
      <c r="U5700" s="16" t="n">
        <v>114</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K-I-0081</t>
        </is>
      </c>
      <c r="B5701" s="12" t="inlineStr">
        <is>
          <t>K</t>
        </is>
      </c>
      <c r="C5701" s="12" t="inlineStr">
        <is>
          <t>Fuel supply (adjacent market)</t>
        </is>
      </c>
      <c r="D5701" s="12" t="inlineStr">
        <is>
          <t>Analog instrument to JB JB-H2 pipe track and -AI01: 10 x 1 pr (field cables)</t>
        </is>
      </c>
      <c r="E5701" s="12" t="inlineStr"/>
      <c r="F5701" s="12" t="inlineStr">
        <is>
          <t>H2 pipe track and cable trench, hall -&gt; dryer / compressors (N2, instr</t>
        </is>
      </c>
      <c r="G5701" s="12" t="inlineStr">
        <is>
          <t>JB-H2 pipe track and -AI01</t>
        </is>
      </c>
      <c r="H5701" s="12" t="inlineStr">
        <is>
          <t>H2 pipe track and cable trench, hall -&gt; dryer / compressors (N2, instr</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10</v>
      </c>
      <c r="O5701" s="12" t="n">
        <v>1</v>
      </c>
      <c r="P5701" s="12" t="n"/>
      <c r="Q5701" s="12" t="n"/>
      <c r="R5701" s="12" t="n"/>
      <c r="S5701" s="12" t="inlineStr">
        <is>
          <t>Tray / conduit</t>
        </is>
      </c>
      <c r="T5701" s="16" t="n">
        <v>70</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K-I-0082</t>
        </is>
      </c>
      <c r="B5702" s="12" t="inlineStr">
        <is>
          <t>K</t>
        </is>
      </c>
      <c r="C5702" s="12" t="inlineStr">
        <is>
          <t>Fuel supply (adjacent market)</t>
        </is>
      </c>
      <c r="D5702" s="12" t="inlineStr">
        <is>
          <t>Home run JB-H2 pipe track and -AI01 to the control / marshalling room</t>
        </is>
      </c>
      <c r="E5702" s="12" t="inlineStr"/>
      <c r="F5702" s="12" t="inlineStr">
        <is>
          <t>H2 20: 13.8 kV e-house</t>
        </is>
      </c>
      <c r="G5702" s="12" t="inlineStr">
        <is>
          <t>JB-H2 pipe track and -AI01</t>
        </is>
      </c>
      <c r="H5702" s="12" t="inlineStr">
        <is>
          <t>H2 pipe track and cable trench, hall -&gt; dryer / compressors (N2, instr</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53</v>
      </c>
      <c r="U5702" s="16" t="n">
        <v>62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K-I-0083</t>
        </is>
      </c>
      <c r="B5703" s="12" t="inlineStr">
        <is>
          <t>K</t>
        </is>
      </c>
      <c r="C5703" s="12" t="inlineStr">
        <is>
          <t>Fuel supply (adjacent market)</t>
        </is>
      </c>
      <c r="D5703" s="12" t="inlineStr">
        <is>
          <t>Discrete device to JB JB-H2 pipe track and -DI01: 10 x 1 pr (field cables)</t>
        </is>
      </c>
      <c r="E5703" s="12" t="inlineStr"/>
      <c r="F5703" s="12" t="inlineStr">
        <is>
          <t>H2 pipe track and cable trench, hall -&gt; dryer / compressors (N2, instr</t>
        </is>
      </c>
      <c r="G5703" s="12" t="inlineStr">
        <is>
          <t>JB-H2 pipe track and -DI01</t>
        </is>
      </c>
      <c r="H5703" s="12" t="inlineStr">
        <is>
          <t>H2 pipe track and cable trench, hall -&gt; dryer / compressors (N2, instr</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10</v>
      </c>
      <c r="O5703" s="12" t="n">
        <v>1</v>
      </c>
      <c r="P5703" s="12" t="n"/>
      <c r="Q5703" s="12" t="n"/>
      <c r="R5703" s="12" t="n"/>
      <c r="S5703" s="12" t="inlineStr">
        <is>
          <t>Tray / conduit</t>
        </is>
      </c>
      <c r="T5703" s="16" t="n">
        <v>70</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K-I-0084</t>
        </is>
      </c>
      <c r="B5704" s="12" t="inlineStr">
        <is>
          <t>K</t>
        </is>
      </c>
      <c r="C5704" s="12" t="inlineStr">
        <is>
          <t>Fuel supply (adjacent market)</t>
        </is>
      </c>
      <c r="D5704" s="12" t="inlineStr">
        <is>
          <t>Home run JB-H2 pipe track and -DI01 to the control / marshalling room</t>
        </is>
      </c>
      <c r="E5704" s="12" t="inlineStr"/>
      <c r="F5704" s="12" t="inlineStr">
        <is>
          <t>H2 20: 13.8 kV e-house</t>
        </is>
      </c>
      <c r="G5704" s="12" t="inlineStr">
        <is>
          <t>JB-H2 pipe track and -DI01</t>
        </is>
      </c>
      <c r="H5704" s="12" t="inlineStr">
        <is>
          <t>H2 pipe track and cable trench, hall -&gt; dryer / compressors (N2, instr</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53</v>
      </c>
      <c r="U5704" s="16" t="n">
        <v>62</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K-I-0085</t>
        </is>
      </c>
      <c r="B5705" s="12" t="inlineStr">
        <is>
          <t>K</t>
        </is>
      </c>
      <c r="C5705" s="12" t="inlineStr">
        <is>
          <t>Fuel supply (adjacent market)</t>
        </is>
      </c>
      <c r="D5705" s="12" t="inlineStr">
        <is>
          <t>Instrumentation</t>
        </is>
      </c>
      <c r="E5705" s="12" t="inlineStr"/>
      <c r="F5705" s="12" t="inlineStr">
        <is>
          <t>H2 20: 13.8 kV e-house</t>
        </is>
      </c>
      <c r="G5705" s="12" t="inlineStr">
        <is>
          <t>H2-ST</t>
        </is>
      </c>
      <c r="H5705" s="12" t="inlineStr">
        <is>
          <t>H2 storage tube banks x4</t>
        </is>
      </c>
      <c r="I5705" s="12" t="inlineStr">
        <is>
          <t>Instrumentation</t>
        </is>
      </c>
      <c r="J5705" s="12" t="inlineStr">
        <is>
          <t>Instrumentation ITC / PLTC, IS, #18 shielded pairs, blue jacket</t>
        </is>
      </c>
      <c r="K5705" s="12" t="inlineStr">
        <is>
          <t>ITC|4 pr|18</t>
        </is>
      </c>
      <c r="L5705" s="12" t="inlineStr">
        <is>
          <t>4 pr</t>
        </is>
      </c>
      <c r="M5705" s="12" t="inlineStr">
        <is>
          <t>18</t>
        </is>
      </c>
      <c r="N5705" s="12" t="n">
        <v>1</v>
      </c>
      <c r="O5705" s="12" t="n">
        <v>1</v>
      </c>
      <c r="P5705" s="12" t="n"/>
      <c r="Q5705" s="12" t="n"/>
      <c r="R5705" s="12" t="n"/>
      <c r="S5705" s="12" t="inlineStr">
        <is>
          <t>Duct bank</t>
        </is>
      </c>
      <c r="T5705" s="16" t="n">
        <v>50</v>
      </c>
      <c r="U5705" s="16" t="n">
        <v>92</v>
      </c>
      <c r="V5705" s="16">
        <f>ROUNDUP((T5705+U5705+2*'Read Me'!$B$13)*(1+'Read Me'!$B$12),-1)</f>
        <v/>
      </c>
      <c r="W5705" s="16">
        <f>V5705*N5705*O5705</f>
        <v/>
      </c>
      <c r="X5705" s="12">
        <f>IF(LEFT(I5705,2)="MV",2*N5705*IF(L5705="1/C",O5705,1),0)</f>
        <v/>
      </c>
      <c r="Y5705" s="12">
        <f>IF(OR(LEFT(K5705,4)="LVAX",LEFT(K5705,6)="MV15AX",LEFT(K5705,4)="CTAX",LEFT(K5705,2)="W|"),2*N5705*O5705,0)</f>
        <v/>
      </c>
      <c r="Z5705" s="12" t="inlineStr"/>
      <c r="AA5705" s="12">
        <f>N5705*O5705</f>
        <v/>
      </c>
    </row>
    <row r="5706">
      <c r="A5706" s="12" t="inlineStr">
        <is>
          <t>K-I-0086</t>
        </is>
      </c>
      <c r="B5706" s="12" t="inlineStr">
        <is>
          <t>K</t>
        </is>
      </c>
      <c r="C5706" s="12" t="inlineStr">
        <is>
          <t>Fuel supply (adjacent market)</t>
        </is>
      </c>
      <c r="D5706" s="12" t="inlineStr">
        <is>
          <t>Instrumentation</t>
        </is>
      </c>
      <c r="E5706" s="12" t="inlineStr"/>
      <c r="F5706" s="12" t="inlineStr">
        <is>
          <t>H2 20: 13.8 kV e-house</t>
        </is>
      </c>
      <c r="G5706" s="12" t="inlineStr">
        <is>
          <t>H2R</t>
        </is>
      </c>
      <c r="H5706" s="12" t="inlineStr">
        <is>
          <t>H2R: hydrogen pipeline receiving station (pig receiver, filters, meter</t>
        </is>
      </c>
      <c r="I5706" s="12" t="inlineStr">
        <is>
          <t>Instrumentation</t>
        </is>
      </c>
      <c r="J5706" s="12" t="inlineStr">
        <is>
          <t>Instrumentation ITC / PLTC, IS, #18 shielded pairs, blue jacket</t>
        </is>
      </c>
      <c r="K5706" s="12" t="inlineStr">
        <is>
          <t>ITC|4 pr|18</t>
        </is>
      </c>
      <c r="L5706" s="12" t="inlineStr">
        <is>
          <t>4 pr</t>
        </is>
      </c>
      <c r="M5706" s="12" t="inlineStr">
        <is>
          <t>18</t>
        </is>
      </c>
      <c r="N5706" s="12" t="n">
        <v>1</v>
      </c>
      <c r="O5706" s="12" t="n">
        <v>1</v>
      </c>
      <c r="P5706" s="12" t="n"/>
      <c r="Q5706" s="12" t="n"/>
      <c r="R5706" s="12" t="n"/>
      <c r="S5706" s="12" t="inlineStr">
        <is>
          <t>Duct bank</t>
        </is>
      </c>
      <c r="T5706" s="16" t="n">
        <v>40</v>
      </c>
      <c r="U5706" s="16" t="n">
        <v>32</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K-I-0087</t>
        </is>
      </c>
      <c r="B5707" s="12" t="inlineStr">
        <is>
          <t>K</t>
        </is>
      </c>
      <c r="C5707" s="12" t="inlineStr">
        <is>
          <t>Fuel supply (adjacent market)</t>
        </is>
      </c>
      <c r="D5707" s="12" t="inlineStr">
        <is>
          <t>Analog instrument to JB JB-LNG 10: truck unlo-AI01: 12 x 1 pr (field cables)</t>
        </is>
      </c>
      <c r="E5707" s="12" t="inlineStr"/>
      <c r="F5707" s="12" t="inlineStr">
        <is>
          <t>LNG 10: truck unloading bay 1</t>
        </is>
      </c>
      <c r="G5707" s="12" t="inlineStr">
        <is>
          <t>JB-LNG 10: truck unlo-AI01</t>
        </is>
      </c>
      <c r="H5707" s="12" t="inlineStr">
        <is>
          <t>LNG 10: truck unloading bay 1</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72</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K-I-0088</t>
        </is>
      </c>
      <c r="B5708" s="12" t="inlineStr">
        <is>
          <t>K</t>
        </is>
      </c>
      <c r="C5708" s="12" t="inlineStr">
        <is>
          <t>Fuel supply (adjacent market)</t>
        </is>
      </c>
      <c r="D5708" s="12" t="inlineStr">
        <is>
          <t>Home run JB-LNG 10: truck unlo-AI01 to the control / marshalling room</t>
        </is>
      </c>
      <c r="E5708" s="12" t="inlineStr"/>
      <c r="F5708" s="12" t="inlineStr">
        <is>
          <t>LNG 17: LNG e-house (13.8 kV / 480 V)</t>
        </is>
      </c>
      <c r="G5708" s="12" t="inlineStr">
        <is>
          <t>JB-LNG 10: truck unlo-AI01</t>
        </is>
      </c>
      <c r="H5708" s="12" t="inlineStr">
        <is>
          <t>LNG 10: truck unloading bay 1</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61</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K-I-0089</t>
        </is>
      </c>
      <c r="B5709" s="12" t="inlineStr">
        <is>
          <t>K</t>
        </is>
      </c>
      <c r="C5709" s="12" t="inlineStr">
        <is>
          <t>Fuel supply (adjacent market)</t>
        </is>
      </c>
      <c r="D5709" s="12" t="inlineStr">
        <is>
          <t>Discrete device to JB JB-LNG 10: truck unlo-DI01: 12 x 1 pr (field cables)</t>
        </is>
      </c>
      <c r="E5709" s="12" t="inlineStr"/>
      <c r="F5709" s="12" t="inlineStr">
        <is>
          <t>LNG 10: truck unloading bay 1</t>
        </is>
      </c>
      <c r="G5709" s="12" t="inlineStr">
        <is>
          <t>JB-LNG 10: truck unlo-DI01</t>
        </is>
      </c>
      <c r="H5709" s="12" t="inlineStr">
        <is>
          <t>LNG 10: truck unloading bay 1</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72</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K-I-0090</t>
        </is>
      </c>
      <c r="B5710" s="12" t="inlineStr">
        <is>
          <t>K</t>
        </is>
      </c>
      <c r="C5710" s="12" t="inlineStr">
        <is>
          <t>Fuel supply (adjacent market)</t>
        </is>
      </c>
      <c r="D5710" s="12" t="inlineStr">
        <is>
          <t>Home run JB-LNG 10: truck unlo-DI01 to the control / marshalling room</t>
        </is>
      </c>
      <c r="E5710" s="12" t="inlineStr"/>
      <c r="F5710" s="12" t="inlineStr">
        <is>
          <t>LNG 17: LNG e-house (13.8 kV / 480 V)</t>
        </is>
      </c>
      <c r="G5710" s="12" t="inlineStr">
        <is>
          <t>JB-LNG 10: truck unlo-DI01</t>
        </is>
      </c>
      <c r="H5710" s="12" t="inlineStr">
        <is>
          <t>LNG 10: truck unloading bay 1</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61</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K-I-0091</t>
        </is>
      </c>
      <c r="B5711" s="12" t="inlineStr">
        <is>
          <t>K</t>
        </is>
      </c>
      <c r="C5711" s="12" t="inlineStr">
        <is>
          <t>Fuel supply (adjacent market)</t>
        </is>
      </c>
      <c r="D5711" s="12" t="inlineStr">
        <is>
          <t>Analog instrument to JB JB-LNG 10: truck unlo-AI01: 12 x 1 pr (field cables)</t>
        </is>
      </c>
      <c r="E5711" s="12" t="inlineStr"/>
      <c r="F5711" s="12" t="inlineStr">
        <is>
          <t>LNG 10: truck unloading bay 2</t>
        </is>
      </c>
      <c r="G5711" s="12" t="inlineStr">
        <is>
          <t>JB-LNG 10: truck unlo-AI01</t>
        </is>
      </c>
      <c r="H5711" s="12" t="inlineStr">
        <is>
          <t>LNG 10: truck unloading bay 2</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12</v>
      </c>
      <c r="O5711" s="12" t="n">
        <v>1</v>
      </c>
      <c r="P5711" s="12" t="n"/>
      <c r="Q5711" s="12" t="n"/>
      <c r="R5711" s="12" t="n"/>
      <c r="S5711" s="12" t="inlineStr">
        <is>
          <t>Tray / conduit</t>
        </is>
      </c>
      <c r="T5711" s="16" t="n">
        <v>72</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K-I-0092</t>
        </is>
      </c>
      <c r="B5712" s="12" t="inlineStr">
        <is>
          <t>K</t>
        </is>
      </c>
      <c r="C5712" s="12" t="inlineStr">
        <is>
          <t>Fuel supply (adjacent market)</t>
        </is>
      </c>
      <c r="D5712" s="12" t="inlineStr">
        <is>
          <t>Home run JB-LNG 10: truck unlo-AI01 to the control / marshalling room</t>
        </is>
      </c>
      <c r="E5712" s="12" t="inlineStr"/>
      <c r="F5712" s="12" t="inlineStr">
        <is>
          <t>LNG 17: LNG e-house (13.8 kV / 480 V)</t>
        </is>
      </c>
      <c r="G5712" s="12" t="inlineStr">
        <is>
          <t>JB-LNG 10: truck unlo-AI01</t>
        </is>
      </c>
      <c r="H5712" s="12" t="inlineStr">
        <is>
          <t>LNG 10: truck unloading bay 2</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147</v>
      </c>
      <c r="U5712" s="16" t="n">
        <v>66</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K-I-0093</t>
        </is>
      </c>
      <c r="B5713" s="12" t="inlineStr">
        <is>
          <t>K</t>
        </is>
      </c>
      <c r="C5713" s="12" t="inlineStr">
        <is>
          <t>Fuel supply (adjacent market)</t>
        </is>
      </c>
      <c r="D5713" s="12" t="inlineStr">
        <is>
          <t>Discrete device to JB JB-LNG 10: truck unlo-DI01: 12 x 1 pr (field cables)</t>
        </is>
      </c>
      <c r="E5713" s="12" t="inlineStr"/>
      <c r="F5713" s="12" t="inlineStr">
        <is>
          <t>LNG 10: truck unloading bay 2</t>
        </is>
      </c>
      <c r="G5713" s="12" t="inlineStr">
        <is>
          <t>JB-LNG 10: truck unlo-DI01</t>
        </is>
      </c>
      <c r="H5713" s="12" t="inlineStr">
        <is>
          <t>LNG 10: truck unloading bay 2</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12</v>
      </c>
      <c r="O5713" s="12" t="n">
        <v>1</v>
      </c>
      <c r="P5713" s="12" t="n"/>
      <c r="Q5713" s="12" t="n"/>
      <c r="R5713" s="12" t="n"/>
      <c r="S5713" s="12" t="inlineStr">
        <is>
          <t>Tray / conduit</t>
        </is>
      </c>
      <c r="T5713" s="16" t="n">
        <v>72</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K-I-0094</t>
        </is>
      </c>
      <c r="B5714" s="12" t="inlineStr">
        <is>
          <t>K</t>
        </is>
      </c>
      <c r="C5714" s="12" t="inlineStr">
        <is>
          <t>Fuel supply (adjacent market)</t>
        </is>
      </c>
      <c r="D5714" s="12" t="inlineStr">
        <is>
          <t>Home run JB-LNG 10: truck unlo-DI01 to the control / marshalling room</t>
        </is>
      </c>
      <c r="E5714" s="12" t="inlineStr"/>
      <c r="F5714" s="12" t="inlineStr">
        <is>
          <t>LNG 17: LNG e-house (13.8 kV / 480 V)</t>
        </is>
      </c>
      <c r="G5714" s="12" t="inlineStr">
        <is>
          <t>JB-LNG 10: truck unlo-DI01</t>
        </is>
      </c>
      <c r="H5714" s="12" t="inlineStr">
        <is>
          <t>LNG 10: truck unloading bay 2</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147</v>
      </c>
      <c r="U5714" s="16" t="n">
        <v>66</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K-I-0095</t>
        </is>
      </c>
      <c r="B5715" s="12" t="inlineStr">
        <is>
          <t>K</t>
        </is>
      </c>
      <c r="C5715" s="12" t="inlineStr">
        <is>
          <t>Fuel supply (adjacent market)</t>
        </is>
      </c>
      <c r="D5715" s="12" t="inlineStr">
        <is>
          <t>Analog instrument to JB JB-LNG 10: unloading -AI01: 12 x 1 pr (field cables)</t>
        </is>
      </c>
      <c r="E5715" s="12" t="inlineStr"/>
      <c r="F5715" s="12" t="inlineStr">
        <is>
          <t>LNG 10: unloading skid</t>
        </is>
      </c>
      <c r="G5715" s="12" t="inlineStr">
        <is>
          <t>JB-LNG 10: unloading -AI01</t>
        </is>
      </c>
      <c r="H5715" s="12" t="inlineStr">
        <is>
          <t>LNG 10: unloading skid</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12</v>
      </c>
      <c r="O5715" s="12" t="n">
        <v>1</v>
      </c>
      <c r="P5715" s="12" t="n"/>
      <c r="Q5715" s="12" t="n"/>
      <c r="R5715" s="12" t="n"/>
      <c r="S5715" s="12" t="inlineStr">
        <is>
          <t>Tray / conduit</t>
        </is>
      </c>
      <c r="T5715" s="16" t="n">
        <v>54</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K-I-0096</t>
        </is>
      </c>
      <c r="B5716" s="12" t="inlineStr">
        <is>
          <t>K</t>
        </is>
      </c>
      <c r="C5716" s="12" t="inlineStr">
        <is>
          <t>Fuel supply (adjacent market)</t>
        </is>
      </c>
      <c r="D5716" s="12" t="inlineStr">
        <is>
          <t>Home run JB-LNG 10: unloading -AI01 to the control / marshalling room</t>
        </is>
      </c>
      <c r="E5716" s="12" t="inlineStr"/>
      <c r="F5716" s="12" t="inlineStr">
        <is>
          <t>LNG 17: LNG e-house (13.8 kV / 480 V)</t>
        </is>
      </c>
      <c r="G5716" s="12" t="inlineStr">
        <is>
          <t>JB-LNG 10: unloading -AI01</t>
        </is>
      </c>
      <c r="H5716" s="12" t="inlineStr">
        <is>
          <t>LNG 10: unloading skid</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237</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K-I-0097</t>
        </is>
      </c>
      <c r="B5717" s="12" t="inlineStr">
        <is>
          <t>K</t>
        </is>
      </c>
      <c r="C5717" s="12" t="inlineStr">
        <is>
          <t>Fuel supply (adjacent market)</t>
        </is>
      </c>
      <c r="D5717" s="12" t="inlineStr">
        <is>
          <t>Discrete device to JB JB-LNG 10: unloading -DI01: 12 x 1 pr (field cables)</t>
        </is>
      </c>
      <c r="E5717" s="12" t="inlineStr"/>
      <c r="F5717" s="12" t="inlineStr">
        <is>
          <t>LNG 10: unloading skid</t>
        </is>
      </c>
      <c r="G5717" s="12" t="inlineStr">
        <is>
          <t>JB-LNG 10: unloading -DI01</t>
        </is>
      </c>
      <c r="H5717" s="12" t="inlineStr">
        <is>
          <t>LNG 10: unloading skid</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12</v>
      </c>
      <c r="O5717" s="12" t="n">
        <v>1</v>
      </c>
      <c r="P5717" s="12" t="n"/>
      <c r="Q5717" s="12" t="n"/>
      <c r="R5717" s="12" t="n"/>
      <c r="S5717" s="12" t="inlineStr">
        <is>
          <t>Tray / conduit</t>
        </is>
      </c>
      <c r="T5717" s="16" t="n">
        <v>54</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K-I-0098</t>
        </is>
      </c>
      <c r="B5718" s="12" t="inlineStr">
        <is>
          <t>K</t>
        </is>
      </c>
      <c r="C5718" s="12" t="inlineStr">
        <is>
          <t>Fuel supply (adjacent market)</t>
        </is>
      </c>
      <c r="D5718" s="12" t="inlineStr">
        <is>
          <t>Home run JB-LNG 10: unloading -DI01 to the control / marshalling room</t>
        </is>
      </c>
      <c r="E5718" s="12" t="inlineStr"/>
      <c r="F5718" s="12" t="inlineStr">
        <is>
          <t>LNG 17: LNG e-house (13.8 kV / 480 V)</t>
        </is>
      </c>
      <c r="G5718" s="12" t="inlineStr">
        <is>
          <t>JB-LNG 10: unloading -DI01</t>
        </is>
      </c>
      <c r="H5718" s="12" t="inlineStr">
        <is>
          <t>LNG 10: unloading skid</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237</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K-I-0099</t>
        </is>
      </c>
      <c r="B5719" s="12" t="inlineStr">
        <is>
          <t>K</t>
        </is>
      </c>
      <c r="C5719" s="12" t="inlineStr">
        <is>
          <t>Fuel supply (adjacent market)</t>
        </is>
      </c>
      <c r="D5719" s="12" t="inlineStr">
        <is>
          <t>Analog instrument to JB JB-LNG-T1-AI01: 4 x 1 pr (field cables)</t>
        </is>
      </c>
      <c r="E5719" s="12" t="inlineStr">
        <is>
          <t>LNG-T1</t>
        </is>
      </c>
      <c r="F5719" s="12" t="inlineStr">
        <is>
          <t>LNG 11: tank 1, Chart HS 50000 (51,780 gal)</t>
        </is>
      </c>
      <c r="G5719" s="12" t="inlineStr">
        <is>
          <t>JB-LNG-T1-AI01</t>
        </is>
      </c>
      <c r="H5719" s="12" t="inlineStr">
        <is>
          <t>LNG 11: tank 1,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K-I-0100</t>
        </is>
      </c>
      <c r="B5720" s="12" t="inlineStr">
        <is>
          <t>K</t>
        </is>
      </c>
      <c r="C5720" s="12" t="inlineStr">
        <is>
          <t>Fuel supply (adjacent market)</t>
        </is>
      </c>
      <c r="D5720" s="12" t="inlineStr">
        <is>
          <t>Home run JB-LNG-T1-AI01 to the control / marshalling room</t>
        </is>
      </c>
      <c r="E5720" s="12" t="inlineStr"/>
      <c r="F5720" s="12" t="inlineStr">
        <is>
          <t>LNG 17: LNG e-house (13.8 kV / 480 V)</t>
        </is>
      </c>
      <c r="G5720" s="12" t="inlineStr">
        <is>
          <t>JB-LNG-T1-AI01</t>
        </is>
      </c>
      <c r="H5720" s="12" t="inlineStr">
        <is>
          <t>LNG 11: tank 1,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210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K-I-0101</t>
        </is>
      </c>
      <c r="B5721" s="12" t="inlineStr">
        <is>
          <t>K</t>
        </is>
      </c>
      <c r="C5721" s="12" t="inlineStr">
        <is>
          <t>Fuel supply (adjacent market)</t>
        </is>
      </c>
      <c r="D5721" s="12" t="inlineStr">
        <is>
          <t>Discrete device to JB JB-LNG-T1-DI01: 4 x 1 pr (field cables)</t>
        </is>
      </c>
      <c r="E5721" s="12" t="inlineStr">
        <is>
          <t>LNG-T1</t>
        </is>
      </c>
      <c r="F5721" s="12" t="inlineStr">
        <is>
          <t>LNG 11: tank 1, Chart HS 50000 (51,780 gal)</t>
        </is>
      </c>
      <c r="G5721" s="12" t="inlineStr">
        <is>
          <t>JB-LNG-T1-DI01</t>
        </is>
      </c>
      <c r="H5721" s="12" t="inlineStr">
        <is>
          <t>LNG 11: tank 1,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K-I-0102</t>
        </is>
      </c>
      <c r="B5722" s="12" t="inlineStr">
        <is>
          <t>K</t>
        </is>
      </c>
      <c r="C5722" s="12" t="inlineStr">
        <is>
          <t>Fuel supply (adjacent market)</t>
        </is>
      </c>
      <c r="D5722" s="12" t="inlineStr">
        <is>
          <t>Home run JB-LNG-T1-DI01 to the control / marshalling room</t>
        </is>
      </c>
      <c r="E5722" s="12" t="inlineStr"/>
      <c r="F5722" s="12" t="inlineStr">
        <is>
          <t>LNG 17: LNG e-house (13.8 kV / 480 V)</t>
        </is>
      </c>
      <c r="G5722" s="12" t="inlineStr">
        <is>
          <t>JB-LNG-T1-DI01</t>
        </is>
      </c>
      <c r="H5722" s="12" t="inlineStr">
        <is>
          <t>LNG 11: tank 1,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210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K-I-0103</t>
        </is>
      </c>
      <c r="B5723" s="12" t="inlineStr">
        <is>
          <t>K</t>
        </is>
      </c>
      <c r="C5723" s="12" t="inlineStr">
        <is>
          <t>Fuel supply (adjacent market)</t>
        </is>
      </c>
      <c r="D5723" s="12" t="inlineStr">
        <is>
          <t>Analog instrument to JB JB-LNG-T2-AI01: 4 x 1 pr (field cables)</t>
        </is>
      </c>
      <c r="E5723" s="12" t="inlineStr">
        <is>
          <t>LNG-T2</t>
        </is>
      </c>
      <c r="F5723" s="12" t="inlineStr">
        <is>
          <t>LNG 11: tank 2, Chart HS 50000 (51,780 gal)</t>
        </is>
      </c>
      <c r="G5723" s="12" t="inlineStr">
        <is>
          <t>JB-LNG-T2-AI01</t>
        </is>
      </c>
      <c r="H5723" s="12" t="inlineStr">
        <is>
          <t>LNG 11: tank 2,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K-I-0104</t>
        </is>
      </c>
      <c r="B5724" s="12" t="inlineStr">
        <is>
          <t>K</t>
        </is>
      </c>
      <c r="C5724" s="12" t="inlineStr">
        <is>
          <t>Fuel supply (adjacent market)</t>
        </is>
      </c>
      <c r="D5724" s="12" t="inlineStr">
        <is>
          <t>Home run JB-LNG-T2-AI01 to the control / marshalling room</t>
        </is>
      </c>
      <c r="E5724" s="12" t="inlineStr"/>
      <c r="F5724" s="12" t="inlineStr">
        <is>
          <t>LNG 17: LNG e-house (13.8 kV / 480 V)</t>
        </is>
      </c>
      <c r="G5724" s="12" t="inlineStr">
        <is>
          <t>JB-LNG-T2-AI01</t>
        </is>
      </c>
      <c r="H5724" s="12" t="inlineStr">
        <is>
          <t>LNG 11: tank 2,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230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K-I-0105</t>
        </is>
      </c>
      <c r="B5725" s="12" t="inlineStr">
        <is>
          <t>K</t>
        </is>
      </c>
      <c r="C5725" s="12" t="inlineStr">
        <is>
          <t>Fuel supply (adjacent market)</t>
        </is>
      </c>
      <c r="D5725" s="12" t="inlineStr">
        <is>
          <t>Discrete device to JB JB-LNG-T2-DI01: 4 x 1 pr (field cables)</t>
        </is>
      </c>
      <c r="E5725" s="12" t="inlineStr">
        <is>
          <t>LNG-T2</t>
        </is>
      </c>
      <c r="F5725" s="12" t="inlineStr">
        <is>
          <t>LNG 11: tank 2, Chart HS 50000 (51,780 gal)</t>
        </is>
      </c>
      <c r="G5725" s="12" t="inlineStr">
        <is>
          <t>JB-LNG-T2-DI01</t>
        </is>
      </c>
      <c r="H5725" s="12" t="inlineStr">
        <is>
          <t>LNG 11: tank 2,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K-I-0106</t>
        </is>
      </c>
      <c r="B5726" s="12" t="inlineStr">
        <is>
          <t>K</t>
        </is>
      </c>
      <c r="C5726" s="12" t="inlineStr">
        <is>
          <t>Fuel supply (adjacent market)</t>
        </is>
      </c>
      <c r="D5726" s="12" t="inlineStr">
        <is>
          <t>Home run JB-LNG-T2-DI01 to the control / marshalling room</t>
        </is>
      </c>
      <c r="E5726" s="12" t="inlineStr"/>
      <c r="F5726" s="12" t="inlineStr">
        <is>
          <t>LNG 17: LNG e-house (13.8 kV / 480 V)</t>
        </is>
      </c>
      <c r="G5726" s="12" t="inlineStr">
        <is>
          <t>JB-LNG-T2-DI01</t>
        </is>
      </c>
      <c r="H5726" s="12" t="inlineStr">
        <is>
          <t>LNG 11: tank 2,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230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K-I-0107</t>
        </is>
      </c>
      <c r="B5727" s="12" t="inlineStr">
        <is>
          <t>K</t>
        </is>
      </c>
      <c r="C5727" s="12" t="inlineStr">
        <is>
          <t>Fuel supply (adjacent market)</t>
        </is>
      </c>
      <c r="D5727" s="12" t="inlineStr">
        <is>
          <t>Analog instrument to JB JB-LNG-T3-AI01: 4 x 1 pr (field cables)</t>
        </is>
      </c>
      <c r="E5727" s="12" t="inlineStr">
        <is>
          <t>LNG-T3</t>
        </is>
      </c>
      <c r="F5727" s="12" t="inlineStr">
        <is>
          <t>LNG 11: tank 3, Chart HS 50000 (51,780 gal)</t>
        </is>
      </c>
      <c r="G5727" s="12" t="inlineStr">
        <is>
          <t>JB-LNG-T3-AI01</t>
        </is>
      </c>
      <c r="H5727" s="12" t="inlineStr">
        <is>
          <t>LNG 11: tank 3,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K-I-0108</t>
        </is>
      </c>
      <c r="B5728" s="12" t="inlineStr">
        <is>
          <t>K</t>
        </is>
      </c>
      <c r="C5728" s="12" t="inlineStr">
        <is>
          <t>Fuel supply (adjacent market)</t>
        </is>
      </c>
      <c r="D5728" s="12" t="inlineStr">
        <is>
          <t>Home run JB-LNG-T3-AI01 to the control / marshalling room</t>
        </is>
      </c>
      <c r="E5728" s="12" t="inlineStr"/>
      <c r="F5728" s="12" t="inlineStr">
        <is>
          <t>LNG 17: LNG e-house (13.8 kV / 480 V)</t>
        </is>
      </c>
      <c r="G5728" s="12" t="inlineStr">
        <is>
          <t>JB-LNG-T3-AI01</t>
        </is>
      </c>
      <c r="H5728" s="12" t="inlineStr">
        <is>
          <t>LNG 11: tank 3,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250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K-I-0109</t>
        </is>
      </c>
      <c r="B5729" s="12" t="inlineStr">
        <is>
          <t>K</t>
        </is>
      </c>
      <c r="C5729" s="12" t="inlineStr">
        <is>
          <t>Fuel supply (adjacent market)</t>
        </is>
      </c>
      <c r="D5729" s="12" t="inlineStr">
        <is>
          <t>Discrete device to JB JB-LNG-T3-DI01: 4 x 1 pr (field cables)</t>
        </is>
      </c>
      <c r="E5729" s="12" t="inlineStr">
        <is>
          <t>LNG-T3</t>
        </is>
      </c>
      <c r="F5729" s="12" t="inlineStr">
        <is>
          <t>LNG 11: tank 3, Chart HS 50000 (51,780 gal)</t>
        </is>
      </c>
      <c r="G5729" s="12" t="inlineStr">
        <is>
          <t>JB-LNG-T3-DI01</t>
        </is>
      </c>
      <c r="H5729" s="12" t="inlineStr">
        <is>
          <t>LNG 11: tank 3,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K-I-0110</t>
        </is>
      </c>
      <c r="B5730" s="12" t="inlineStr">
        <is>
          <t>K</t>
        </is>
      </c>
      <c r="C5730" s="12" t="inlineStr">
        <is>
          <t>Fuel supply (adjacent market)</t>
        </is>
      </c>
      <c r="D5730" s="12" t="inlineStr">
        <is>
          <t>Home run JB-LNG-T3-DI01 to the control / marshalling room</t>
        </is>
      </c>
      <c r="E5730" s="12" t="inlineStr"/>
      <c r="F5730" s="12" t="inlineStr">
        <is>
          <t>LNG 17: LNG e-house (13.8 kV / 480 V)</t>
        </is>
      </c>
      <c r="G5730" s="12" t="inlineStr">
        <is>
          <t>JB-LNG-T3-DI01</t>
        </is>
      </c>
      <c r="H5730" s="12" t="inlineStr">
        <is>
          <t>LNG 11: tank 3,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250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K-I-0111</t>
        </is>
      </c>
      <c r="B5731" s="12" t="inlineStr">
        <is>
          <t>K</t>
        </is>
      </c>
      <c r="C5731" s="12" t="inlineStr">
        <is>
          <t>Fuel supply (adjacent market)</t>
        </is>
      </c>
      <c r="D5731" s="12" t="inlineStr">
        <is>
          <t>Analog instrument to JB JB-LNG-T4-AI01: 4 x 1 pr (field cables)</t>
        </is>
      </c>
      <c r="E5731" s="12" t="inlineStr">
        <is>
          <t>LNG-T4</t>
        </is>
      </c>
      <c r="F5731" s="12" t="inlineStr">
        <is>
          <t>LNG 11: tank 4, Chart HS 50000 (51,780 gal)</t>
        </is>
      </c>
      <c r="G5731" s="12" t="inlineStr">
        <is>
          <t>JB-LNG-T4-AI01</t>
        </is>
      </c>
      <c r="H5731" s="12" t="inlineStr">
        <is>
          <t>LNG 11: tank 4,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K-I-0112</t>
        </is>
      </c>
      <c r="B5732" s="12" t="inlineStr">
        <is>
          <t>K</t>
        </is>
      </c>
      <c r="C5732" s="12" t="inlineStr">
        <is>
          <t>Fuel supply (adjacent market)</t>
        </is>
      </c>
      <c r="D5732" s="12" t="inlineStr">
        <is>
          <t>Home run JB-LNG-T4-AI01 to the control / marshalling room</t>
        </is>
      </c>
      <c r="E5732" s="12" t="inlineStr"/>
      <c r="F5732" s="12" t="inlineStr">
        <is>
          <t>LNG 17: LNG e-house (13.8 kV / 480 V)</t>
        </is>
      </c>
      <c r="G5732" s="12" t="inlineStr">
        <is>
          <t>JB-LNG-T4-AI01</t>
        </is>
      </c>
      <c r="H5732" s="12" t="inlineStr">
        <is>
          <t>LNG 11: tank 4,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270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K-I-0113</t>
        </is>
      </c>
      <c r="B5733" s="12" t="inlineStr">
        <is>
          <t>K</t>
        </is>
      </c>
      <c r="C5733" s="12" t="inlineStr">
        <is>
          <t>Fuel supply (adjacent market)</t>
        </is>
      </c>
      <c r="D5733" s="12" t="inlineStr">
        <is>
          <t>Discrete device to JB JB-LNG-T4-DI01: 4 x 1 pr (field cables)</t>
        </is>
      </c>
      <c r="E5733" s="12" t="inlineStr">
        <is>
          <t>LNG-T4</t>
        </is>
      </c>
      <c r="F5733" s="12" t="inlineStr">
        <is>
          <t>LNG 11: tank 4, Chart HS 50000 (51,780 gal)</t>
        </is>
      </c>
      <c r="G5733" s="12" t="inlineStr">
        <is>
          <t>JB-LNG-T4-DI01</t>
        </is>
      </c>
      <c r="H5733" s="12" t="inlineStr">
        <is>
          <t>LNG 11: tank 4,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K-I-0114</t>
        </is>
      </c>
      <c r="B5734" s="12" t="inlineStr">
        <is>
          <t>K</t>
        </is>
      </c>
      <c r="C5734" s="12" t="inlineStr">
        <is>
          <t>Fuel supply (adjacent market)</t>
        </is>
      </c>
      <c r="D5734" s="12" t="inlineStr">
        <is>
          <t>Home run JB-LNG-T4-DI01 to the control / marshalling room</t>
        </is>
      </c>
      <c r="E5734" s="12" t="inlineStr"/>
      <c r="F5734" s="12" t="inlineStr">
        <is>
          <t>LNG 17: LNG e-house (13.8 kV / 480 V)</t>
        </is>
      </c>
      <c r="G5734" s="12" t="inlineStr">
        <is>
          <t>JB-LNG-T4-DI01</t>
        </is>
      </c>
      <c r="H5734" s="12" t="inlineStr">
        <is>
          <t>LNG 11: tank 4,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270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K-I-0115</t>
        </is>
      </c>
      <c r="B5735" s="12" t="inlineStr">
        <is>
          <t>K</t>
        </is>
      </c>
      <c r="C5735" s="12" t="inlineStr">
        <is>
          <t>Fuel supply (adjacent market)</t>
        </is>
      </c>
      <c r="D5735" s="12" t="inlineStr">
        <is>
          <t>Analog instrument to JB JB-LNG-T5-AI01: 4 x 1 pr (field cables)</t>
        </is>
      </c>
      <c r="E5735" s="12" t="inlineStr">
        <is>
          <t>LNG-T5</t>
        </is>
      </c>
      <c r="F5735" s="12" t="inlineStr">
        <is>
          <t>LNG 11: tank 5, Chart HS 50000 (51,780 gal)</t>
        </is>
      </c>
      <c r="G5735" s="12" t="inlineStr">
        <is>
          <t>JB-LNG-T5-AI01</t>
        </is>
      </c>
      <c r="H5735" s="12" t="inlineStr">
        <is>
          <t>LNG 11: tank 5,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K-I-0116</t>
        </is>
      </c>
      <c r="B5736" s="12" t="inlineStr">
        <is>
          <t>K</t>
        </is>
      </c>
      <c r="C5736" s="12" t="inlineStr">
        <is>
          <t>Fuel supply (adjacent market)</t>
        </is>
      </c>
      <c r="D5736" s="12" t="inlineStr">
        <is>
          <t>Home run JB-LNG-T5-AI01 to the control / marshalling room</t>
        </is>
      </c>
      <c r="E5736" s="12" t="inlineStr"/>
      <c r="F5736" s="12" t="inlineStr">
        <is>
          <t>LNG 17: LNG e-house (13.8 kV / 480 V)</t>
        </is>
      </c>
      <c r="G5736" s="12" t="inlineStr">
        <is>
          <t>JB-LNG-T5-AI01</t>
        </is>
      </c>
      <c r="H5736" s="12" t="inlineStr">
        <is>
          <t>LNG 11: tank 5,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290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K-I-0117</t>
        </is>
      </c>
      <c r="B5737" s="12" t="inlineStr">
        <is>
          <t>K</t>
        </is>
      </c>
      <c r="C5737" s="12" t="inlineStr">
        <is>
          <t>Fuel supply (adjacent market)</t>
        </is>
      </c>
      <c r="D5737" s="12" t="inlineStr">
        <is>
          <t>Discrete device to JB JB-LNG-T5-DI01: 4 x 1 pr (field cables)</t>
        </is>
      </c>
      <c r="E5737" s="12" t="inlineStr">
        <is>
          <t>LNG-T5</t>
        </is>
      </c>
      <c r="F5737" s="12" t="inlineStr">
        <is>
          <t>LNG 11: tank 5, Chart HS 50000 (51,780 gal)</t>
        </is>
      </c>
      <c r="G5737" s="12" t="inlineStr">
        <is>
          <t>JB-LNG-T5-DI01</t>
        </is>
      </c>
      <c r="H5737" s="12" t="inlineStr">
        <is>
          <t>LNG 11: tank 5,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K-I-0118</t>
        </is>
      </c>
      <c r="B5738" s="12" t="inlineStr">
        <is>
          <t>K</t>
        </is>
      </c>
      <c r="C5738" s="12" t="inlineStr">
        <is>
          <t>Fuel supply (adjacent market)</t>
        </is>
      </c>
      <c r="D5738" s="12" t="inlineStr">
        <is>
          <t>Home run JB-LNG-T5-DI01 to the control / marshalling room</t>
        </is>
      </c>
      <c r="E5738" s="12" t="inlineStr"/>
      <c r="F5738" s="12" t="inlineStr">
        <is>
          <t>LNG 17: LNG e-house (13.8 kV / 480 V)</t>
        </is>
      </c>
      <c r="G5738" s="12" t="inlineStr">
        <is>
          <t>JB-LNG-T5-DI01</t>
        </is>
      </c>
      <c r="H5738" s="12" t="inlineStr">
        <is>
          <t>LNG 11: tank 5,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290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K-I-0119</t>
        </is>
      </c>
      <c r="B5739" s="12" t="inlineStr">
        <is>
          <t>K</t>
        </is>
      </c>
      <c r="C5739" s="12" t="inlineStr">
        <is>
          <t>Fuel supply (adjacent market)</t>
        </is>
      </c>
      <c r="D5739" s="12" t="inlineStr">
        <is>
          <t>Analog instrument to JB JB-LNG-T6-AI01: 4 x 1 pr (field cables)</t>
        </is>
      </c>
      <c r="E5739" s="12" t="inlineStr">
        <is>
          <t>LNG-T6</t>
        </is>
      </c>
      <c r="F5739" s="12" t="inlineStr">
        <is>
          <t>LNG 11: tank 6, Chart HS 50000 (51,780 gal)</t>
        </is>
      </c>
      <c r="G5739" s="12" t="inlineStr">
        <is>
          <t>JB-LNG-T6-AI01</t>
        </is>
      </c>
      <c r="H5739" s="12" t="inlineStr">
        <is>
          <t>LNG 11: tank 6,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K-I-0120</t>
        </is>
      </c>
      <c r="B5740" s="12" t="inlineStr">
        <is>
          <t>K</t>
        </is>
      </c>
      <c r="C5740" s="12" t="inlineStr">
        <is>
          <t>Fuel supply (adjacent market)</t>
        </is>
      </c>
      <c r="D5740" s="12" t="inlineStr">
        <is>
          <t>Home run JB-LNG-T6-AI01 to the control / marshalling room</t>
        </is>
      </c>
      <c r="E5740" s="12" t="inlineStr"/>
      <c r="F5740" s="12" t="inlineStr">
        <is>
          <t>LNG 17: LNG e-house (13.8 kV / 480 V)</t>
        </is>
      </c>
      <c r="G5740" s="12" t="inlineStr">
        <is>
          <t>JB-LNG-T6-AI01</t>
        </is>
      </c>
      <c r="H5740" s="12" t="inlineStr">
        <is>
          <t>LNG 11: tank 6,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310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K-I-0121</t>
        </is>
      </c>
      <c r="B5741" s="12" t="inlineStr">
        <is>
          <t>K</t>
        </is>
      </c>
      <c r="C5741" s="12" t="inlineStr">
        <is>
          <t>Fuel supply (adjacent market)</t>
        </is>
      </c>
      <c r="D5741" s="12" t="inlineStr">
        <is>
          <t>Discrete device to JB JB-LNG-T6-DI01: 4 x 1 pr (field cables)</t>
        </is>
      </c>
      <c r="E5741" s="12" t="inlineStr">
        <is>
          <t>LNG-T6</t>
        </is>
      </c>
      <c r="F5741" s="12" t="inlineStr">
        <is>
          <t>LNG 11: tank 6, Chart HS 50000 (51,780 gal)</t>
        </is>
      </c>
      <c r="G5741" s="12" t="inlineStr">
        <is>
          <t>JB-LNG-T6-DI01</t>
        </is>
      </c>
      <c r="H5741" s="12" t="inlineStr">
        <is>
          <t>LNG 11: tank 6,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K-I-0122</t>
        </is>
      </c>
      <c r="B5742" s="12" t="inlineStr">
        <is>
          <t>K</t>
        </is>
      </c>
      <c r="C5742" s="12" t="inlineStr">
        <is>
          <t>Fuel supply (adjacent market)</t>
        </is>
      </c>
      <c r="D5742" s="12" t="inlineStr">
        <is>
          <t>Home run JB-LNG-T6-DI01 to the control / marshalling room</t>
        </is>
      </c>
      <c r="E5742" s="12" t="inlineStr"/>
      <c r="F5742" s="12" t="inlineStr">
        <is>
          <t>LNG 17: LNG e-house (13.8 kV / 480 V)</t>
        </is>
      </c>
      <c r="G5742" s="12" t="inlineStr">
        <is>
          <t>JB-LNG-T6-DI01</t>
        </is>
      </c>
      <c r="H5742" s="12" t="inlineStr">
        <is>
          <t>LNG 11: tank 6,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310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K-I-0123</t>
        </is>
      </c>
      <c r="B5743" s="12" t="inlineStr">
        <is>
          <t>K</t>
        </is>
      </c>
      <c r="C5743" s="12" t="inlineStr">
        <is>
          <t>Fuel supply (adjacent market)</t>
        </is>
      </c>
      <c r="D5743" s="12" t="inlineStr">
        <is>
          <t>Analog instrument to JB JB-LNG-T7-AI01: 4 x 1 pr (field cables)</t>
        </is>
      </c>
      <c r="E5743" s="12" t="inlineStr">
        <is>
          <t>LNG-T7</t>
        </is>
      </c>
      <c r="F5743" s="12" t="inlineStr">
        <is>
          <t>LNG 11: tank 7, Chart HS 50000 (51,780 gal)</t>
        </is>
      </c>
      <c r="G5743" s="12" t="inlineStr">
        <is>
          <t>JB-LNG-T7-AI01</t>
        </is>
      </c>
      <c r="H5743" s="12" t="inlineStr">
        <is>
          <t>LNG 11: tank 7, Chart HS 50000 (51,780 gal)</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4</v>
      </c>
      <c r="O5743" s="12" t="n">
        <v>1</v>
      </c>
      <c r="P5743" s="12" t="n"/>
      <c r="Q5743" s="12" t="n"/>
      <c r="R5743" s="12" t="n"/>
      <c r="S5743" s="12" t="inlineStr">
        <is>
          <t>Tray / conduit</t>
        </is>
      </c>
      <c r="T5743" s="16" t="n">
        <v>77</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K-I-0124</t>
        </is>
      </c>
      <c r="B5744" s="12" t="inlineStr">
        <is>
          <t>K</t>
        </is>
      </c>
      <c r="C5744" s="12" t="inlineStr">
        <is>
          <t>Fuel supply (adjacent market)</t>
        </is>
      </c>
      <c r="D5744" s="12" t="inlineStr">
        <is>
          <t>Home run JB-LNG-T7-AI01 to the control / marshalling room</t>
        </is>
      </c>
      <c r="E5744" s="12" t="inlineStr"/>
      <c r="F5744" s="12" t="inlineStr">
        <is>
          <t>LNG 17: LNG e-house (13.8 kV / 480 V)</t>
        </is>
      </c>
      <c r="G5744" s="12" t="inlineStr">
        <is>
          <t>JB-LNG-T7-AI01</t>
        </is>
      </c>
      <c r="H5744" s="12" t="inlineStr">
        <is>
          <t>LNG 11: tank 7, Chart HS 50000 (51,780 gal)</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330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K-I-0125</t>
        </is>
      </c>
      <c r="B5745" s="12" t="inlineStr">
        <is>
          <t>K</t>
        </is>
      </c>
      <c r="C5745" s="12" t="inlineStr">
        <is>
          <t>Fuel supply (adjacent market)</t>
        </is>
      </c>
      <c r="D5745" s="12" t="inlineStr">
        <is>
          <t>Discrete device to JB JB-LNG-T7-DI01: 4 x 1 pr (field cables)</t>
        </is>
      </c>
      <c r="E5745" s="12" t="inlineStr">
        <is>
          <t>LNG-T7</t>
        </is>
      </c>
      <c r="F5745" s="12" t="inlineStr">
        <is>
          <t>LNG 11: tank 7, Chart HS 50000 (51,780 gal)</t>
        </is>
      </c>
      <c r="G5745" s="12" t="inlineStr">
        <is>
          <t>JB-LNG-T7-DI01</t>
        </is>
      </c>
      <c r="H5745" s="12" t="inlineStr">
        <is>
          <t>LNG 11: tank 7, Chart HS 50000 (51,780 gal)</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4</v>
      </c>
      <c r="O5745" s="12" t="n">
        <v>1</v>
      </c>
      <c r="P5745" s="12" t="n"/>
      <c r="Q5745" s="12" t="n"/>
      <c r="R5745" s="12" t="n"/>
      <c r="S5745" s="12" t="inlineStr">
        <is>
          <t>Tray / conduit</t>
        </is>
      </c>
      <c r="T5745" s="16" t="n">
        <v>77</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K-I-0126</t>
        </is>
      </c>
      <c r="B5746" s="12" t="inlineStr">
        <is>
          <t>K</t>
        </is>
      </c>
      <c r="C5746" s="12" t="inlineStr">
        <is>
          <t>Fuel supply (adjacent market)</t>
        </is>
      </c>
      <c r="D5746" s="12" t="inlineStr">
        <is>
          <t>Home run JB-LNG-T7-DI01 to the control / marshalling room</t>
        </is>
      </c>
      <c r="E5746" s="12" t="inlineStr"/>
      <c r="F5746" s="12" t="inlineStr">
        <is>
          <t>LNG 17: LNG e-house (13.8 kV / 480 V)</t>
        </is>
      </c>
      <c r="G5746" s="12" t="inlineStr">
        <is>
          <t>JB-LNG-T7-DI01</t>
        </is>
      </c>
      <c r="H5746" s="12" t="inlineStr">
        <is>
          <t>LNG 11: tank 7, Chart HS 50000 (51,780 gal)</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330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K-I-0127</t>
        </is>
      </c>
      <c r="B5747" s="12" t="inlineStr">
        <is>
          <t>K</t>
        </is>
      </c>
      <c r="C5747" s="12" t="inlineStr">
        <is>
          <t>Fuel supply (adjacent market)</t>
        </is>
      </c>
      <c r="D5747" s="12" t="inlineStr">
        <is>
          <t>Analog instrument to JB JB-LNG-T8-AI01: 4 x 1 pr (field cables)</t>
        </is>
      </c>
      <c r="E5747" s="12" t="inlineStr">
        <is>
          <t>LNG-T8</t>
        </is>
      </c>
      <c r="F5747" s="12" t="inlineStr">
        <is>
          <t>LNG 11: tank 8, Chart HS 50000 (51,780 gal)</t>
        </is>
      </c>
      <c r="G5747" s="12" t="inlineStr">
        <is>
          <t>JB-LNG-T8-AI01</t>
        </is>
      </c>
      <c r="H5747" s="12" t="inlineStr">
        <is>
          <t>LNG 11: tank 8, Chart HS 50000 (51,780 gal)</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4</v>
      </c>
      <c r="O5747" s="12" t="n">
        <v>1</v>
      </c>
      <c r="P5747" s="12" t="n"/>
      <c r="Q5747" s="12" t="n"/>
      <c r="R5747" s="12" t="n"/>
      <c r="S5747" s="12" t="inlineStr">
        <is>
          <t>Tray / conduit</t>
        </is>
      </c>
      <c r="T5747" s="16" t="n">
        <v>77</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K-I-0128</t>
        </is>
      </c>
      <c r="B5748" s="12" t="inlineStr">
        <is>
          <t>K</t>
        </is>
      </c>
      <c r="C5748" s="12" t="inlineStr">
        <is>
          <t>Fuel supply (adjacent market)</t>
        </is>
      </c>
      <c r="D5748" s="12" t="inlineStr">
        <is>
          <t>Home run JB-LNG-T8-AI01 to the control / marshalling room</t>
        </is>
      </c>
      <c r="E5748" s="12" t="inlineStr"/>
      <c r="F5748" s="12" t="inlineStr">
        <is>
          <t>LNG 17: LNG e-house (13.8 kV / 480 V)</t>
        </is>
      </c>
      <c r="G5748" s="12" t="inlineStr">
        <is>
          <t>JB-LNG-T8-AI01</t>
        </is>
      </c>
      <c r="H5748" s="12" t="inlineStr">
        <is>
          <t>LNG 11: tank 8, Chart HS 50000 (51,780 gal)</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350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K-I-0129</t>
        </is>
      </c>
      <c r="B5749" s="12" t="inlineStr">
        <is>
          <t>K</t>
        </is>
      </c>
      <c r="C5749" s="12" t="inlineStr">
        <is>
          <t>Fuel supply (adjacent market)</t>
        </is>
      </c>
      <c r="D5749" s="12" t="inlineStr">
        <is>
          <t>Discrete device to JB JB-LNG-T8-DI01: 4 x 1 pr (field cables)</t>
        </is>
      </c>
      <c r="E5749" s="12" t="inlineStr">
        <is>
          <t>LNG-T8</t>
        </is>
      </c>
      <c r="F5749" s="12" t="inlineStr">
        <is>
          <t>LNG 11: tank 8, Chart HS 50000 (51,780 gal)</t>
        </is>
      </c>
      <c r="G5749" s="12" t="inlineStr">
        <is>
          <t>JB-LNG-T8-DI01</t>
        </is>
      </c>
      <c r="H5749" s="12" t="inlineStr">
        <is>
          <t>LNG 11: tank 8, Chart HS 50000 (51,780 gal)</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4</v>
      </c>
      <c r="O5749" s="12" t="n">
        <v>1</v>
      </c>
      <c r="P5749" s="12" t="n"/>
      <c r="Q5749" s="12" t="n"/>
      <c r="R5749" s="12" t="n"/>
      <c r="S5749" s="12" t="inlineStr">
        <is>
          <t>Tray / conduit</t>
        </is>
      </c>
      <c r="T5749" s="16" t="n">
        <v>77</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K-I-0130</t>
        </is>
      </c>
      <c r="B5750" s="12" t="inlineStr">
        <is>
          <t>K</t>
        </is>
      </c>
      <c r="C5750" s="12" t="inlineStr">
        <is>
          <t>Fuel supply (adjacent market)</t>
        </is>
      </c>
      <c r="D5750" s="12" t="inlineStr">
        <is>
          <t>Home run JB-LNG-T8-DI01 to the control / marshalling room</t>
        </is>
      </c>
      <c r="E5750" s="12" t="inlineStr"/>
      <c r="F5750" s="12" t="inlineStr">
        <is>
          <t>LNG 17: LNG e-house (13.8 kV / 480 V)</t>
        </is>
      </c>
      <c r="G5750" s="12" t="inlineStr">
        <is>
          <t>JB-LNG-T8-DI01</t>
        </is>
      </c>
      <c r="H5750" s="12" t="inlineStr">
        <is>
          <t>LNG 11: tank 8, Chart HS 50000 (51,780 gal)</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350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K-I-0131</t>
        </is>
      </c>
      <c r="B5751" s="12" t="inlineStr">
        <is>
          <t>K</t>
        </is>
      </c>
      <c r="C5751" s="12" t="inlineStr">
        <is>
          <t>Fuel supply (adjacent market)</t>
        </is>
      </c>
      <c r="D5751" s="12" t="inlineStr">
        <is>
          <t>Analog instrument to JB JB-LNG 12: spill impo-AI01: 12 x 1 pr (field cables)</t>
        </is>
      </c>
      <c r="E5751" s="12" t="inlineStr"/>
      <c r="F5751" s="12" t="inlineStr">
        <is>
          <t>LNG 12: spill impoundment (NFPA 59A, to verify)</t>
        </is>
      </c>
      <c r="G5751" s="12" t="inlineStr">
        <is>
          <t>JB-LNG 12: spill impo-AI01</t>
        </is>
      </c>
      <c r="H5751" s="12" t="inlineStr">
        <is>
          <t>LNG 12: spill impoundment (NFPA 59A, to verify)</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170</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K-I-0132</t>
        </is>
      </c>
      <c r="B5752" s="12" t="inlineStr">
        <is>
          <t>K</t>
        </is>
      </c>
      <c r="C5752" s="12" t="inlineStr">
        <is>
          <t>Fuel supply (adjacent market)</t>
        </is>
      </c>
      <c r="D5752" s="12" t="inlineStr">
        <is>
          <t>Home run JB-LNG 12: spill impo-AI01 to the control / marshalling room</t>
        </is>
      </c>
      <c r="E5752" s="12" t="inlineStr"/>
      <c r="F5752" s="12" t="inlineStr">
        <is>
          <t>LNG 17: LNG e-house (13.8 kV / 480 V)</t>
        </is>
      </c>
      <c r="G5752" s="12" t="inlineStr">
        <is>
          <t>JB-LNG 12: spill impo-AI01</t>
        </is>
      </c>
      <c r="H5752" s="12" t="inlineStr">
        <is>
          <t>LNG 12: spill impoundment (NFPA 59A, to verify)</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230</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K-I-0133</t>
        </is>
      </c>
      <c r="B5753" s="12" t="inlineStr">
        <is>
          <t>K</t>
        </is>
      </c>
      <c r="C5753" s="12" t="inlineStr">
        <is>
          <t>Fuel supply (adjacent market)</t>
        </is>
      </c>
      <c r="D5753" s="12" t="inlineStr">
        <is>
          <t>Discrete device to JB JB-LNG 12: spill impo-DI01: 12 x 1 pr (field cables)</t>
        </is>
      </c>
      <c r="E5753" s="12" t="inlineStr"/>
      <c r="F5753" s="12" t="inlineStr">
        <is>
          <t>LNG 12: spill impoundment (NFPA 59A, to verify)</t>
        </is>
      </c>
      <c r="G5753" s="12" t="inlineStr">
        <is>
          <t>JB-LNG 12: spill impo-DI01</t>
        </is>
      </c>
      <c r="H5753" s="12" t="inlineStr">
        <is>
          <t>LNG 12: spill impoundment (NFPA 59A, to verify)</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170</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K-I-0134</t>
        </is>
      </c>
      <c r="B5754" s="12" t="inlineStr">
        <is>
          <t>K</t>
        </is>
      </c>
      <c r="C5754" s="12" t="inlineStr">
        <is>
          <t>Fuel supply (adjacent market)</t>
        </is>
      </c>
      <c r="D5754" s="12" t="inlineStr">
        <is>
          <t>Home run JB-LNG 12: spill impo-DI01 to the control / marshalling room</t>
        </is>
      </c>
      <c r="E5754" s="12" t="inlineStr"/>
      <c r="F5754" s="12" t="inlineStr">
        <is>
          <t>LNG 17: LNG e-house (13.8 kV / 480 V)</t>
        </is>
      </c>
      <c r="G5754" s="12" t="inlineStr">
        <is>
          <t>JB-LNG 12: spill impo-DI01</t>
        </is>
      </c>
      <c r="H5754" s="12" t="inlineStr">
        <is>
          <t>LNG 12: spill impoundment (NFPA 59A, to verify)</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230</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K-I-0135</t>
        </is>
      </c>
      <c r="B5755" s="12" t="inlineStr">
        <is>
          <t>K</t>
        </is>
      </c>
      <c r="C5755" s="12" t="inlineStr">
        <is>
          <t>Fuel supply (adjacent market)</t>
        </is>
      </c>
      <c r="D5755" s="12" t="inlineStr">
        <is>
          <t>Analog instrument to JB JB-LNG 13: send-out p-AI01: 12 x 1 pr (field cables)</t>
        </is>
      </c>
      <c r="E5755" s="12" t="inlineStr"/>
      <c r="F5755" s="12" t="inlineStr">
        <is>
          <t>LNG 13: send-out pumps 2 x 100%</t>
        </is>
      </c>
      <c r="G5755" s="12" t="inlineStr">
        <is>
          <t>JB-LNG 13: send-out p-AI01</t>
        </is>
      </c>
      <c r="H5755" s="12" t="inlineStr">
        <is>
          <t>LNG 13: send-out pumps 2 x 100%</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63</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K-I-0136</t>
        </is>
      </c>
      <c r="B5756" s="12" t="inlineStr">
        <is>
          <t>K</t>
        </is>
      </c>
      <c r="C5756" s="12" t="inlineStr">
        <is>
          <t>Fuel supply (adjacent market)</t>
        </is>
      </c>
      <c r="D5756" s="12" t="inlineStr">
        <is>
          <t>Home run JB-LNG 13: send-out p-AI01 to the control / marshalling room</t>
        </is>
      </c>
      <c r="E5756" s="12" t="inlineStr"/>
      <c r="F5756" s="12" t="inlineStr">
        <is>
          <t>LNG 17: LNG e-house (13.8 kV / 480 V)</t>
        </is>
      </c>
      <c r="G5756" s="12" t="inlineStr">
        <is>
          <t>JB-LNG 13: send-out p-AI01</t>
        </is>
      </c>
      <c r="H5756" s="12" t="inlineStr">
        <is>
          <t>LNG 13: send-out pumps 2 x 100%</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110</v>
      </c>
      <c r="U5756" s="16" t="n">
        <v>32</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K-I-0137</t>
        </is>
      </c>
      <c r="B5757" s="12" t="inlineStr">
        <is>
          <t>K</t>
        </is>
      </c>
      <c r="C5757" s="12" t="inlineStr">
        <is>
          <t>Fuel supply (adjacent market)</t>
        </is>
      </c>
      <c r="D5757" s="12" t="inlineStr">
        <is>
          <t>Discrete device to JB JB-LNG 13: send-out p-DI01: 12 x 1 pr (field cables)</t>
        </is>
      </c>
      <c r="E5757" s="12" t="inlineStr"/>
      <c r="F5757" s="12" t="inlineStr">
        <is>
          <t>LNG 13: send-out pumps 2 x 100%</t>
        </is>
      </c>
      <c r="G5757" s="12" t="inlineStr">
        <is>
          <t>JB-LNG 13: send-out p-DI01</t>
        </is>
      </c>
      <c r="H5757" s="12" t="inlineStr">
        <is>
          <t>LNG 13: send-out pumps 2 x 100%</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63</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K-I-0138</t>
        </is>
      </c>
      <c r="B5758" s="12" t="inlineStr">
        <is>
          <t>K</t>
        </is>
      </c>
      <c r="C5758" s="12" t="inlineStr">
        <is>
          <t>Fuel supply (adjacent market)</t>
        </is>
      </c>
      <c r="D5758" s="12" t="inlineStr">
        <is>
          <t>Home run JB-LNG 13: send-out p-DI01 to the control / marshalling room</t>
        </is>
      </c>
      <c r="E5758" s="12" t="inlineStr"/>
      <c r="F5758" s="12" t="inlineStr">
        <is>
          <t>LNG 17: LNG e-house (13.8 kV / 480 V)</t>
        </is>
      </c>
      <c r="G5758" s="12" t="inlineStr">
        <is>
          <t>JB-LNG 13: send-out p-DI01</t>
        </is>
      </c>
      <c r="H5758" s="12" t="inlineStr">
        <is>
          <t>LNG 13: send-out pumps 2 x 100%</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110</v>
      </c>
      <c r="U5758" s="16" t="n">
        <v>32</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K-I-0139</t>
        </is>
      </c>
      <c r="B5759" s="12" t="inlineStr">
        <is>
          <t>K</t>
        </is>
      </c>
      <c r="C5759" s="12" t="inlineStr">
        <is>
          <t>Fuel supply (adjacent market)</t>
        </is>
      </c>
      <c r="D5759" s="12" t="inlineStr">
        <is>
          <t>Analog instrument to JB JB-LNG 14: vaporizers-AI01: 12 x 1 pr (field cables)</t>
        </is>
      </c>
      <c r="E5759" s="12" t="inlineStr"/>
      <c r="F5759" s="12" t="inlineStr">
        <is>
          <t>LNG 14: vaporizers + glycol heater</t>
        </is>
      </c>
      <c r="G5759" s="12" t="inlineStr">
        <is>
          <t>JB-LNG 14: vaporizers-AI01</t>
        </is>
      </c>
      <c r="H5759" s="12" t="inlineStr">
        <is>
          <t>LNG 14: vaporizers + glycol heater</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122</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K-I-0140</t>
        </is>
      </c>
      <c r="B5760" s="12" t="inlineStr">
        <is>
          <t>K</t>
        </is>
      </c>
      <c r="C5760" s="12" t="inlineStr">
        <is>
          <t>Fuel supply (adjacent market)</t>
        </is>
      </c>
      <c r="D5760" s="12" t="inlineStr">
        <is>
          <t>Home run JB-LNG 14: vaporizers-AI01 to the control / marshalling room</t>
        </is>
      </c>
      <c r="E5760" s="12" t="inlineStr"/>
      <c r="F5760" s="12" t="inlineStr">
        <is>
          <t>LNG 17: LNG e-house (13.8 kV / 480 V)</t>
        </is>
      </c>
      <c r="G5760" s="12" t="inlineStr">
        <is>
          <t>JB-LNG 14: vaporizers-AI01</t>
        </is>
      </c>
      <c r="H5760" s="12" t="inlineStr">
        <is>
          <t>LNG 14: vaporizers + glycol heater</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259</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K-I-0141</t>
        </is>
      </c>
      <c r="B5761" s="12" t="inlineStr">
        <is>
          <t>K</t>
        </is>
      </c>
      <c r="C5761" s="12" t="inlineStr">
        <is>
          <t>Fuel supply (adjacent market)</t>
        </is>
      </c>
      <c r="D5761" s="12" t="inlineStr">
        <is>
          <t>Discrete device to JB JB-LNG 14: vaporizers-DI01: 12 x 1 pr (field cables)</t>
        </is>
      </c>
      <c r="E5761" s="12" t="inlineStr"/>
      <c r="F5761" s="12" t="inlineStr">
        <is>
          <t>LNG 14: vaporizers + glycol heater</t>
        </is>
      </c>
      <c r="G5761" s="12" t="inlineStr">
        <is>
          <t>JB-LNG 14: vaporizers-DI01</t>
        </is>
      </c>
      <c r="H5761" s="12" t="inlineStr">
        <is>
          <t>LNG 14: vaporizers + glycol heater</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122</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K-I-0142</t>
        </is>
      </c>
      <c r="B5762" s="12" t="inlineStr">
        <is>
          <t>K</t>
        </is>
      </c>
      <c r="C5762" s="12" t="inlineStr">
        <is>
          <t>Fuel supply (adjacent market)</t>
        </is>
      </c>
      <c r="D5762" s="12" t="inlineStr">
        <is>
          <t>Home run JB-LNG 14: vaporizers-DI01 to the control / marshalling room</t>
        </is>
      </c>
      <c r="E5762" s="12" t="inlineStr"/>
      <c r="F5762" s="12" t="inlineStr">
        <is>
          <t>LNG 17: LNG e-house (13.8 kV / 480 V)</t>
        </is>
      </c>
      <c r="G5762" s="12" t="inlineStr">
        <is>
          <t>JB-LNG 14: vaporizers-DI01</t>
        </is>
      </c>
      <c r="H5762" s="12" t="inlineStr">
        <is>
          <t>LNG 14: vaporizers + glycol heater</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259</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K-I-0143</t>
        </is>
      </c>
      <c r="B5763" s="12" t="inlineStr">
        <is>
          <t>K</t>
        </is>
      </c>
      <c r="C5763" s="12" t="inlineStr">
        <is>
          <t>Fuel supply (adjacent market)</t>
        </is>
      </c>
      <c r="D5763" s="12" t="inlineStr">
        <is>
          <t>Analog instrument to JB JB-LNG 15: boil-off g-AI01: 12 x 1 pr (field cables)</t>
        </is>
      </c>
      <c r="E5763" s="12" t="inlineStr"/>
      <c r="F5763" s="12" t="inlineStr">
        <is>
          <t>LNG 15: boil-off gas compressor</t>
        </is>
      </c>
      <c r="G5763" s="12" t="inlineStr">
        <is>
          <t>JB-LNG 15: boil-off g-AI01</t>
        </is>
      </c>
      <c r="H5763" s="12" t="inlineStr">
        <is>
          <t>LNG 15: boil-off gas compressor</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67</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K-I-0144</t>
        </is>
      </c>
      <c r="B5764" s="12" t="inlineStr">
        <is>
          <t>K</t>
        </is>
      </c>
      <c r="C5764" s="12" t="inlineStr">
        <is>
          <t>Fuel supply (adjacent market)</t>
        </is>
      </c>
      <c r="D5764" s="12" t="inlineStr">
        <is>
          <t>Home run JB-LNG 15: boil-off g-AI01 to the control / marshalling room</t>
        </is>
      </c>
      <c r="E5764" s="12" t="inlineStr"/>
      <c r="F5764" s="12" t="inlineStr">
        <is>
          <t>LNG 17: LNG e-house (13.8 kV / 480 V)</t>
        </is>
      </c>
      <c r="G5764" s="12" t="inlineStr">
        <is>
          <t>JB-LNG 15: boil-off g-AI01</t>
        </is>
      </c>
      <c r="H5764" s="12" t="inlineStr">
        <is>
          <t>LNG 15: boil-off gas compressor</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Duct bank</t>
        </is>
      </c>
      <c r="T5764" s="16" t="n">
        <v>25</v>
      </c>
      <c r="U5764" s="16" t="n">
        <v>54</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K-I-0145</t>
        </is>
      </c>
      <c r="B5765" s="12" t="inlineStr">
        <is>
          <t>K</t>
        </is>
      </c>
      <c r="C5765" s="12" t="inlineStr">
        <is>
          <t>Fuel supply (adjacent market)</t>
        </is>
      </c>
      <c r="D5765" s="12" t="inlineStr">
        <is>
          <t>Discrete device to JB JB-LNG 15: boil-off g-DI01: 12 x 1 pr (field cables)</t>
        </is>
      </c>
      <c r="E5765" s="12" t="inlineStr"/>
      <c r="F5765" s="12" t="inlineStr">
        <is>
          <t>LNG 15: boil-off gas compressor</t>
        </is>
      </c>
      <c r="G5765" s="12" t="inlineStr">
        <is>
          <t>JB-LNG 15: boil-off g-DI01</t>
        </is>
      </c>
      <c r="H5765" s="12" t="inlineStr">
        <is>
          <t>LNG 15: boil-off gas compressor</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67</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K-I-0146</t>
        </is>
      </c>
      <c r="B5766" s="12" t="inlineStr">
        <is>
          <t>K</t>
        </is>
      </c>
      <c r="C5766" s="12" t="inlineStr">
        <is>
          <t>Fuel supply (adjacent market)</t>
        </is>
      </c>
      <c r="D5766" s="12" t="inlineStr">
        <is>
          <t>Home run JB-LNG 15: boil-off g-DI01 to the control / marshalling room</t>
        </is>
      </c>
      <c r="E5766" s="12" t="inlineStr"/>
      <c r="F5766" s="12" t="inlineStr">
        <is>
          <t>LNG 17: LNG e-house (13.8 kV / 480 V)</t>
        </is>
      </c>
      <c r="G5766" s="12" t="inlineStr">
        <is>
          <t>JB-LNG 15: boil-off g-DI01</t>
        </is>
      </c>
      <c r="H5766" s="12" t="inlineStr">
        <is>
          <t>LNG 15: boil-off gas compressor</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Duct bank</t>
        </is>
      </c>
      <c r="T5766" s="16" t="n">
        <v>25</v>
      </c>
      <c r="U5766" s="16" t="n">
        <v>54</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K-I-0147</t>
        </is>
      </c>
      <c r="B5767" s="12" t="inlineStr">
        <is>
          <t>K</t>
        </is>
      </c>
      <c r="C5767" s="12" t="inlineStr">
        <is>
          <t>Fuel supply (adjacent market)</t>
        </is>
      </c>
      <c r="D5767" s="12" t="inlineStr">
        <is>
          <t>Analog instrument to JB JB-LNG 16: send-out m-AI01: 12 x 1 pr (field cables)</t>
        </is>
      </c>
      <c r="E5767" s="12" t="inlineStr"/>
      <c r="F5767" s="12" t="inlineStr">
        <is>
          <t>LNG 16: send-out metering + pressure control</t>
        </is>
      </c>
      <c r="G5767" s="12" t="inlineStr">
        <is>
          <t>JB-LNG 16: send-out m-AI01</t>
        </is>
      </c>
      <c r="H5767" s="12" t="inlineStr">
        <is>
          <t>LNG 16: send-out metering + pressure control</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74</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K-I-0148</t>
        </is>
      </c>
      <c r="B5768" s="12" t="inlineStr">
        <is>
          <t>K</t>
        </is>
      </c>
      <c r="C5768" s="12" t="inlineStr">
        <is>
          <t>Fuel supply (adjacent market)</t>
        </is>
      </c>
      <c r="D5768" s="12" t="inlineStr">
        <is>
          <t>Home run JB-LNG 16: send-out m-AI01 to the control / marshalling room</t>
        </is>
      </c>
      <c r="E5768" s="12" t="inlineStr"/>
      <c r="F5768" s="12" t="inlineStr">
        <is>
          <t>LNG 17: LNG e-house (13.8 kV / 480 V)</t>
        </is>
      </c>
      <c r="G5768" s="12" t="inlineStr">
        <is>
          <t>JB-LNG 16: send-out m-AI01</t>
        </is>
      </c>
      <c r="H5768" s="12" t="inlineStr">
        <is>
          <t>LNG 16: send-out metering + pressure control</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20</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K-I-0149</t>
        </is>
      </c>
      <c r="B5769" s="12" t="inlineStr">
        <is>
          <t>K</t>
        </is>
      </c>
      <c r="C5769" s="12" t="inlineStr">
        <is>
          <t>Fuel supply (adjacent market)</t>
        </is>
      </c>
      <c r="D5769" s="12" t="inlineStr">
        <is>
          <t>Discrete device to JB JB-LNG 16: send-out m-DI01: 12 x 1 pr (field cables)</t>
        </is>
      </c>
      <c r="E5769" s="12" t="inlineStr"/>
      <c r="F5769" s="12" t="inlineStr">
        <is>
          <t>LNG 16: send-out metering + pressure control</t>
        </is>
      </c>
      <c r="G5769" s="12" t="inlineStr">
        <is>
          <t>JB-LNG 16: send-out m-DI01</t>
        </is>
      </c>
      <c r="H5769" s="12" t="inlineStr">
        <is>
          <t>LNG 16: send-out metering + pressure control</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74</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K-I-0150</t>
        </is>
      </c>
      <c r="B5770" s="12" t="inlineStr">
        <is>
          <t>K</t>
        </is>
      </c>
      <c r="C5770" s="12" t="inlineStr">
        <is>
          <t>Fuel supply (adjacent market)</t>
        </is>
      </c>
      <c r="D5770" s="12" t="inlineStr">
        <is>
          <t>Home run JB-LNG 16: send-out m-DI01 to the control / marshalling room</t>
        </is>
      </c>
      <c r="E5770" s="12" t="inlineStr"/>
      <c r="F5770" s="12" t="inlineStr">
        <is>
          <t>LNG 17: LNG e-house (13.8 kV / 480 V)</t>
        </is>
      </c>
      <c r="G5770" s="12" t="inlineStr">
        <is>
          <t>JB-LNG 16: send-out m-DI01</t>
        </is>
      </c>
      <c r="H5770" s="12" t="inlineStr">
        <is>
          <t>LNG 16: send-out metering + pressure control</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20</v>
      </c>
      <c r="U5770" s="16" t="n">
        <v>32</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K-I-0151</t>
        </is>
      </c>
      <c r="B5771" s="12" t="inlineStr">
        <is>
          <t>K</t>
        </is>
      </c>
      <c r="C5771" s="12" t="inlineStr">
        <is>
          <t>Fuel supply (adjacent market)</t>
        </is>
      </c>
      <c r="D5771" s="12" t="inlineStr">
        <is>
          <t>Analog instrument to JB JB-LNG 17: LNG e-hous-AI01: 12 x 1 pr (field cables)</t>
        </is>
      </c>
      <c r="E5771" s="12" t="inlineStr"/>
      <c r="F5771" s="12" t="inlineStr">
        <is>
          <t>LNG 17: LNG e-house (13.8 kV / 480 V)</t>
        </is>
      </c>
      <c r="G5771" s="12" t="inlineStr">
        <is>
          <t>JB-LNG 17: LNG e-hous-AI01</t>
        </is>
      </c>
      <c r="H5771" s="12" t="inlineStr">
        <is>
          <t>LNG 17: LNG e-house (13.8 kV / 480 V)</t>
        </is>
      </c>
      <c r="I5771" s="12" t="inlineStr">
        <is>
          <t>Instrumentation</t>
        </is>
      </c>
      <c r="J5771" s="12" t="inlineStr">
        <is>
          <t>Instrumentation ITC / PLTC, IS, #18 shielded pairs, blue jacket</t>
        </is>
      </c>
      <c r="K5771" s="12" t="inlineStr">
        <is>
          <t>ITC|1 pr|16</t>
        </is>
      </c>
      <c r="L5771" s="12" t="inlineStr">
        <is>
          <t>1 pr</t>
        </is>
      </c>
      <c r="M5771" s="12" t="inlineStr">
        <is>
          <t>16</t>
        </is>
      </c>
      <c r="N5771" s="12" t="n">
        <v>12</v>
      </c>
      <c r="O5771" s="12" t="n">
        <v>1</v>
      </c>
      <c r="P5771" s="12" t="n"/>
      <c r="Q5771" s="12" t="n"/>
      <c r="R5771" s="12" t="n"/>
      <c r="S5771" s="12" t="inlineStr">
        <is>
          <t>Tray / conduit</t>
        </is>
      </c>
      <c r="T5771" s="16" t="n">
        <v>58</v>
      </c>
      <c r="U5771" s="16" t="n">
        <v>10</v>
      </c>
      <c r="V5771" s="16">
        <f>ROUNDUP((T5771+U5771+2*'Read Me'!$B$13)*(1+'Read Me'!$B$12),-1)</f>
        <v/>
      </c>
      <c r="W5771" s="16">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K-I-0152</t>
        </is>
      </c>
      <c r="B5772" s="12" t="inlineStr">
        <is>
          <t>K</t>
        </is>
      </c>
      <c r="C5772" s="12" t="inlineStr">
        <is>
          <t>Fuel supply (adjacent market)</t>
        </is>
      </c>
      <c r="D5772" s="12" t="inlineStr">
        <is>
          <t>Home run JB-LNG 17: LNG e-hous-AI01 to the control / marshalling room</t>
        </is>
      </c>
      <c r="E5772" s="12" t="inlineStr"/>
      <c r="F5772" s="12" t="inlineStr">
        <is>
          <t>LNG 17: LNG e-house (13.8 kV / 480 V)</t>
        </is>
      </c>
      <c r="G5772" s="12" t="inlineStr">
        <is>
          <t>JB-LNG 17: LNG e-hous-AI01</t>
        </is>
      </c>
      <c r="H5772" s="12" t="inlineStr">
        <is>
          <t>LNG 17: LNG e-house (13.8 kV / 480 V)</t>
        </is>
      </c>
      <c r="I5772" s="12" t="inlineStr">
        <is>
          <t>Instrumentation</t>
        </is>
      </c>
      <c r="J5772" s="12" t="inlineStr">
        <is>
          <t>Instrumentation ITC / PLTC, IS, #18 shielded pairs, blue jacket</t>
        </is>
      </c>
      <c r="K5772" s="12" t="inlineStr">
        <is>
          <t>ITC|24 pr|18</t>
        </is>
      </c>
      <c r="L5772" s="12" t="inlineStr">
        <is>
          <t>24 pr</t>
        </is>
      </c>
      <c r="M5772" s="12" t="inlineStr">
        <is>
          <t>18</t>
        </is>
      </c>
      <c r="N5772" s="12" t="n">
        <v>1</v>
      </c>
      <c r="O5772" s="12" t="n">
        <v>1</v>
      </c>
      <c r="P5772" s="12" t="n"/>
      <c r="Q5772" s="12" t="n"/>
      <c r="R5772" s="12" t="n"/>
      <c r="S5772" s="12" t="inlineStr">
        <is>
          <t>Tray</t>
        </is>
      </c>
      <c r="T5772" s="16" t="n">
        <v>0</v>
      </c>
      <c r="U5772" s="16" t="n">
        <v>32</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K-I-0153</t>
        </is>
      </c>
      <c r="B5773" s="12" t="inlineStr">
        <is>
          <t>K</t>
        </is>
      </c>
      <c r="C5773" s="12" t="inlineStr">
        <is>
          <t>Fuel supply (adjacent market)</t>
        </is>
      </c>
      <c r="D5773" s="12" t="inlineStr">
        <is>
          <t>Discrete device to JB JB-LNG 17: LNG e-hous-DI01: 12 x 1 pr (field cables)</t>
        </is>
      </c>
      <c r="E5773" s="12" t="inlineStr"/>
      <c r="F5773" s="12" t="inlineStr">
        <is>
          <t>LNG 17: LNG e-house (13.8 kV / 480 V)</t>
        </is>
      </c>
      <c r="G5773" s="12" t="inlineStr">
        <is>
          <t>JB-LNG 17: LNG e-hous-DI01</t>
        </is>
      </c>
      <c r="H5773" s="12" t="inlineStr">
        <is>
          <t>LNG 17: LNG e-house (13.8 kV / 480 V)</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12</v>
      </c>
      <c r="O5773" s="12" t="n">
        <v>1</v>
      </c>
      <c r="P5773" s="12" t="n"/>
      <c r="Q5773" s="12" t="n"/>
      <c r="R5773" s="12" t="n"/>
      <c r="S5773" s="12" t="inlineStr">
        <is>
          <t>Tray / conduit</t>
        </is>
      </c>
      <c r="T5773" s="16" t="n">
        <v>58</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K-I-0154</t>
        </is>
      </c>
      <c r="B5774" s="12" t="inlineStr">
        <is>
          <t>K</t>
        </is>
      </c>
      <c r="C5774" s="12" t="inlineStr">
        <is>
          <t>Fuel supply (adjacent market)</t>
        </is>
      </c>
      <c r="D5774" s="12" t="inlineStr">
        <is>
          <t>Home run JB-LNG 17: LNG e-hous-DI01 to the control / marshalling room</t>
        </is>
      </c>
      <c r="E5774" s="12" t="inlineStr"/>
      <c r="F5774" s="12" t="inlineStr">
        <is>
          <t>LNG 17: LNG e-house (13.8 kV / 480 V)</t>
        </is>
      </c>
      <c r="G5774" s="12" t="inlineStr">
        <is>
          <t>JB-LNG 17: LNG e-hous-DI01</t>
        </is>
      </c>
      <c r="H5774" s="12" t="inlineStr">
        <is>
          <t>LNG 17: LNG e-house (13.8 kV / 480 V)</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Tray</t>
        </is>
      </c>
      <c r="T5774" s="16" t="n">
        <v>0</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K-I-0155</t>
        </is>
      </c>
      <c r="B5775" s="12" t="inlineStr">
        <is>
          <t>K</t>
        </is>
      </c>
      <c r="C5775" s="12" t="inlineStr">
        <is>
          <t>Fuel supply (adjacent market)</t>
        </is>
      </c>
      <c r="D5775" s="12" t="inlineStr">
        <is>
          <t>Analog instrument to JB JB-LNG 18: vent stack-AI01: 12 x 1 pr (field cables)</t>
        </is>
      </c>
      <c r="E5775" s="12" t="inlineStr"/>
      <c r="F5775" s="12" t="inlineStr">
        <is>
          <t>LNG 18: vent stack</t>
        </is>
      </c>
      <c r="G5775" s="12" t="inlineStr">
        <is>
          <t>JB-LNG 18: vent stack-AI01</t>
        </is>
      </c>
      <c r="H5775" s="12" t="inlineStr">
        <is>
          <t>LNG 18: vent stack</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12</v>
      </c>
      <c r="O5775" s="12" t="n">
        <v>1</v>
      </c>
      <c r="P5775" s="12" t="n"/>
      <c r="Q5775" s="12" t="n"/>
      <c r="R5775" s="12" t="n"/>
      <c r="S5775" s="12" t="inlineStr">
        <is>
          <t>Tray / conduit</t>
        </is>
      </c>
      <c r="T5775" s="16" t="n">
        <v>55</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K-I-0156</t>
        </is>
      </c>
      <c r="B5776" s="12" t="inlineStr">
        <is>
          <t>K</t>
        </is>
      </c>
      <c r="C5776" s="12" t="inlineStr">
        <is>
          <t>Fuel supply (adjacent market)</t>
        </is>
      </c>
      <c r="D5776" s="12" t="inlineStr">
        <is>
          <t>Home run JB-LNG 18: vent stack-AI01 to the control / marshalling room</t>
        </is>
      </c>
      <c r="E5776" s="12" t="inlineStr"/>
      <c r="F5776" s="12" t="inlineStr">
        <is>
          <t>LNG 17: LNG e-house (13.8 kV / 480 V)</t>
        </is>
      </c>
      <c r="G5776" s="12" t="inlineStr">
        <is>
          <t>JB-LNG 18: vent stack-AI01</t>
        </is>
      </c>
      <c r="H5776" s="12" t="inlineStr">
        <is>
          <t>LNG 18: vent stack</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25</v>
      </c>
      <c r="U5776" s="16" t="n">
        <v>117</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K-I-0157</t>
        </is>
      </c>
      <c r="B5777" s="12" t="inlineStr">
        <is>
          <t>K</t>
        </is>
      </c>
      <c r="C5777" s="12" t="inlineStr">
        <is>
          <t>Fuel supply (adjacent market)</t>
        </is>
      </c>
      <c r="D5777" s="12" t="inlineStr">
        <is>
          <t>Discrete device to JB JB-LNG 18: vent stack-DI01: 12 x 1 pr (field cables)</t>
        </is>
      </c>
      <c r="E5777" s="12" t="inlineStr"/>
      <c r="F5777" s="12" t="inlineStr">
        <is>
          <t>LNG 18: vent stack</t>
        </is>
      </c>
      <c r="G5777" s="12" t="inlineStr">
        <is>
          <t>JB-LNG 18: vent stack-DI01</t>
        </is>
      </c>
      <c r="H5777" s="12" t="inlineStr">
        <is>
          <t>LNG 18: vent stack</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55</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K-I-0158</t>
        </is>
      </c>
      <c r="B5778" s="12" t="inlineStr">
        <is>
          <t>K</t>
        </is>
      </c>
      <c r="C5778" s="12" t="inlineStr">
        <is>
          <t>Fuel supply (adjacent market)</t>
        </is>
      </c>
      <c r="D5778" s="12" t="inlineStr">
        <is>
          <t>Home run JB-LNG 18: vent stack-DI01 to the control / marshalling room</t>
        </is>
      </c>
      <c r="E5778" s="12" t="inlineStr"/>
      <c r="F5778" s="12" t="inlineStr">
        <is>
          <t>LNG 17: LNG e-house (13.8 kV / 480 V)</t>
        </is>
      </c>
      <c r="G5778" s="12" t="inlineStr">
        <is>
          <t>JB-LNG 18: vent stack-DI01</t>
        </is>
      </c>
      <c r="H5778" s="12" t="inlineStr">
        <is>
          <t>LNG 18: vent stack</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25</v>
      </c>
      <c r="U5778" s="16" t="n">
        <v>117</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K-I-0159</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LNG impoundment sump pump</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334</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K-I-0160</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1: pig receiver, lateral terminus</t>
        </is>
      </c>
      <c r="I5780" s="12" t="inlineStr">
        <is>
          <t>Instrumentation</t>
        </is>
      </c>
      <c r="J5780" s="12" t="inlineStr">
        <is>
          <t>Instrumentation ITC / PLTC, IS, #18 shielded pairs, blue jacket</t>
        </is>
      </c>
      <c r="K5780" s="12" t="inlineStr">
        <is>
          <t>ITC|4 pr|18</t>
        </is>
      </c>
      <c r="L5780" s="12" t="inlineStr">
        <is>
          <t>4 pr</t>
        </is>
      </c>
      <c r="M5780" s="12" t="inlineStr">
        <is>
          <t>18</t>
        </is>
      </c>
      <c r="N5780" s="12" t="n">
        <v>1</v>
      </c>
      <c r="O5780" s="12" t="n">
        <v>1</v>
      </c>
      <c r="P5780" s="12" t="n"/>
      <c r="Q5780" s="12" t="n"/>
      <c r="R5780" s="12" t="n"/>
      <c r="S5780" s="12" t="inlineStr">
        <is>
          <t>Duct bank</t>
        </is>
      </c>
      <c r="T5780" s="16" t="n">
        <v>773</v>
      </c>
      <c r="U5780" s="16" t="n">
        <v>37</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K-I-0161</t>
        </is>
      </c>
      <c r="B5781" s="12" t="inlineStr">
        <is>
          <t>K</t>
        </is>
      </c>
      <c r="C5781" s="12" t="inlineStr">
        <is>
          <t>Fuel supply (adjacent market)</t>
        </is>
      </c>
      <c r="D5781" s="12" t="inlineStr">
        <is>
          <t>Discrete device to JB JB-M&amp;R 2: insulating -DI01: 8 x 1 pr (field cables)</t>
        </is>
      </c>
      <c r="E5781" s="12" t="inlineStr"/>
      <c r="F5781" s="12" t="inlineStr">
        <is>
          <t>M&amp;R 2: insulating joint + ESD valve</t>
        </is>
      </c>
      <c r="G5781" s="12" t="inlineStr">
        <is>
          <t>JB-M&amp;R 2: insulating -DI01</t>
        </is>
      </c>
      <c r="H5781" s="12" t="inlineStr">
        <is>
          <t>M&amp;R 2: insulating joint + ESD valve</t>
        </is>
      </c>
      <c r="I5781" s="12" t="inlineStr">
        <is>
          <t>Instrumentation</t>
        </is>
      </c>
      <c r="J5781" s="12" t="inlineStr">
        <is>
          <t>Instrumentation ITC / PLTC, IS, #18 shielded pairs, blue jacket</t>
        </is>
      </c>
      <c r="K5781" s="12" t="inlineStr">
        <is>
          <t>ITC|1 pr|16</t>
        </is>
      </c>
      <c r="L5781" s="12" t="inlineStr">
        <is>
          <t>1 pr</t>
        </is>
      </c>
      <c r="M5781" s="12" t="inlineStr">
        <is>
          <t>16</t>
        </is>
      </c>
      <c r="N5781" s="12" t="n">
        <v>8</v>
      </c>
      <c r="O5781" s="12" t="n">
        <v>1</v>
      </c>
      <c r="P5781" s="12" t="n"/>
      <c r="Q5781" s="12" t="n"/>
      <c r="R5781" s="12" t="n"/>
      <c r="S5781" s="12" t="inlineStr">
        <is>
          <t>Tray / conduit</t>
        </is>
      </c>
      <c r="T5781" s="16" t="n">
        <v>40</v>
      </c>
      <c r="U5781" s="16" t="n">
        <v>10</v>
      </c>
      <c r="V5781" s="16">
        <f>ROUNDUP((T5781+U5781+2*'Read Me'!$B$13)*(1+'Read Me'!$B$12),-1)</f>
        <v/>
      </c>
      <c r="W5781" s="16">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K-I-0162</t>
        </is>
      </c>
      <c r="B5782" s="12" t="inlineStr">
        <is>
          <t>K</t>
        </is>
      </c>
      <c r="C5782" s="12" t="inlineStr">
        <is>
          <t>Fuel supply (adjacent market)</t>
        </is>
      </c>
      <c r="D5782" s="12" t="inlineStr">
        <is>
          <t>Home run JB-M&amp;R 2: insulating -DI01 to the control / marshalling room</t>
        </is>
      </c>
      <c r="E5782" s="12" t="inlineStr"/>
      <c r="F5782" s="12" t="inlineStr">
        <is>
          <t>LNG 17: LNG e-house (13.8 kV / 480 V)</t>
        </is>
      </c>
      <c r="G5782" s="12" t="inlineStr">
        <is>
          <t>JB-M&amp;R 2: insulating -DI01</t>
        </is>
      </c>
      <c r="H5782" s="12" t="inlineStr">
        <is>
          <t>M&amp;R 2: insulating joint + ESD valve</t>
        </is>
      </c>
      <c r="I5782" s="12" t="inlineStr">
        <is>
          <t>Instrumentation</t>
        </is>
      </c>
      <c r="J5782" s="12" t="inlineStr">
        <is>
          <t>Instrumentation ITC / PLTC, IS, #18 shielded pairs, blue jacket</t>
        </is>
      </c>
      <c r="K5782" s="12" t="inlineStr">
        <is>
          <t>ITC|24 pr|18</t>
        </is>
      </c>
      <c r="L5782" s="12" t="inlineStr">
        <is>
          <t>24 pr</t>
        </is>
      </c>
      <c r="M5782" s="12" t="inlineStr">
        <is>
          <t>18</t>
        </is>
      </c>
      <c r="N5782" s="12" t="n">
        <v>1</v>
      </c>
      <c r="O5782" s="12" t="n">
        <v>1</v>
      </c>
      <c r="P5782" s="12" t="n"/>
      <c r="Q5782" s="12" t="n"/>
      <c r="R5782" s="12" t="n"/>
      <c r="S5782" s="12" t="inlineStr">
        <is>
          <t>Duct bank</t>
        </is>
      </c>
      <c r="T5782" s="16" t="n">
        <v>758</v>
      </c>
      <c r="U5782" s="16" t="n">
        <v>32</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K-I-0163</t>
        </is>
      </c>
      <c r="B5783" s="12" t="inlineStr">
        <is>
          <t>K</t>
        </is>
      </c>
      <c r="C5783" s="12" t="inlineStr">
        <is>
          <t>Fuel supply (adjacent market)</t>
        </is>
      </c>
      <c r="D5783" s="12" t="inlineStr">
        <is>
          <t>Analog instrument to JB JB-M&amp;R 3: horizontal -AI01: 8 x 1 pr (field cables)</t>
        </is>
      </c>
      <c r="E5783" s="12" t="inlineStr"/>
      <c r="F5783" s="12" t="inlineStr">
        <is>
          <t>M&amp;R 3: horizontal filter-separator</t>
        </is>
      </c>
      <c r="G5783" s="12" t="inlineStr">
        <is>
          <t>JB-M&amp;R 3: horizontal -AI01</t>
        </is>
      </c>
      <c r="H5783" s="12" t="inlineStr">
        <is>
          <t>M&amp;R 3: horizontal filter-separator</t>
        </is>
      </c>
      <c r="I5783" s="12" t="inlineStr">
        <is>
          <t>Instrumentation</t>
        </is>
      </c>
      <c r="J5783" s="12" t="inlineStr">
        <is>
          <t>Instrumentation ITC / PLTC, IS, #18 shielded pairs, blue jacket</t>
        </is>
      </c>
      <c r="K5783" s="12" t="inlineStr">
        <is>
          <t>ITC|1 pr|16</t>
        </is>
      </c>
      <c r="L5783" s="12" t="inlineStr">
        <is>
          <t>1 pr</t>
        </is>
      </c>
      <c r="M5783" s="12" t="inlineStr">
        <is>
          <t>16</t>
        </is>
      </c>
      <c r="N5783" s="12" t="n">
        <v>8</v>
      </c>
      <c r="O5783" s="12" t="n">
        <v>1</v>
      </c>
      <c r="P5783" s="12" t="n"/>
      <c r="Q5783" s="12" t="n"/>
      <c r="R5783" s="12" t="n"/>
      <c r="S5783" s="12" t="inlineStr">
        <is>
          <t>Tray / conduit</t>
        </is>
      </c>
      <c r="T5783" s="16" t="n">
        <v>53</v>
      </c>
      <c r="U5783" s="16" t="n">
        <v>10</v>
      </c>
      <c r="V5783" s="16">
        <f>ROUNDUP((T5783+U5783+2*'Read Me'!$B$13)*(1+'Read Me'!$B$12),-1)</f>
        <v/>
      </c>
      <c r="W5783" s="16">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K-I-0164</t>
        </is>
      </c>
      <c r="B5784" s="12" t="inlineStr">
        <is>
          <t>K</t>
        </is>
      </c>
      <c r="C5784" s="12" t="inlineStr">
        <is>
          <t>Fuel supply (adjacent market)</t>
        </is>
      </c>
      <c r="D5784" s="12" t="inlineStr">
        <is>
          <t>Home run JB-M&amp;R 3: horizontal -AI01 to the control / marshalling room</t>
        </is>
      </c>
      <c r="E5784" s="12" t="inlineStr"/>
      <c r="F5784" s="12" t="inlineStr">
        <is>
          <t>LNG 17: LNG e-house (13.8 kV / 480 V)</t>
        </is>
      </c>
      <c r="G5784" s="12" t="inlineStr">
        <is>
          <t>JB-M&amp;R 3: horizontal -AI01</t>
        </is>
      </c>
      <c r="H5784" s="12" t="inlineStr">
        <is>
          <t>M&amp;R 3: horizontal filter-separator</t>
        </is>
      </c>
      <c r="I5784" s="12" t="inlineStr">
        <is>
          <t>Instrumentation</t>
        </is>
      </c>
      <c r="J5784" s="12" t="inlineStr">
        <is>
          <t>Instrumentation ITC / PLTC, IS, #18 shielded pairs, blue jacket</t>
        </is>
      </c>
      <c r="K5784" s="12" t="inlineStr">
        <is>
          <t>ITC|24 pr|18</t>
        </is>
      </c>
      <c r="L5784" s="12" t="inlineStr">
        <is>
          <t>24 pr</t>
        </is>
      </c>
      <c r="M5784" s="12" t="inlineStr">
        <is>
          <t>18</t>
        </is>
      </c>
      <c r="N5784" s="12" t="n">
        <v>1</v>
      </c>
      <c r="O5784" s="12" t="n">
        <v>1</v>
      </c>
      <c r="P5784" s="12" t="n"/>
      <c r="Q5784" s="12" t="n"/>
      <c r="R5784" s="12" t="n"/>
      <c r="S5784" s="12" t="inlineStr">
        <is>
          <t>Duct bank</t>
        </is>
      </c>
      <c r="T5784" s="16" t="n">
        <v>797</v>
      </c>
      <c r="U5784" s="16" t="n">
        <v>32</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K-I-0165</t>
        </is>
      </c>
      <c r="B5785" s="12" t="inlineStr">
        <is>
          <t>K</t>
        </is>
      </c>
      <c r="C5785" s="12" t="inlineStr">
        <is>
          <t>Fuel supply (adjacent market)</t>
        </is>
      </c>
      <c r="D5785" s="12" t="inlineStr">
        <is>
          <t>Discrete device to JB JB-M&amp;R 3: horizontal -DI01: 12 x 1 pr (field cables)</t>
        </is>
      </c>
      <c r="E5785" s="12" t="inlineStr"/>
      <c r="F5785" s="12" t="inlineStr">
        <is>
          <t>M&amp;R 3: horizontal filter-separator</t>
        </is>
      </c>
      <c r="G5785" s="12" t="inlineStr">
        <is>
          <t>JB-M&amp;R 3: horizontal -DI01</t>
        </is>
      </c>
      <c r="H5785" s="12" t="inlineStr">
        <is>
          <t>M&amp;R 3: horizontal filter-separator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12</v>
      </c>
      <c r="O5785" s="12" t="n">
        <v>1</v>
      </c>
      <c r="P5785" s="12" t="n"/>
      <c r="Q5785" s="12" t="n"/>
      <c r="R5785" s="12" t="n"/>
      <c r="S5785" s="12" t="inlineStr">
        <is>
          <t>Tray / conduit</t>
        </is>
      </c>
      <c r="T5785" s="16" t="n">
        <v>53</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K-I-0166</t>
        </is>
      </c>
      <c r="B5786" s="12" t="inlineStr">
        <is>
          <t>K</t>
        </is>
      </c>
      <c r="C5786" s="12" t="inlineStr">
        <is>
          <t>Fuel supply (adjacent market)</t>
        </is>
      </c>
      <c r="D5786" s="12" t="inlineStr">
        <is>
          <t>Home run JB-M&amp;R 3: horizontal -DI01 to the control / marshalling room</t>
        </is>
      </c>
      <c r="E5786" s="12" t="inlineStr"/>
      <c r="F5786" s="12" t="inlineStr">
        <is>
          <t>LNG 17: LNG e-house (13.8 kV / 480 V)</t>
        </is>
      </c>
      <c r="G5786" s="12" t="inlineStr">
        <is>
          <t>JB-M&amp;R 3: horizontal -DI01</t>
        </is>
      </c>
      <c r="H5786" s="12" t="inlineStr">
        <is>
          <t>M&amp;R 3: horizontal filter-separator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797</v>
      </c>
      <c r="U5786" s="16" t="n">
        <v>32</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K-I-0167</t>
        </is>
      </c>
      <c r="B5787" s="12" t="inlineStr">
        <is>
          <t>K</t>
        </is>
      </c>
      <c r="C5787" s="12" t="inlineStr">
        <is>
          <t>Fuel supply (adjacent market)</t>
        </is>
      </c>
      <c r="D5787" s="12" t="inlineStr">
        <is>
          <t>Instrumentation</t>
        </is>
      </c>
      <c r="E5787" s="12" t="inlineStr"/>
      <c r="F5787" s="12" t="inlineStr">
        <is>
          <t>LNG 17: LNG e-house (13.8 kV / 480 V)</t>
        </is>
      </c>
      <c r="G5787" s="12" t="inlineStr"/>
      <c r="H5787" s="12" t="inlineStr">
        <is>
          <t>M&amp;R 4: line heater 1 (water bath)</t>
        </is>
      </c>
      <c r="I5787" s="12" t="inlineStr">
        <is>
          <t>Instrumentation</t>
        </is>
      </c>
      <c r="J5787" s="12" t="inlineStr">
        <is>
          <t>Instrumentation ITC / PLTC, IS, #18 shielded pairs, blue jacket</t>
        </is>
      </c>
      <c r="K5787" s="12" t="inlineStr">
        <is>
          <t>ITC|4 pr|18</t>
        </is>
      </c>
      <c r="L5787" s="12" t="inlineStr">
        <is>
          <t>4 pr</t>
        </is>
      </c>
      <c r="M5787" s="12" t="inlineStr">
        <is>
          <t>18</t>
        </is>
      </c>
      <c r="N5787" s="12" t="n">
        <v>1</v>
      </c>
      <c r="O5787" s="12" t="n">
        <v>1</v>
      </c>
      <c r="P5787" s="12" t="n"/>
      <c r="Q5787" s="12" t="n"/>
      <c r="R5787" s="12" t="n"/>
      <c r="S5787" s="12" t="inlineStr">
        <is>
          <t>Duct bank</t>
        </is>
      </c>
      <c r="T5787" s="16" t="n">
        <v>593</v>
      </c>
      <c r="U5787" s="16" t="n">
        <v>32</v>
      </c>
      <c r="V5787" s="16">
        <f>ROUNDUP((T5787+U5787+2*'Read Me'!$B$13)*(1+'Read Me'!$B$12),-1)</f>
        <v/>
      </c>
      <c r="W5787" s="16">
        <f>V5787*N5787*O5787</f>
        <v/>
      </c>
      <c r="X5787" s="12">
        <f>IF(LEFT(I5787,2)="MV",2*N5787*IF(L5787="1/C",O5787,1),0)</f>
        <v/>
      </c>
      <c r="Y5787" s="12">
        <f>IF(OR(LEFT(K5787,4)="LVAX",LEFT(K5787,6)="MV15AX",LEFT(K5787,4)="CTAX",LEFT(K5787,2)="W|"),2*N5787*O5787,0)</f>
        <v/>
      </c>
      <c r="Z5787" s="12" t="inlineStr"/>
      <c r="AA5787" s="12">
        <f>N5787*O5787</f>
        <v/>
      </c>
    </row>
    <row r="5788">
      <c r="A5788" s="12" t="inlineStr">
        <is>
          <t>K-I-0168</t>
        </is>
      </c>
      <c r="B5788" s="12" t="inlineStr">
        <is>
          <t>K</t>
        </is>
      </c>
      <c r="C5788" s="12" t="inlineStr">
        <is>
          <t>Fuel supply (adjacent market)</t>
        </is>
      </c>
      <c r="D5788" s="12" t="inlineStr">
        <is>
          <t>Instrumentation</t>
        </is>
      </c>
      <c r="E5788" s="12" t="inlineStr"/>
      <c r="F5788" s="12" t="inlineStr">
        <is>
          <t>LNG 17: LNG e-house (13.8 kV / 480 V)</t>
        </is>
      </c>
      <c r="G5788" s="12" t="inlineStr"/>
      <c r="H5788" s="12" t="inlineStr">
        <is>
          <t>M&amp;R 4: line heater 1 (water bath)</t>
        </is>
      </c>
      <c r="I5788" s="12" t="inlineStr">
        <is>
          <t>Instrumentation</t>
        </is>
      </c>
      <c r="J5788" s="12" t="inlineStr">
        <is>
          <t>Instrumentation ITC / PLTC, IS, #18 shielded pairs, blue jacket</t>
        </is>
      </c>
      <c r="K5788" s="12" t="inlineStr">
        <is>
          <t>ITC|12 pr|18</t>
        </is>
      </c>
      <c r="L5788" s="12" t="inlineStr">
        <is>
          <t>12 pr</t>
        </is>
      </c>
      <c r="M5788" s="12" t="inlineStr">
        <is>
          <t>18</t>
        </is>
      </c>
      <c r="N5788" s="12" t="n">
        <v>1</v>
      </c>
      <c r="O5788" s="12" t="n">
        <v>1</v>
      </c>
      <c r="P5788" s="12" t="n"/>
      <c r="Q5788" s="12" t="n"/>
      <c r="R5788" s="12" t="n"/>
      <c r="S5788" s="12" t="inlineStr">
        <is>
          <t>Duct bank</t>
        </is>
      </c>
      <c r="T5788" s="16" t="n">
        <v>593</v>
      </c>
      <c r="U5788" s="16" t="n">
        <v>32</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K-I-0169</t>
        </is>
      </c>
      <c r="B5789" s="12" t="inlineStr">
        <is>
          <t>K</t>
        </is>
      </c>
      <c r="C5789" s="12" t="inlineStr">
        <is>
          <t>Fuel supply (adjacent market)</t>
        </is>
      </c>
      <c r="D5789" s="12" t="inlineStr">
        <is>
          <t>Instrumentation</t>
        </is>
      </c>
      <c r="E5789" s="12" t="inlineStr"/>
      <c r="F5789" s="12" t="inlineStr">
        <is>
          <t>LNG 17: LNG e-house (13.8 kV / 480 V)</t>
        </is>
      </c>
      <c r="G5789" s="12" t="inlineStr"/>
      <c r="H5789" s="12" t="inlineStr">
        <is>
          <t>M&amp;R 4: line heater 2 (water bath)</t>
        </is>
      </c>
      <c r="I5789" s="12" t="inlineStr">
        <is>
          <t>Instrumentation</t>
        </is>
      </c>
      <c r="J5789" s="12" t="inlineStr">
        <is>
          <t>Instrumentation ITC / PLTC, IS, #18 shielded pairs, blue jacket</t>
        </is>
      </c>
      <c r="K5789" s="12" t="inlineStr">
        <is>
          <t>ITC|4 pr|18</t>
        </is>
      </c>
      <c r="L5789" s="12" t="inlineStr">
        <is>
          <t>4 pr</t>
        </is>
      </c>
      <c r="M5789" s="12" t="inlineStr">
        <is>
          <t>18</t>
        </is>
      </c>
      <c r="N5789" s="12" t="n">
        <v>1</v>
      </c>
      <c r="O5789" s="12" t="n">
        <v>1</v>
      </c>
      <c r="P5789" s="12" t="n"/>
      <c r="Q5789" s="12" t="n"/>
      <c r="R5789" s="12" t="n"/>
      <c r="S5789" s="12" t="inlineStr">
        <is>
          <t>Duct bank</t>
        </is>
      </c>
      <c r="T5789" s="16" t="n">
        <v>593</v>
      </c>
      <c r="U5789" s="16" t="n">
        <v>50</v>
      </c>
      <c r="V5789" s="16">
        <f>ROUNDUP((T5789+U5789+2*'Read Me'!$B$13)*(1+'Read Me'!$B$12),-1)</f>
        <v/>
      </c>
      <c r="W5789" s="16">
        <f>V5789*N5789*O5789</f>
        <v/>
      </c>
      <c r="X5789" s="12">
        <f>IF(LEFT(I5789,2)="MV",2*N5789*IF(L5789="1/C",O5789,1),0)</f>
        <v/>
      </c>
      <c r="Y5789" s="12">
        <f>IF(OR(LEFT(K5789,4)="LVAX",LEFT(K5789,6)="MV15AX",LEFT(K5789,4)="CTAX",LEFT(K5789,2)="W|"),2*N5789*O5789,0)</f>
        <v/>
      </c>
      <c r="Z5789" s="12" t="inlineStr"/>
      <c r="AA5789" s="12">
        <f>N5789*O5789</f>
        <v/>
      </c>
    </row>
    <row r="5790">
      <c r="A5790" s="12" t="inlineStr">
        <is>
          <t>K-I-0170</t>
        </is>
      </c>
      <c r="B5790" s="12" t="inlineStr">
        <is>
          <t>K</t>
        </is>
      </c>
      <c r="C5790" s="12" t="inlineStr">
        <is>
          <t>Fuel supply (adjacent market)</t>
        </is>
      </c>
      <c r="D5790" s="12" t="inlineStr">
        <is>
          <t>Instrumentation</t>
        </is>
      </c>
      <c r="E5790" s="12" t="inlineStr"/>
      <c r="F5790" s="12" t="inlineStr">
        <is>
          <t>LNG 17: LNG e-house (13.8 kV / 480 V)</t>
        </is>
      </c>
      <c r="G5790" s="12" t="inlineStr"/>
      <c r="H5790" s="12" t="inlineStr">
        <is>
          <t>M&amp;R 4: line heater 2 (water bath)</t>
        </is>
      </c>
      <c r="I5790" s="12" t="inlineStr">
        <is>
          <t>Instrumentation</t>
        </is>
      </c>
      <c r="J5790" s="12" t="inlineStr">
        <is>
          <t>Instrumentation ITC / PLTC, IS, #18 shielded pairs, blue jacket</t>
        </is>
      </c>
      <c r="K5790" s="12" t="inlineStr">
        <is>
          <t>ITC|12 pr|18</t>
        </is>
      </c>
      <c r="L5790" s="12" t="inlineStr">
        <is>
          <t>12 pr</t>
        </is>
      </c>
      <c r="M5790" s="12" t="inlineStr">
        <is>
          <t>18</t>
        </is>
      </c>
      <c r="N5790" s="12" t="n">
        <v>1</v>
      </c>
      <c r="O5790" s="12" t="n">
        <v>1</v>
      </c>
      <c r="P5790" s="12" t="n"/>
      <c r="Q5790" s="12" t="n"/>
      <c r="R5790" s="12" t="n"/>
      <c r="S5790" s="12" t="inlineStr">
        <is>
          <t>Duct bank</t>
        </is>
      </c>
      <c r="T5790" s="16" t="n">
        <v>593</v>
      </c>
      <c r="U5790" s="16" t="n">
        <v>50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K-I-0171</t>
        </is>
      </c>
      <c r="B5791" s="12" t="inlineStr">
        <is>
          <t>K</t>
        </is>
      </c>
      <c r="C5791" s="12" t="inlineStr">
        <is>
          <t>Fuel supply (adjacent market)</t>
        </is>
      </c>
      <c r="D5791" s="12" t="inlineStr">
        <is>
          <t>Instrumentation</t>
        </is>
      </c>
      <c r="E5791" s="12" t="inlineStr"/>
      <c r="F5791" s="12" t="inlineStr">
        <is>
          <t>LNG 17: LNG e-house (13.8 kV / 480 V)</t>
        </is>
      </c>
      <c r="G5791" s="12" t="inlineStr"/>
      <c r="H5791" s="12" t="inlineStr">
        <is>
          <t>M&amp;R 4: line heater 3 (water bath)</t>
        </is>
      </c>
      <c r="I5791" s="12" t="inlineStr">
        <is>
          <t>Instrumentation</t>
        </is>
      </c>
      <c r="J5791" s="12" t="inlineStr">
        <is>
          <t>Instrumentation ITC / PLTC, IS, #18 shielded pairs, blue jacket</t>
        </is>
      </c>
      <c r="K5791" s="12" t="inlineStr">
        <is>
          <t>ITC|4 pr|18</t>
        </is>
      </c>
      <c r="L5791" s="12" t="inlineStr">
        <is>
          <t>4 pr</t>
        </is>
      </c>
      <c r="M5791" s="12" t="inlineStr">
        <is>
          <t>18</t>
        </is>
      </c>
      <c r="N5791" s="12" t="n">
        <v>1</v>
      </c>
      <c r="O5791" s="12" t="n">
        <v>1</v>
      </c>
      <c r="P5791" s="12" t="n"/>
      <c r="Q5791" s="12" t="n"/>
      <c r="R5791" s="12" t="n"/>
      <c r="S5791" s="12" t="inlineStr">
        <is>
          <t>Duct bank</t>
        </is>
      </c>
      <c r="T5791" s="16" t="n">
        <v>593</v>
      </c>
      <c r="U5791" s="16" t="n">
        <v>68</v>
      </c>
      <c r="V5791" s="16">
        <f>ROUNDUP((T5791+U5791+2*'Read Me'!$B$13)*(1+'Read Me'!$B$12),-1)</f>
        <v/>
      </c>
      <c r="W5791" s="16">
        <f>V5791*N5791*O5791</f>
        <v/>
      </c>
      <c r="X5791" s="12">
        <f>IF(LEFT(I5791,2)="MV",2*N5791*IF(L5791="1/C",O5791,1),0)</f>
        <v/>
      </c>
      <c r="Y5791" s="12">
        <f>IF(OR(LEFT(K5791,4)="LVAX",LEFT(K5791,6)="MV15AX",LEFT(K5791,4)="CTAX",LEFT(K5791,2)="W|"),2*N5791*O5791,0)</f>
        <v/>
      </c>
      <c r="Z5791" s="12" t="inlineStr"/>
      <c r="AA5791" s="12">
        <f>N5791*O5791</f>
        <v/>
      </c>
    </row>
    <row r="5792">
      <c r="A5792" s="12" t="inlineStr">
        <is>
          <t>K-I-0172</t>
        </is>
      </c>
      <c r="B5792" s="12" t="inlineStr">
        <is>
          <t>K</t>
        </is>
      </c>
      <c r="C5792" s="12" t="inlineStr">
        <is>
          <t>Fuel supply (adjacent market)</t>
        </is>
      </c>
      <c r="D5792" s="12" t="inlineStr">
        <is>
          <t>Instrumentation</t>
        </is>
      </c>
      <c r="E5792" s="12" t="inlineStr"/>
      <c r="F5792" s="12" t="inlineStr">
        <is>
          <t>LNG 17: LNG e-house (13.8 kV / 480 V)</t>
        </is>
      </c>
      <c r="G5792" s="12" t="inlineStr"/>
      <c r="H5792" s="12" t="inlineStr">
        <is>
          <t>M&amp;R 4: line heater 3 (water bath)</t>
        </is>
      </c>
      <c r="I5792" s="12" t="inlineStr">
        <is>
          <t>Instrumentation</t>
        </is>
      </c>
      <c r="J5792" s="12" t="inlineStr">
        <is>
          <t>Instrumentation ITC / PLTC, IS, #18 shielded pairs, blue jacket</t>
        </is>
      </c>
      <c r="K5792" s="12" t="inlineStr">
        <is>
          <t>ITC|12 pr|18</t>
        </is>
      </c>
      <c r="L5792" s="12" t="inlineStr">
        <is>
          <t>12 pr</t>
        </is>
      </c>
      <c r="M5792" s="12" t="inlineStr">
        <is>
          <t>18</t>
        </is>
      </c>
      <c r="N5792" s="12" t="n">
        <v>1</v>
      </c>
      <c r="O5792" s="12" t="n">
        <v>1</v>
      </c>
      <c r="P5792" s="12" t="n"/>
      <c r="Q5792" s="12" t="n"/>
      <c r="R5792" s="12" t="n"/>
      <c r="S5792" s="12" t="inlineStr">
        <is>
          <t>Duct bank</t>
        </is>
      </c>
      <c r="T5792" s="16" t="n">
        <v>593</v>
      </c>
      <c r="U5792" s="16" t="n">
        <v>68</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K-I-0173</t>
        </is>
      </c>
      <c r="B5793" s="12" t="inlineStr">
        <is>
          <t>K</t>
        </is>
      </c>
      <c r="C5793" s="12" t="inlineStr">
        <is>
          <t>Fuel supply (adjacent market)</t>
        </is>
      </c>
      <c r="D5793" s="12" t="inlineStr">
        <is>
          <t>Analog instrument to JB JB-M&amp;R 5: ultrasonic -AI01: 20 x 1 pr (field cables)</t>
        </is>
      </c>
      <c r="E5793" s="12" t="inlineStr"/>
      <c r="F5793" s="12" t="inlineStr">
        <is>
          <t>M&amp;R 5: ultrasonic meters, 2 runs (custody transfer)</t>
        </is>
      </c>
      <c r="G5793" s="12" t="inlineStr">
        <is>
          <t>JB-M&amp;R 5: ultrasonic -AI01</t>
        </is>
      </c>
      <c r="H5793" s="12" t="inlineStr">
        <is>
          <t>M&amp;R 5: ultrasonic meters, 2 runs (custody transfer)</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60</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K-I-0174</t>
        </is>
      </c>
      <c r="B5794" s="12" t="inlineStr">
        <is>
          <t>K</t>
        </is>
      </c>
      <c r="C5794" s="12" t="inlineStr">
        <is>
          <t>Fuel supply (adjacent market)</t>
        </is>
      </c>
      <c r="D5794" s="12" t="inlineStr">
        <is>
          <t>Home run JB-M&amp;R 5: ultrasonic -AI01 to the control / marshalling room</t>
        </is>
      </c>
      <c r="E5794" s="12" t="inlineStr"/>
      <c r="F5794" s="12" t="inlineStr">
        <is>
          <t>LNG 17: LNG e-house (13.8 kV / 480 V)</t>
        </is>
      </c>
      <c r="G5794" s="12" t="inlineStr">
        <is>
          <t>JB-M&amp;R 5: ultrasonic -AI01</t>
        </is>
      </c>
      <c r="H5794" s="12" t="inlineStr">
        <is>
          <t>M&amp;R 5: ultrasonic meters, 2 runs (custody transfer)</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651</v>
      </c>
      <c r="U5794" s="16" t="n">
        <v>57</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K-I-0175</t>
        </is>
      </c>
      <c r="B5795" s="12" t="inlineStr">
        <is>
          <t>K</t>
        </is>
      </c>
      <c r="C5795" s="12" t="inlineStr">
        <is>
          <t>Fuel supply (adjacent market)</t>
        </is>
      </c>
      <c r="D5795" s="12" t="inlineStr">
        <is>
          <t>Discrete device to JB JB-M&amp;R 5: ultrasonic -DI01: 8 x 1 pr (field cables)</t>
        </is>
      </c>
      <c r="E5795" s="12" t="inlineStr"/>
      <c r="F5795" s="12" t="inlineStr">
        <is>
          <t>M&amp;R 5: ultrasonic meters, 2 runs (custody transfer)</t>
        </is>
      </c>
      <c r="G5795" s="12" t="inlineStr">
        <is>
          <t>JB-M&amp;R 5: ultrasonic -DI01</t>
        </is>
      </c>
      <c r="H5795" s="12" t="inlineStr">
        <is>
          <t>M&amp;R 5: ultrasonic meters, 2 runs (custody transfer)</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60</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K-I-0176</t>
        </is>
      </c>
      <c r="B5796" s="12" t="inlineStr">
        <is>
          <t>K</t>
        </is>
      </c>
      <c r="C5796" s="12" t="inlineStr">
        <is>
          <t>Fuel supply (adjacent market)</t>
        </is>
      </c>
      <c r="D5796" s="12" t="inlineStr">
        <is>
          <t>Home run JB-M&amp;R 5: ultrasonic -DI01 to the control / marshalling room</t>
        </is>
      </c>
      <c r="E5796" s="12" t="inlineStr"/>
      <c r="F5796" s="12" t="inlineStr">
        <is>
          <t>LNG 17: LNG e-house (13.8 kV / 480 V)</t>
        </is>
      </c>
      <c r="G5796" s="12" t="inlineStr">
        <is>
          <t>JB-M&amp;R 5: ultrasonic -DI01</t>
        </is>
      </c>
      <c r="H5796" s="12" t="inlineStr">
        <is>
          <t>M&amp;R 5: ultrasonic meters, 2 runs (custody transfer)</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651</v>
      </c>
      <c r="U5796" s="16" t="n">
        <v>57</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K-I-0177</t>
        </is>
      </c>
      <c r="B5797" s="12" t="inlineStr">
        <is>
          <t>K</t>
        </is>
      </c>
      <c r="C5797" s="12" t="inlineStr">
        <is>
          <t>Fuel supply (adjacent market)</t>
        </is>
      </c>
      <c r="D5797" s="12" t="inlineStr">
        <is>
          <t>Analog instrument to JB JB-M&amp;R 6: regulation -AI01: 12 x 1 pr (field cables)</t>
        </is>
      </c>
      <c r="E5797" s="12" t="inlineStr"/>
      <c r="F5797" s="12" t="inlineStr">
        <is>
          <t>M&amp;R 6: regulation / flow control building</t>
        </is>
      </c>
      <c r="G5797" s="12" t="inlineStr">
        <is>
          <t>JB-M&amp;R 6: regulation -AI01</t>
        </is>
      </c>
      <c r="H5797" s="12" t="inlineStr">
        <is>
          <t>M&amp;R 6: regulation / flow control building</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12</v>
      </c>
      <c r="O5797" s="12" t="n">
        <v>1</v>
      </c>
      <c r="P5797" s="12" t="n"/>
      <c r="Q5797" s="12" t="n"/>
      <c r="R5797" s="12" t="n"/>
      <c r="S5797" s="12" t="inlineStr">
        <is>
          <t>Tray / conduit</t>
        </is>
      </c>
      <c r="T5797" s="16" t="n">
        <v>61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K-I-0178</t>
        </is>
      </c>
      <c r="B5798" s="12" t="inlineStr">
        <is>
          <t>K</t>
        </is>
      </c>
      <c r="C5798" s="12" t="inlineStr">
        <is>
          <t>Fuel supply (adjacent market)</t>
        </is>
      </c>
      <c r="D5798" s="12" t="inlineStr">
        <is>
          <t>Home run JB-M&amp;R 6: regulation -AI01 to the control / marshalling room</t>
        </is>
      </c>
      <c r="E5798" s="12" t="inlineStr"/>
      <c r="F5798" s="12" t="inlineStr">
        <is>
          <t>LNG 17: LNG e-house (13.8 kV / 480 V)</t>
        </is>
      </c>
      <c r="G5798" s="12" t="inlineStr">
        <is>
          <t>JB-M&amp;R 6: regulation -AI01</t>
        </is>
      </c>
      <c r="H5798" s="12" t="inlineStr">
        <is>
          <t>M&amp;R 6: regulation / flow control building</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470</v>
      </c>
      <c r="U5798" s="16" t="n">
        <v>70</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K-I-0179</t>
        </is>
      </c>
      <c r="B5799" s="12" t="inlineStr">
        <is>
          <t>K</t>
        </is>
      </c>
      <c r="C5799" s="12" t="inlineStr">
        <is>
          <t>Fuel supply (adjacent market)</t>
        </is>
      </c>
      <c r="D5799" s="12" t="inlineStr">
        <is>
          <t>Discrete device to JB JB-M&amp;R 6: regulation -DI01: 12 x 1 pr (field cables)</t>
        </is>
      </c>
      <c r="E5799" s="12" t="inlineStr"/>
      <c r="F5799" s="12" t="inlineStr">
        <is>
          <t>M&amp;R 6: regulation / flow control building</t>
        </is>
      </c>
      <c r="G5799" s="12" t="inlineStr">
        <is>
          <t>JB-M&amp;R 6: regulation -DI01</t>
        </is>
      </c>
      <c r="H5799" s="12" t="inlineStr">
        <is>
          <t>M&amp;R 6: regulation / flow control building</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12</v>
      </c>
      <c r="O5799" s="12" t="n">
        <v>1</v>
      </c>
      <c r="P5799" s="12" t="n"/>
      <c r="Q5799" s="12" t="n"/>
      <c r="R5799" s="12" t="n"/>
      <c r="S5799" s="12" t="inlineStr">
        <is>
          <t>Tray / conduit</t>
        </is>
      </c>
      <c r="T5799" s="16" t="n">
        <v>61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K-I-0180</t>
        </is>
      </c>
      <c r="B5800" s="12" t="inlineStr">
        <is>
          <t>K</t>
        </is>
      </c>
      <c r="C5800" s="12" t="inlineStr">
        <is>
          <t>Fuel supply (adjacent market)</t>
        </is>
      </c>
      <c r="D5800" s="12" t="inlineStr">
        <is>
          <t>Home run JB-M&amp;R 6: regulation -DI01 to the control / marshalling room</t>
        </is>
      </c>
      <c r="E5800" s="12" t="inlineStr"/>
      <c r="F5800" s="12" t="inlineStr">
        <is>
          <t>LNG 17: LNG e-house (13.8 kV / 480 V)</t>
        </is>
      </c>
      <c r="G5800" s="12" t="inlineStr">
        <is>
          <t>JB-M&amp;R 6: regulation -DI01</t>
        </is>
      </c>
      <c r="H5800" s="12" t="inlineStr">
        <is>
          <t>M&amp;R 6: regulation / flow control building</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470</v>
      </c>
      <c r="U5800" s="16" t="n">
        <v>70</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K-I-0181</t>
        </is>
      </c>
      <c r="B5801" s="12" t="inlineStr">
        <is>
          <t>K</t>
        </is>
      </c>
      <c r="C5801" s="12" t="inlineStr">
        <is>
          <t>Fuel supply (adjacent market)</t>
        </is>
      </c>
      <c r="D5801" s="12" t="inlineStr">
        <is>
          <t>Analog instrument to JB JB-M&amp;R 7: gas quality-AI01: 20 x 1 pr (field cables)</t>
        </is>
      </c>
      <c r="E5801" s="12" t="inlineStr"/>
      <c r="F5801" s="12" t="inlineStr">
        <is>
          <t>M&amp;R 7: gas quality + measurement building</t>
        </is>
      </c>
      <c r="G5801" s="12" t="inlineStr">
        <is>
          <t>JB-M&amp;R 7: gas quality-AI01</t>
        </is>
      </c>
      <c r="H5801" s="12" t="inlineStr">
        <is>
          <t>M&amp;R 7: gas quality + measurement building</t>
        </is>
      </c>
      <c r="I5801" s="12" t="inlineStr">
        <is>
          <t>Instrumentation</t>
        </is>
      </c>
      <c r="J5801" s="12" t="inlineStr">
        <is>
          <t>Instrumentation ITC / PLTC, IS, #18 shielded pairs, blue jacket</t>
        </is>
      </c>
      <c r="K5801" s="12" t="inlineStr">
        <is>
          <t>ITC|1 pr|16</t>
        </is>
      </c>
      <c r="L5801" s="12" t="inlineStr">
        <is>
          <t>1 pr</t>
        </is>
      </c>
      <c r="M5801" s="12" t="inlineStr">
        <is>
          <t>16</t>
        </is>
      </c>
      <c r="N5801" s="12" t="n">
        <v>20</v>
      </c>
      <c r="O5801" s="12" t="n">
        <v>1</v>
      </c>
      <c r="P5801" s="12" t="n"/>
      <c r="Q5801" s="12" t="n"/>
      <c r="R5801" s="12" t="n"/>
      <c r="S5801" s="12" t="inlineStr">
        <is>
          <t>Tray / conduit</t>
        </is>
      </c>
      <c r="T5801" s="16" t="n">
        <v>41</v>
      </c>
      <c r="U5801" s="16" t="n">
        <v>10</v>
      </c>
      <c r="V5801" s="16">
        <f>ROUNDUP((T5801+U5801+2*'Read Me'!$B$13)*(1+'Read Me'!$B$12),-1)</f>
        <v/>
      </c>
      <c r="W5801" s="16">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K-I-0182</t>
        </is>
      </c>
      <c r="B5802" s="12" t="inlineStr">
        <is>
          <t>K</t>
        </is>
      </c>
      <c r="C5802" s="12" t="inlineStr">
        <is>
          <t>Fuel supply (adjacent market)</t>
        </is>
      </c>
      <c r="D5802" s="12" t="inlineStr">
        <is>
          <t>Home run JB-M&amp;R 7: gas quality-AI01 to the control / marshalling room</t>
        </is>
      </c>
      <c r="E5802" s="12" t="inlineStr"/>
      <c r="F5802" s="12" t="inlineStr">
        <is>
          <t>LNG 17: LNG e-house (13.8 kV / 480 V)</t>
        </is>
      </c>
      <c r="G5802" s="12" t="inlineStr">
        <is>
          <t>JB-M&amp;R 7: gas quality-AI01</t>
        </is>
      </c>
      <c r="H5802" s="12" t="inlineStr">
        <is>
          <t>M&amp;R 7: gas quality + measurement building</t>
        </is>
      </c>
      <c r="I5802" s="12" t="inlineStr">
        <is>
          <t>Instrumentation</t>
        </is>
      </c>
      <c r="J5802" s="12" t="inlineStr">
        <is>
          <t>Instrumentation ITC / PLTC, IS, #18 shielded pairs, blue jacket</t>
        </is>
      </c>
      <c r="K5802" s="12" t="inlineStr">
        <is>
          <t>ITC|24 pr|18</t>
        </is>
      </c>
      <c r="L5802" s="12" t="inlineStr">
        <is>
          <t>24 pr</t>
        </is>
      </c>
      <c r="M5802" s="12" t="inlineStr">
        <is>
          <t>18</t>
        </is>
      </c>
      <c r="N5802" s="12" t="n">
        <v>1</v>
      </c>
      <c r="O5802" s="12" t="n">
        <v>1</v>
      </c>
      <c r="P5802" s="12" t="n"/>
      <c r="Q5802" s="12" t="n"/>
      <c r="R5802" s="12" t="n"/>
      <c r="S5802" s="12" t="inlineStr">
        <is>
          <t>Duct bank</t>
        </is>
      </c>
      <c r="T5802" s="16" t="n">
        <v>616</v>
      </c>
      <c r="U5802" s="16" t="n">
        <v>52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K-I-0183</t>
        </is>
      </c>
      <c r="B5803" s="12" t="inlineStr">
        <is>
          <t>K</t>
        </is>
      </c>
      <c r="C5803" s="12" t="inlineStr">
        <is>
          <t>Fuel supply (adjacent market)</t>
        </is>
      </c>
      <c r="D5803" s="12" t="inlineStr">
        <is>
          <t>Discrete device to JB JB-M&amp;R 7: gas quality-DI01: 8 x 1 pr (field cables)</t>
        </is>
      </c>
      <c r="E5803" s="12" t="inlineStr"/>
      <c r="F5803" s="12" t="inlineStr">
        <is>
          <t>M&amp;R 7: gas quality + measurement building</t>
        </is>
      </c>
      <c r="G5803" s="12" t="inlineStr">
        <is>
          <t>JB-M&amp;R 7: gas quality-DI01</t>
        </is>
      </c>
      <c r="H5803" s="12" t="inlineStr">
        <is>
          <t>M&amp;R 7: gas quality + measurement building</t>
        </is>
      </c>
      <c r="I5803" s="12" t="inlineStr">
        <is>
          <t>Instrumentation</t>
        </is>
      </c>
      <c r="J5803" s="12" t="inlineStr">
        <is>
          <t>Instrumentation ITC / PLTC, IS, #18 shielded pairs, blue jacket</t>
        </is>
      </c>
      <c r="K5803" s="12" t="inlineStr">
        <is>
          <t>ITC|1 pr|16</t>
        </is>
      </c>
      <c r="L5803" s="12" t="inlineStr">
        <is>
          <t>1 pr</t>
        </is>
      </c>
      <c r="M5803" s="12" t="inlineStr">
        <is>
          <t>16</t>
        </is>
      </c>
      <c r="N5803" s="12" t="n">
        <v>8</v>
      </c>
      <c r="O5803" s="12" t="n">
        <v>1</v>
      </c>
      <c r="P5803" s="12" t="n"/>
      <c r="Q5803" s="12" t="n"/>
      <c r="R5803" s="12" t="n"/>
      <c r="S5803" s="12" t="inlineStr">
        <is>
          <t>Tray / conduit</t>
        </is>
      </c>
      <c r="T5803" s="16" t="n">
        <v>41</v>
      </c>
      <c r="U5803" s="16" t="n">
        <v>10</v>
      </c>
      <c r="V5803" s="16">
        <f>ROUNDUP((T5803+U5803+2*'Read Me'!$B$13)*(1+'Read Me'!$B$12),-1)</f>
        <v/>
      </c>
      <c r="W5803" s="16">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K-I-0184</t>
        </is>
      </c>
      <c r="B5804" s="12" t="inlineStr">
        <is>
          <t>K</t>
        </is>
      </c>
      <c r="C5804" s="12" t="inlineStr">
        <is>
          <t>Fuel supply (adjacent market)</t>
        </is>
      </c>
      <c r="D5804" s="12" t="inlineStr">
        <is>
          <t>Home run JB-M&amp;R 7: gas quality-DI01 to the control / marshalling room</t>
        </is>
      </c>
      <c r="E5804" s="12" t="inlineStr"/>
      <c r="F5804" s="12" t="inlineStr">
        <is>
          <t>LNG 17: LNG e-house (13.8 kV / 480 V)</t>
        </is>
      </c>
      <c r="G5804" s="12" t="inlineStr">
        <is>
          <t>JB-M&amp;R 7: gas quality-DI01</t>
        </is>
      </c>
      <c r="H5804" s="12" t="inlineStr">
        <is>
          <t>M&amp;R 7: gas quality + measurement building</t>
        </is>
      </c>
      <c r="I5804" s="12" t="inlineStr">
        <is>
          <t>Instrumentation</t>
        </is>
      </c>
      <c r="J5804" s="12" t="inlineStr">
        <is>
          <t>Instrumentation ITC / PLTC, IS, #18 shielded pairs, blue jacket</t>
        </is>
      </c>
      <c r="K5804" s="12" t="inlineStr">
        <is>
          <t>ITC|24 pr|18</t>
        </is>
      </c>
      <c r="L5804" s="12" t="inlineStr">
        <is>
          <t>24 pr</t>
        </is>
      </c>
      <c r="M5804" s="12" t="inlineStr">
        <is>
          <t>18</t>
        </is>
      </c>
      <c r="N5804" s="12" t="n">
        <v>1</v>
      </c>
      <c r="O5804" s="12" t="n">
        <v>1</v>
      </c>
      <c r="P5804" s="12" t="n"/>
      <c r="Q5804" s="12" t="n"/>
      <c r="R5804" s="12" t="n"/>
      <c r="S5804" s="12" t="inlineStr">
        <is>
          <t>Duct bank</t>
        </is>
      </c>
      <c r="T5804" s="16" t="n">
        <v>616</v>
      </c>
      <c r="U5804" s="16" t="n">
        <v>52</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K-I-0185</t>
        </is>
      </c>
      <c r="B5805" s="12" t="inlineStr">
        <is>
          <t>K</t>
        </is>
      </c>
      <c r="C5805" s="12" t="inlineStr">
        <is>
          <t>Fuel supply (adjacent market)</t>
        </is>
      </c>
      <c r="D5805" s="12" t="inlineStr">
        <is>
          <t>Analog instrument to JB JB-M&amp;R 8: condensate -AI01: 4 x 1 pr (field cables)</t>
        </is>
      </c>
      <c r="E5805" s="12" t="inlineStr"/>
      <c r="F5805" s="12" t="inlineStr">
        <is>
          <t>M&amp;R 8: condensate tank</t>
        </is>
      </c>
      <c r="G5805" s="12" t="inlineStr">
        <is>
          <t>JB-M&amp;R 8: condensate -AI01</t>
        </is>
      </c>
      <c r="H5805" s="12" t="inlineStr">
        <is>
          <t>M&amp;R 8: condensate tank</t>
        </is>
      </c>
      <c r="I5805" s="12" t="inlineStr">
        <is>
          <t>Instrumentation</t>
        </is>
      </c>
      <c r="J5805" s="12" t="inlineStr">
        <is>
          <t>Instrumentation ITC / PLTC, IS, #18 shielded pairs, blue jacket</t>
        </is>
      </c>
      <c r="K5805" s="12" t="inlineStr">
        <is>
          <t>ITC|1 pr|16</t>
        </is>
      </c>
      <c r="L5805" s="12" t="inlineStr">
        <is>
          <t>1 pr</t>
        </is>
      </c>
      <c r="M5805" s="12" t="inlineStr">
        <is>
          <t>16</t>
        </is>
      </c>
      <c r="N5805" s="12" t="n">
        <v>4</v>
      </c>
      <c r="O5805" s="12" t="n">
        <v>1</v>
      </c>
      <c r="P5805" s="12" t="n"/>
      <c r="Q5805" s="12" t="n"/>
      <c r="R5805" s="12" t="n"/>
      <c r="S5805" s="12" t="inlineStr">
        <is>
          <t>Tray / conduit</t>
        </is>
      </c>
      <c r="T5805" s="16" t="n">
        <v>41</v>
      </c>
      <c r="U5805" s="16" t="n">
        <v>10</v>
      </c>
      <c r="V5805" s="16">
        <f>ROUNDUP((T5805+U5805+2*'Read Me'!$B$13)*(1+'Read Me'!$B$12),-1)</f>
        <v/>
      </c>
      <c r="W5805" s="16">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K-I-0186</t>
        </is>
      </c>
      <c r="B5806" s="12" t="inlineStr">
        <is>
          <t>K</t>
        </is>
      </c>
      <c r="C5806" s="12" t="inlineStr">
        <is>
          <t>Fuel supply (adjacent market)</t>
        </is>
      </c>
      <c r="D5806" s="12" t="inlineStr">
        <is>
          <t>Home run JB-M&amp;R 8: condensate -AI01 to the control / marshalling room</t>
        </is>
      </c>
      <c r="E5806" s="12" t="inlineStr"/>
      <c r="F5806" s="12" t="inlineStr">
        <is>
          <t>LNG 17: LNG e-house (13.8 kV / 480 V)</t>
        </is>
      </c>
      <c r="G5806" s="12" t="inlineStr">
        <is>
          <t>JB-M&amp;R 8: condensate -AI01</t>
        </is>
      </c>
      <c r="H5806" s="12" t="inlineStr">
        <is>
          <t>M&amp;R 8: condensate tank</t>
        </is>
      </c>
      <c r="I5806" s="12" t="inlineStr">
        <is>
          <t>Instrumentation</t>
        </is>
      </c>
      <c r="J5806" s="12" t="inlineStr">
        <is>
          <t>Instrumentation ITC / PLTC, IS, #18 shielded pairs, blue jacket</t>
        </is>
      </c>
      <c r="K5806" s="12" t="inlineStr">
        <is>
          <t>ITC|24 pr|18</t>
        </is>
      </c>
      <c r="L5806" s="12" t="inlineStr">
        <is>
          <t>24 pr</t>
        </is>
      </c>
      <c r="M5806" s="12" t="inlineStr">
        <is>
          <t>18</t>
        </is>
      </c>
      <c r="N5806" s="12" t="n">
        <v>1</v>
      </c>
      <c r="O5806" s="12" t="n">
        <v>1</v>
      </c>
      <c r="P5806" s="12" t="n"/>
      <c r="Q5806" s="12" t="n"/>
      <c r="R5806" s="12" t="n"/>
      <c r="S5806" s="12" t="inlineStr">
        <is>
          <t>Duct bank</t>
        </is>
      </c>
      <c r="T5806" s="16" t="n">
        <v>530</v>
      </c>
      <c r="U5806" s="16" t="n">
        <v>87</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K-I-0187</t>
        </is>
      </c>
      <c r="B5807" s="12" t="inlineStr">
        <is>
          <t>K</t>
        </is>
      </c>
      <c r="C5807" s="12" t="inlineStr">
        <is>
          <t>Fuel supply (adjacent market)</t>
        </is>
      </c>
      <c r="D5807" s="12" t="inlineStr">
        <is>
          <t>Discrete device to JB JB-M&amp;R 8: condensate -DI01: 4 x 1 pr (field cables)</t>
        </is>
      </c>
      <c r="E5807" s="12" t="inlineStr"/>
      <c r="F5807" s="12" t="inlineStr">
        <is>
          <t>M&amp;R 8: condensate tank</t>
        </is>
      </c>
      <c r="G5807" s="12" t="inlineStr">
        <is>
          <t>JB-M&amp;R 8: condensate -DI01</t>
        </is>
      </c>
      <c r="H5807" s="12" t="inlineStr">
        <is>
          <t>M&amp;R 8: condensate tank</t>
        </is>
      </c>
      <c r="I5807" s="12" t="inlineStr">
        <is>
          <t>Instrumentation</t>
        </is>
      </c>
      <c r="J5807" s="12" t="inlineStr">
        <is>
          <t>Instrumentation ITC / PLTC, IS, #18 shielded pairs, blue jacket</t>
        </is>
      </c>
      <c r="K5807" s="12" t="inlineStr">
        <is>
          <t>ITC|1 pr|16</t>
        </is>
      </c>
      <c r="L5807" s="12" t="inlineStr">
        <is>
          <t>1 pr</t>
        </is>
      </c>
      <c r="M5807" s="12" t="inlineStr">
        <is>
          <t>16</t>
        </is>
      </c>
      <c r="N5807" s="12" t="n">
        <v>4</v>
      </c>
      <c r="O5807" s="12" t="n">
        <v>1</v>
      </c>
      <c r="P5807" s="12" t="n"/>
      <c r="Q5807" s="12" t="n"/>
      <c r="R5807" s="12" t="n"/>
      <c r="S5807" s="12" t="inlineStr">
        <is>
          <t>Tray / conduit</t>
        </is>
      </c>
      <c r="T5807" s="16" t="n">
        <v>41</v>
      </c>
      <c r="U5807" s="16" t="n">
        <v>10</v>
      </c>
      <c r="V5807" s="16">
        <f>ROUNDUP((T5807+U5807+2*'Read Me'!$B$13)*(1+'Read Me'!$B$12),-1)</f>
        <v/>
      </c>
      <c r="W5807" s="16">
        <f>V5807*N5807*O5807</f>
        <v/>
      </c>
      <c r="X5807" s="12">
        <f>IF(LEFT(I5807,2)="MV",2*N5807*IF(L5807="1/C",O5807,1),0)</f>
        <v/>
      </c>
      <c r="Y5807" s="12">
        <f>IF(OR(LEFT(K5807,4)="LVAX",LEFT(K5807,6)="MV15AX",LEFT(K5807,4)="CTAX",LEFT(K5807,2)="W|"),2*N5807*O5807,0)</f>
        <v/>
      </c>
      <c r="Z5807" s="12" t="inlineStr">
        <is>
          <t>device-to-JB field wiring, one cable per device</t>
        </is>
      </c>
      <c r="AA5807" s="12">
        <f>N5807*O5807</f>
        <v/>
      </c>
    </row>
    <row r="5808">
      <c r="A5808" s="12" t="inlineStr">
        <is>
          <t>K-I-0188</t>
        </is>
      </c>
      <c r="B5808" s="12" t="inlineStr">
        <is>
          <t>K</t>
        </is>
      </c>
      <c r="C5808" s="12" t="inlineStr">
        <is>
          <t>Fuel supply (adjacent market)</t>
        </is>
      </c>
      <c r="D5808" s="12" t="inlineStr">
        <is>
          <t>Home run JB-M&amp;R 8: condensate -DI01 to the control / marshalling room</t>
        </is>
      </c>
      <c r="E5808" s="12" t="inlineStr"/>
      <c r="F5808" s="12" t="inlineStr">
        <is>
          <t>LNG 17: LNG e-house (13.8 kV / 480 V)</t>
        </is>
      </c>
      <c r="G5808" s="12" t="inlineStr">
        <is>
          <t>JB-M&amp;R 8: condensate -DI01</t>
        </is>
      </c>
      <c r="H5808" s="12" t="inlineStr">
        <is>
          <t>M&amp;R 8: condensate tank</t>
        </is>
      </c>
      <c r="I5808" s="12" t="inlineStr">
        <is>
          <t>Instrumentation</t>
        </is>
      </c>
      <c r="J5808" s="12" t="inlineStr">
        <is>
          <t>Instrumentation ITC / PLTC, IS, #18 shielded pairs, blue jacket</t>
        </is>
      </c>
      <c r="K5808" s="12" t="inlineStr">
        <is>
          <t>ITC|24 pr|18</t>
        </is>
      </c>
      <c r="L5808" s="12" t="inlineStr">
        <is>
          <t>24 pr</t>
        </is>
      </c>
      <c r="M5808" s="12" t="inlineStr">
        <is>
          <t>18</t>
        </is>
      </c>
      <c r="N5808" s="12" t="n">
        <v>1</v>
      </c>
      <c r="O5808" s="12" t="n">
        <v>1</v>
      </c>
      <c r="P5808" s="12" t="n"/>
      <c r="Q5808" s="12" t="n"/>
      <c r="R5808" s="12" t="n"/>
      <c r="S5808" s="12" t="inlineStr">
        <is>
          <t>Duct bank</t>
        </is>
      </c>
      <c r="T5808" s="16" t="n">
        <v>530</v>
      </c>
      <c r="U5808" s="16" t="n">
        <v>87</v>
      </c>
      <c r="V5808" s="16">
        <f>ROUNDUP((T5808+U5808+2*'Read Me'!$B$13)*(1+'Read Me'!$B$12),-1)</f>
        <v/>
      </c>
      <c r="W5808" s="16">
        <f>V5808*N5808*O5808</f>
        <v/>
      </c>
      <c r="X5808" s="12">
        <f>IF(LEFT(I5808,2)="MV",2*N5808*IF(L5808="1/C",O5808,1),0)</f>
        <v/>
      </c>
      <c r="Y5808" s="12">
        <f>IF(OR(LEFT(K5808,4)="LVAX",LEFT(K5808,6)="MV15AX",LEFT(K5808,4)="CTAX",LEFT(K5808,2)="W|"),2*N5808*O5808,0)</f>
        <v/>
      </c>
      <c r="Z5808" s="12" t="inlineStr"/>
      <c r="AA5808" s="12">
        <f>N5808*O5808</f>
        <v/>
      </c>
    </row>
    <row r="5809">
      <c r="A5809" s="12" t="inlineStr">
        <is>
          <t>K-I-0189</t>
        </is>
      </c>
      <c r="B5809" s="12" t="inlineStr">
        <is>
          <t>K</t>
        </is>
      </c>
      <c r="C5809" s="12" t="inlineStr">
        <is>
          <t>Fuel supply (adjacent market)</t>
        </is>
      </c>
      <c r="D5809" s="12" t="inlineStr">
        <is>
          <t>Instrumentation</t>
        </is>
      </c>
      <c r="E5809" s="12" t="inlineStr"/>
      <c r="F5809" s="12" t="inlineStr">
        <is>
          <t>LNG 17: LNG e-house (13.8 kV / 480 V)</t>
        </is>
      </c>
      <c r="G5809" s="12" t="inlineStr"/>
      <c r="H5809" s="12" t="inlineStr">
        <is>
          <t>M&amp;R CP test station (as drawn)</t>
        </is>
      </c>
      <c r="I5809" s="12" t="inlineStr">
        <is>
          <t>Instrumentation</t>
        </is>
      </c>
      <c r="J5809" s="12" t="inlineStr">
        <is>
          <t>Instrumentation ITC / PLTC, IS, #18 shielded pairs, blue jacket</t>
        </is>
      </c>
      <c r="K5809" s="12" t="inlineStr">
        <is>
          <t>ITC|4 pr|18</t>
        </is>
      </c>
      <c r="L5809" s="12" t="inlineStr">
        <is>
          <t>4 pr</t>
        </is>
      </c>
      <c r="M5809" s="12" t="inlineStr">
        <is>
          <t>18</t>
        </is>
      </c>
      <c r="N5809" s="12" t="n">
        <v>1</v>
      </c>
      <c r="O5809" s="12" t="n">
        <v>1</v>
      </c>
      <c r="P5809" s="12" t="n"/>
      <c r="Q5809" s="12" t="n"/>
      <c r="R5809" s="12" t="n"/>
      <c r="S5809" s="12" t="inlineStr">
        <is>
          <t>Duct bank</t>
        </is>
      </c>
      <c r="T5809" s="16" t="n">
        <v>441</v>
      </c>
      <c r="U5809" s="16" t="n">
        <v>42</v>
      </c>
      <c r="V5809" s="16">
        <f>ROUNDUP((T5809+U5809+2*'Read Me'!$B$13)*(1+'Read Me'!$B$12),-1)</f>
        <v/>
      </c>
      <c r="W5809" s="16">
        <f>V5809*N5809*O5809</f>
        <v/>
      </c>
      <c r="X5809" s="12">
        <f>IF(LEFT(I5809,2)="MV",2*N5809*IF(L5809="1/C",O5809,1),0)</f>
        <v/>
      </c>
      <c r="Y5809" s="12">
        <f>IF(OR(LEFT(K5809,4)="LVAX",LEFT(K5809,6)="MV15AX",LEFT(K5809,4)="CTAX",LEFT(K5809,2)="W|"),2*N5809*O5809,0)</f>
        <v/>
      </c>
      <c r="Z5809" s="12" t="inlineStr"/>
      <c r="AA5809" s="12">
        <f>N5809*O5809</f>
        <v/>
      </c>
    </row>
    <row r="5810">
      <c r="A5810" s="12" t="inlineStr">
        <is>
          <t>K-I-0190</t>
        </is>
      </c>
      <c r="B5810" s="12" t="inlineStr">
        <is>
          <t>K</t>
        </is>
      </c>
      <c r="C5810" s="12" t="inlineStr">
        <is>
          <t>Fuel supply (adjacent market)</t>
        </is>
      </c>
      <c r="D5810" s="12" t="inlineStr">
        <is>
          <t>Instrumentation</t>
        </is>
      </c>
      <c r="E5810" s="12" t="inlineStr"/>
      <c r="F5810" s="12" t="inlineStr">
        <is>
          <t>H2 20: 13.8 kV e-house</t>
        </is>
      </c>
      <c r="G5810" s="12" t="inlineStr"/>
      <c r="H5810" s="12" t="inlineStr">
        <is>
          <t>PEM electrolyzer 1 (HyLYZER-1000)</t>
        </is>
      </c>
      <c r="I5810" s="12" t="inlineStr">
        <is>
          <t>Instrumentation</t>
        </is>
      </c>
      <c r="J5810" s="12" t="inlineStr">
        <is>
          <t>Instrumentation ITC / PLTC, IS, #18 shielded pairs, blue jacket</t>
        </is>
      </c>
      <c r="K5810" s="12" t="inlineStr">
        <is>
          <t>ITC|4 pr|18</t>
        </is>
      </c>
      <c r="L5810" s="12" t="inlineStr">
        <is>
          <t>4 pr</t>
        </is>
      </c>
      <c r="M5810" s="12" t="inlineStr">
        <is>
          <t>18</t>
        </is>
      </c>
      <c r="N5810" s="12" t="n">
        <v>1</v>
      </c>
      <c r="O5810" s="12" t="n">
        <v>1</v>
      </c>
      <c r="P5810" s="12" t="n"/>
      <c r="Q5810" s="12" t="n"/>
      <c r="R5810" s="12" t="n"/>
      <c r="S5810" s="12" t="inlineStr">
        <is>
          <t>Duct bank</t>
        </is>
      </c>
      <c r="T5810" s="16" t="n">
        <v>358</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c r="AA5810" s="12">
        <f>N5810*O5810</f>
        <v/>
      </c>
    </row>
    <row r="5811">
      <c r="A5811" s="12" t="inlineStr">
        <is>
          <t>K-I-0191</t>
        </is>
      </c>
      <c r="B5811" s="12" t="inlineStr">
        <is>
          <t>K</t>
        </is>
      </c>
      <c r="C5811" s="12" t="inlineStr">
        <is>
          <t>Fuel supply (adjacent market)</t>
        </is>
      </c>
      <c r="D5811" s="12" t="inlineStr">
        <is>
          <t>Instrumentation</t>
        </is>
      </c>
      <c r="E5811" s="12" t="inlineStr"/>
      <c r="F5811" s="12" t="inlineStr">
        <is>
          <t>H2 20: 13.8 kV e-house</t>
        </is>
      </c>
      <c r="G5811" s="12" t="inlineStr"/>
      <c r="H5811" s="12" t="inlineStr">
        <is>
          <t>PEM electrolyzer 2 (HyLYZER-1000)</t>
        </is>
      </c>
      <c r="I5811" s="12" t="inlineStr">
        <is>
          <t>Instrumentation</t>
        </is>
      </c>
      <c r="J5811" s="12" t="inlineStr">
        <is>
          <t>Instrumentation ITC / PLTC, IS, #18 shielded pairs, blue jacket</t>
        </is>
      </c>
      <c r="K5811" s="12" t="inlineStr">
        <is>
          <t>ITC|4 pr|18</t>
        </is>
      </c>
      <c r="L5811" s="12" t="inlineStr">
        <is>
          <t>4 pr</t>
        </is>
      </c>
      <c r="M5811" s="12" t="inlineStr">
        <is>
          <t>18</t>
        </is>
      </c>
      <c r="N5811" s="12" t="n">
        <v>1</v>
      </c>
      <c r="O5811" s="12" t="n">
        <v>1</v>
      </c>
      <c r="P5811" s="12" t="n"/>
      <c r="Q5811" s="12" t="n"/>
      <c r="R5811" s="12" t="n"/>
      <c r="S5811" s="12" t="inlineStr">
        <is>
          <t>Duct bank</t>
        </is>
      </c>
      <c r="T5811" s="16" t="n">
        <v>358</v>
      </c>
      <c r="U5811" s="16" t="n">
        <v>48</v>
      </c>
      <c r="V5811" s="16">
        <f>ROUNDUP((T5811+U5811+2*'Read Me'!$B$13)*(1+'Read Me'!$B$12),-1)</f>
        <v/>
      </c>
      <c r="W5811" s="16">
        <f>V5811*N5811*O5811</f>
        <v/>
      </c>
      <c r="X5811" s="12">
        <f>IF(LEFT(I5811,2)="MV",2*N5811*IF(L5811="1/C",O5811,1),0)</f>
        <v/>
      </c>
      <c r="Y5811" s="12">
        <f>IF(OR(LEFT(K5811,4)="LVAX",LEFT(K5811,6)="MV15AX",LEFT(K5811,4)="CTAX",LEFT(K5811,2)="W|"),2*N5811*O5811,0)</f>
        <v/>
      </c>
      <c r="Z5811" s="12" t="inlineStr"/>
      <c r="AA5811" s="12">
        <f>N5811*O5811</f>
        <v/>
      </c>
    </row>
    <row r="5812">
      <c r="A5812" s="12" t="inlineStr">
        <is>
          <t>K-I-0192</t>
        </is>
      </c>
      <c r="B5812" s="12" t="inlineStr">
        <is>
          <t>K</t>
        </is>
      </c>
      <c r="C5812" s="12" t="inlineStr">
        <is>
          <t>Fuel supply (adjacent market)</t>
        </is>
      </c>
      <c r="D5812" s="12" t="inlineStr">
        <is>
          <t>Instrumentation</t>
        </is>
      </c>
      <c r="E5812" s="12" t="inlineStr"/>
      <c r="F5812" s="12" t="inlineStr">
        <is>
          <t>H2 20: 13.8 kV e-house</t>
        </is>
      </c>
      <c r="G5812" s="12" t="inlineStr"/>
      <c r="H5812" s="12" t="inlineStr">
        <is>
          <t>PEM electrolyzer 3 (HyLYZER-1000)</t>
        </is>
      </c>
      <c r="I5812" s="12" t="inlineStr">
        <is>
          <t>Instrumentation</t>
        </is>
      </c>
      <c r="J5812" s="12" t="inlineStr">
        <is>
          <t>Instrumentation ITC / PLTC, IS, #18 shielded pairs, blue jacket</t>
        </is>
      </c>
      <c r="K5812" s="12" t="inlineStr">
        <is>
          <t>ITC|4 pr|18</t>
        </is>
      </c>
      <c r="L5812" s="12" t="inlineStr">
        <is>
          <t>4 pr</t>
        </is>
      </c>
      <c r="M5812" s="12" t="inlineStr">
        <is>
          <t>18</t>
        </is>
      </c>
      <c r="N5812" s="12" t="n">
        <v>1</v>
      </c>
      <c r="O5812" s="12" t="n">
        <v>1</v>
      </c>
      <c r="P5812" s="12" t="n"/>
      <c r="Q5812" s="12" t="n"/>
      <c r="R5812" s="12" t="n"/>
      <c r="S5812" s="12" t="inlineStr">
        <is>
          <t>Duct bank</t>
        </is>
      </c>
      <c r="T5812" s="16" t="n">
        <v>348</v>
      </c>
      <c r="U5812" s="16" t="n">
        <v>49</v>
      </c>
      <c r="V5812" s="16">
        <f>ROUNDUP((T5812+U5812+2*'Read Me'!$B$13)*(1+'Read Me'!$B$12),-1)</f>
        <v/>
      </c>
      <c r="W5812" s="16">
        <f>V5812*N5812*O5812</f>
        <v/>
      </c>
      <c r="X5812" s="12">
        <f>IF(LEFT(I5812,2)="MV",2*N5812*IF(L5812="1/C",O5812,1),0)</f>
        <v/>
      </c>
      <c r="Y5812" s="12">
        <f>IF(OR(LEFT(K5812,4)="LVAX",LEFT(K5812,6)="MV15AX",LEFT(K5812,4)="CTAX",LEFT(K5812,2)="W|"),2*N5812*O5812,0)</f>
        <v/>
      </c>
      <c r="Z5812" s="12" t="inlineStr"/>
      <c r="AA5812" s="12">
        <f>N5812*O5812</f>
        <v/>
      </c>
    </row>
    <row r="5813">
      <c r="A5813" s="12" t="inlineStr">
        <is>
          <t>K-I-0193</t>
        </is>
      </c>
      <c r="B5813" s="12" t="inlineStr">
        <is>
          <t>K</t>
        </is>
      </c>
      <c r="C5813" s="12" t="inlineStr">
        <is>
          <t>Fuel supply (adjacent market)</t>
        </is>
      </c>
      <c r="D5813" s="12" t="inlineStr">
        <is>
          <t>Instrumentation</t>
        </is>
      </c>
      <c r="E5813" s="12" t="inlineStr"/>
      <c r="F5813" s="12" t="inlineStr">
        <is>
          <t>H2 20: 13.8 kV e-house</t>
        </is>
      </c>
      <c r="G5813" s="12" t="inlineStr"/>
      <c r="H5813" s="12" t="inlineStr">
        <is>
          <t>PEM electrolyzer 4 (HyLYZER-1000)</t>
        </is>
      </c>
      <c r="I5813" s="12" t="inlineStr">
        <is>
          <t>Instrumentation</t>
        </is>
      </c>
      <c r="J5813" s="12" t="inlineStr">
        <is>
          <t>Instrumentation ITC / PLTC, IS, #18 shielded pairs, blue jacket</t>
        </is>
      </c>
      <c r="K5813" s="12" t="inlineStr">
        <is>
          <t>ITC|4 pr|18</t>
        </is>
      </c>
      <c r="L5813" s="12" t="inlineStr">
        <is>
          <t>4 pr</t>
        </is>
      </c>
      <c r="M5813" s="12" t="inlineStr">
        <is>
          <t>18</t>
        </is>
      </c>
      <c r="N5813" s="12" t="n">
        <v>1</v>
      </c>
      <c r="O5813" s="12" t="n">
        <v>1</v>
      </c>
      <c r="P5813" s="12" t="n"/>
      <c r="Q5813" s="12" t="n"/>
      <c r="R5813" s="12" t="n"/>
      <c r="S5813" s="12" t="inlineStr">
        <is>
          <t>Duct bank</t>
        </is>
      </c>
      <c r="T5813" s="16" t="n">
        <v>328</v>
      </c>
      <c r="U5813" s="16" t="n">
        <v>49</v>
      </c>
      <c r="V5813" s="16">
        <f>ROUNDUP((T5813+U5813+2*'Read Me'!$B$13)*(1+'Read Me'!$B$12),-1)</f>
        <v/>
      </c>
      <c r="W5813" s="16">
        <f>V5813*N5813*O5813</f>
        <v/>
      </c>
      <c r="X5813" s="12">
        <f>IF(LEFT(I5813,2)="MV",2*N5813*IF(L5813="1/C",O5813,1),0)</f>
        <v/>
      </c>
      <c r="Y5813" s="12">
        <f>IF(OR(LEFT(K5813,4)="LVAX",LEFT(K5813,6)="MV15AX",LEFT(K5813,4)="CTAX",LEFT(K5813,2)="W|"),2*N5813*O5813,0)</f>
        <v/>
      </c>
      <c r="Z5813" s="12" t="inlineStr"/>
      <c r="AA5813" s="12">
        <f>N5813*O5813</f>
        <v/>
      </c>
    </row>
    <row r="5814">
      <c r="A5814" s="12" t="inlineStr">
        <is>
          <t>K-I-0194</t>
        </is>
      </c>
      <c r="B5814" s="12" t="inlineStr">
        <is>
          <t>K</t>
        </is>
      </c>
      <c r="C5814" s="12" t="inlineStr">
        <is>
          <t>Fuel supply (adjacent market)</t>
        </is>
      </c>
      <c r="D5814" s="12" t="inlineStr">
        <is>
          <t>Instrumentation</t>
        </is>
      </c>
      <c r="E5814" s="12" t="inlineStr"/>
      <c r="F5814" s="12" t="inlineStr">
        <is>
          <t>H2 20: 13.8 kV e-house</t>
        </is>
      </c>
      <c r="G5814" s="12" t="inlineStr"/>
      <c r="H5814" s="12" t="inlineStr">
        <is>
          <t>PEM electrolyzer 5 (HyLYZER-1000)</t>
        </is>
      </c>
      <c r="I5814" s="12" t="inlineStr">
        <is>
          <t>Instrumentation</t>
        </is>
      </c>
      <c r="J5814" s="12" t="inlineStr">
        <is>
          <t>Instrumentation ITC / PLTC, IS, #18 shielded pairs, blue jacket</t>
        </is>
      </c>
      <c r="K5814" s="12" t="inlineStr">
        <is>
          <t>ITC|4 pr|18</t>
        </is>
      </c>
      <c r="L5814" s="12" t="inlineStr">
        <is>
          <t>4 pr</t>
        </is>
      </c>
      <c r="M5814" s="12" t="inlineStr">
        <is>
          <t>18</t>
        </is>
      </c>
      <c r="N5814" s="12" t="n">
        <v>1</v>
      </c>
      <c r="O5814" s="12" t="n">
        <v>1</v>
      </c>
      <c r="P5814" s="12" t="n"/>
      <c r="Q5814" s="12" t="n"/>
      <c r="R5814" s="12" t="n"/>
      <c r="S5814" s="12" t="inlineStr">
        <is>
          <t>Duct bank</t>
        </is>
      </c>
      <c r="T5814" s="16" t="n">
        <v>328</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c r="AA5814" s="12">
        <f>N5814*O5814</f>
        <v/>
      </c>
    </row>
    <row r="5815">
      <c r="A5815" s="12" t="inlineStr">
        <is>
          <t>K-P-0001</t>
        </is>
      </c>
      <c r="B5815" s="12" t="inlineStr">
        <is>
          <t>K</t>
        </is>
      </c>
      <c r="C5815" s="12" t="inlineStr">
        <is>
          <t>Fuel supply (adjacent market)</t>
        </is>
      </c>
      <c r="D5815" s="12" t="inlineStr">
        <is>
          <t>Motor 1 of 1, 15 kW</t>
        </is>
      </c>
      <c r="E5815" s="12" t="inlineStr"/>
      <c r="F5815" s="12" t="inlineStr">
        <is>
          <t>H2 20: 13.8 kV e-house</t>
        </is>
      </c>
      <c r="G5815" s="12" t="inlineStr">
        <is>
          <t>T-H2</t>
        </is>
      </c>
      <c r="H5815" s="12" t="inlineStr">
        <is>
          <t>H2 19: T-H2 230/13.8 kV (about 40 MVA)</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35</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0.7 %</t>
        </is>
      </c>
      <c r="AA5815" s="12">
        <f>N5815*O5815</f>
        <v/>
      </c>
    </row>
    <row r="5816">
      <c r="A5816" s="12" t="inlineStr">
        <is>
          <t>K-P-0002</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20: 13.8 kV e-house</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Tray</t>
        </is>
      </c>
      <c r="T5816" s="16" t="n">
        <v>0</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0.3 %</t>
        </is>
      </c>
      <c r="AA5816" s="12">
        <f>N5816*O5816</f>
        <v/>
      </c>
    </row>
    <row r="5817">
      <c r="A5817" s="12" t="inlineStr">
        <is>
          <t>K-P-0003</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21: rectifier transformer 1 (7 MVA)</t>
        </is>
      </c>
      <c r="I5817" s="12" t="inlineStr">
        <is>
          <t>LV 600 V</t>
        </is>
      </c>
      <c r="J5817" s="12" t="inlineStr">
        <is>
          <t>ARMOR-X MC-HL 600 V 3/C Cu XHHW-2 + ground, CWA, black PVC (Class I Div 2)</t>
        </is>
      </c>
      <c r="K5817" s="12" t="inlineStr">
        <is>
          <t>LVAX|3/C+G|8</t>
        </is>
      </c>
      <c r="L5817" s="12" t="inlineStr">
        <is>
          <t>3/C+G</t>
        </is>
      </c>
      <c r="M5817" s="12" t="inlineStr">
        <is>
          <t>8</t>
        </is>
      </c>
      <c r="N5817" s="12" t="n">
        <v>1</v>
      </c>
      <c r="O5817" s="12" t="n">
        <v>1</v>
      </c>
      <c r="P5817" s="12" t="n">
        <v>480</v>
      </c>
      <c r="Q5817" s="12" t="n">
        <v>15</v>
      </c>
      <c r="R5817" s="12" t="n">
        <v>21.2</v>
      </c>
      <c r="S5817" s="12" t="inlineStr">
        <is>
          <t>Duct bank</t>
        </is>
      </c>
      <c r="T5817" s="16" t="n">
        <v>356</v>
      </c>
      <c r="U5817" s="16" t="n">
        <v>48</v>
      </c>
      <c r="V5817" s="16">
        <f>ROUNDUP((T5817+U5817+2*'Read Me'!$B$13)*(1+'Read Me'!$B$12),-1)</f>
        <v/>
      </c>
      <c r="W5817" s="16">
        <f>V5817*N5817*O5817</f>
        <v/>
      </c>
      <c r="X5817" s="12">
        <f>IF(LEFT(I5817,2)="MV",2*N5817*IF(L5817="1/C",O5817,1),0)</f>
        <v/>
      </c>
      <c r="Y5817" s="12">
        <f>IF(OR(LEFT(K5817,4)="LVAX",LEFT(K5817,6)="MV15AX",LEFT(K5817,4)="CTAX",LEFT(K5817,2)="W|"),2*N5817*O5817,0)</f>
        <v/>
      </c>
      <c r="Z5817" s="12" t="inlineStr">
        <is>
          <t>VD 2.6 %</t>
        </is>
      </c>
      <c r="AA5817" s="12">
        <f>N5817*O5817</f>
        <v/>
      </c>
    </row>
    <row r="5818">
      <c r="A5818" s="12" t="inlineStr">
        <is>
          <t>K-P-0004</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21: rectifier transformer 2 (7 MVA)</t>
        </is>
      </c>
      <c r="I5818" s="12" t="inlineStr">
        <is>
          <t>LV 600 V</t>
        </is>
      </c>
      <c r="J5818" s="12" t="inlineStr">
        <is>
          <t>ARMOR-X MC-HL 600 V 3/C Cu XHHW-2 + ground, CWA, black PVC (Class I Div 2)</t>
        </is>
      </c>
      <c r="K5818" s="12" t="inlineStr">
        <is>
          <t>LVAX|3/C+G|8</t>
        </is>
      </c>
      <c r="L5818" s="12" t="inlineStr">
        <is>
          <t>3/C+G</t>
        </is>
      </c>
      <c r="M5818" s="12" t="inlineStr">
        <is>
          <t>8</t>
        </is>
      </c>
      <c r="N5818" s="12" t="n">
        <v>1</v>
      </c>
      <c r="O5818" s="12" t="n">
        <v>1</v>
      </c>
      <c r="P5818" s="12" t="n">
        <v>480</v>
      </c>
      <c r="Q5818" s="12" t="n">
        <v>15</v>
      </c>
      <c r="R5818" s="12" t="n">
        <v>21.2</v>
      </c>
      <c r="S5818" s="12" t="inlineStr">
        <is>
          <t>Duct bank</t>
        </is>
      </c>
      <c r="T5818" s="16" t="n">
        <v>356</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2.5 %</t>
        </is>
      </c>
      <c r="AA5818" s="12">
        <f>N5818*O5818</f>
        <v/>
      </c>
    </row>
    <row r="5819">
      <c r="A5819" s="12" t="inlineStr">
        <is>
          <t>K-P-0005</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21: rectifier transformer 3 (7 MVA)</t>
        </is>
      </c>
      <c r="I5819" s="12" t="inlineStr">
        <is>
          <t>LV 600 V</t>
        </is>
      </c>
      <c r="J5819" s="12" t="inlineStr">
        <is>
          <t>ARMOR-X MC-HL 600 V 3/C Cu XHHW-2 + ground, CWA, black PVC (Class I Div 2)</t>
        </is>
      </c>
      <c r="K5819" s="12" t="inlineStr">
        <is>
          <t>LVAX|3/C+G|8</t>
        </is>
      </c>
      <c r="L5819" s="12" t="inlineStr">
        <is>
          <t>3/C+G</t>
        </is>
      </c>
      <c r="M5819" s="12" t="inlineStr">
        <is>
          <t>8</t>
        </is>
      </c>
      <c r="N5819" s="12" t="n">
        <v>1</v>
      </c>
      <c r="O5819" s="12" t="n">
        <v>1</v>
      </c>
      <c r="P5819" s="12" t="n">
        <v>480</v>
      </c>
      <c r="Q5819" s="12" t="n">
        <v>15</v>
      </c>
      <c r="R5819" s="12" t="n">
        <v>21.2</v>
      </c>
      <c r="S5819" s="12" t="inlineStr">
        <is>
          <t>Duct bank</t>
        </is>
      </c>
      <c r="T5819" s="16" t="n">
        <v>334</v>
      </c>
      <c r="U5819" s="16" t="n">
        <v>32</v>
      </c>
      <c r="V5819" s="16">
        <f>ROUNDUP((T5819+U5819+2*'Read Me'!$B$13)*(1+'Read Me'!$B$12),-1)</f>
        <v/>
      </c>
      <c r="W5819" s="16">
        <f>V5819*N5819*O5819</f>
        <v/>
      </c>
      <c r="X5819" s="12">
        <f>IF(LEFT(I5819,2)="MV",2*N5819*IF(L5819="1/C",O5819,1),0)</f>
        <v/>
      </c>
      <c r="Y5819" s="12">
        <f>IF(OR(LEFT(K5819,4)="LVAX",LEFT(K5819,6)="MV15AX",LEFT(K5819,4)="CTAX",LEFT(K5819,2)="W|"),2*N5819*O5819,0)</f>
        <v/>
      </c>
      <c r="Z5819" s="12" t="inlineStr">
        <is>
          <t>VD 2.4 %</t>
        </is>
      </c>
      <c r="AA5819" s="12">
        <f>N5819*O5819</f>
        <v/>
      </c>
    </row>
    <row r="5820">
      <c r="A5820" s="12" t="inlineStr">
        <is>
          <t>K-P-0006</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21: rectifier transformer 4 (7 MVA)</t>
        </is>
      </c>
      <c r="I5820" s="12" t="inlineStr">
        <is>
          <t>LV 600 V</t>
        </is>
      </c>
      <c r="J5820" s="12" t="inlineStr">
        <is>
          <t>ARMOR-X MC-HL 600 V 3/C Cu XHHW-2 + ground, CWA, black PVC (Class I Div 2)</t>
        </is>
      </c>
      <c r="K5820" s="12" t="inlineStr">
        <is>
          <t>LVAX|3/C+G|8</t>
        </is>
      </c>
      <c r="L5820" s="12" t="inlineStr">
        <is>
          <t>3/C+G</t>
        </is>
      </c>
      <c r="M5820" s="12" t="inlineStr">
        <is>
          <t>8</t>
        </is>
      </c>
      <c r="N5820" s="12" t="n">
        <v>1</v>
      </c>
      <c r="O5820" s="12" t="n">
        <v>1</v>
      </c>
      <c r="P5820" s="12" t="n">
        <v>480</v>
      </c>
      <c r="Q5820" s="12" t="n">
        <v>15</v>
      </c>
      <c r="R5820" s="12" t="n">
        <v>21.2</v>
      </c>
      <c r="S5820" s="12" t="inlineStr">
        <is>
          <t>Duct bank</t>
        </is>
      </c>
      <c r="T5820" s="16" t="n">
        <v>312</v>
      </c>
      <c r="U5820" s="16" t="n">
        <v>32</v>
      </c>
      <c r="V5820" s="16">
        <f>ROUNDUP((T5820+U5820+2*'Read Me'!$B$13)*(1+'Read Me'!$B$12),-1)</f>
        <v/>
      </c>
      <c r="W5820" s="16">
        <f>V5820*N5820*O5820</f>
        <v/>
      </c>
      <c r="X5820" s="12">
        <f>IF(LEFT(I5820,2)="MV",2*N5820*IF(L5820="1/C",O5820,1),0)</f>
        <v/>
      </c>
      <c r="Y5820" s="12">
        <f>IF(OR(LEFT(K5820,4)="LVAX",LEFT(K5820,6)="MV15AX",LEFT(K5820,4)="CTAX",LEFT(K5820,2)="W|"),2*N5820*O5820,0)</f>
        <v/>
      </c>
      <c r="Z5820" s="12" t="inlineStr">
        <is>
          <t>VD 2.2 %</t>
        </is>
      </c>
      <c r="AA5820" s="12">
        <f>N5820*O5820</f>
        <v/>
      </c>
    </row>
    <row r="5821">
      <c r="A5821" s="12" t="inlineStr">
        <is>
          <t>K-P-0007</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21: rectifier transformer 5 (7 MVA)</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254</v>
      </c>
      <c r="U5821" s="16" t="n">
        <v>32</v>
      </c>
      <c r="V5821" s="16">
        <f>ROUNDUP((T5821+U5821+2*'Read Me'!$B$13)*(1+'Read Me'!$B$12),-1)</f>
        <v/>
      </c>
      <c r="W5821" s="16">
        <f>V5821*N5821*O5821</f>
        <v/>
      </c>
      <c r="X5821" s="12">
        <f>IF(LEFT(I5821,2)="MV",2*N5821*IF(L5821="1/C",O5821,1),0)</f>
        <v/>
      </c>
      <c r="Y5821" s="12">
        <f>IF(OR(LEFT(K5821,4)="LVAX",LEFT(K5821,6)="MV15AX",LEFT(K5821,4)="CTAX",LEFT(K5821,2)="W|"),2*N5821*O5821,0)</f>
        <v/>
      </c>
      <c r="Z5821" s="12" t="inlineStr">
        <is>
          <t>VD 2.9 %</t>
        </is>
      </c>
      <c r="AA5821" s="12">
        <f>N5821*O5821</f>
        <v/>
      </c>
    </row>
    <row r="5822">
      <c r="A5822" s="12" t="inlineStr">
        <is>
          <t>K-P-0008</t>
        </is>
      </c>
      <c r="B5822" s="12" t="inlineStr">
        <is>
          <t>K</t>
        </is>
      </c>
      <c r="C5822" s="12" t="inlineStr">
        <is>
          <t>Fuel supply (adjacent market)</t>
        </is>
      </c>
      <c r="D5822" s="12" t="inlineStr">
        <is>
          <t>Motor 1 of 1, 15 kW</t>
        </is>
      </c>
      <c r="E5822" s="12" t="inlineStr"/>
      <c r="F5822" s="12" t="inlineStr">
        <is>
          <t>H2 20: 13.8 kV e-house</t>
        </is>
      </c>
      <c r="G5822" s="12" t="inlineStr">
        <is>
          <t>H2-EL</t>
        </is>
      </c>
      <c r="H5822" s="12" t="inlineStr">
        <is>
          <t>H2 22: electrolyzer building (5 x HyLYZER-1000 + 5 rectifiers)</t>
        </is>
      </c>
      <c r="I5822" s="12" t="inlineStr">
        <is>
          <t>LV 600 V</t>
        </is>
      </c>
      <c r="J5822" s="12" t="inlineStr">
        <is>
          <t>ARMOR-X MC-HL 600 V 3/C Cu XHHW-2 + ground, CWA, black PVC (Class I Div 2)</t>
        </is>
      </c>
      <c r="K5822" s="12" t="inlineStr">
        <is>
          <t>LVAX|3/C+G|8</t>
        </is>
      </c>
      <c r="L5822" s="12" t="inlineStr">
        <is>
          <t>3/C+G</t>
        </is>
      </c>
      <c r="M5822" s="12" t="inlineStr">
        <is>
          <t>8</t>
        </is>
      </c>
      <c r="N5822" s="12" t="n">
        <v>1</v>
      </c>
      <c r="O5822" s="12" t="n">
        <v>1</v>
      </c>
      <c r="P5822" s="12" t="n">
        <v>480</v>
      </c>
      <c r="Q5822" s="12" t="n">
        <v>15</v>
      </c>
      <c r="R5822" s="12" t="n">
        <v>21.2</v>
      </c>
      <c r="S5822" s="12" t="inlineStr">
        <is>
          <t>Duct bank</t>
        </is>
      </c>
      <c r="T5822" s="16" t="n">
        <v>346</v>
      </c>
      <c r="U5822" s="16" t="n">
        <v>32</v>
      </c>
      <c r="V5822" s="16">
        <f>ROUNDUP((T5822+U5822+2*'Read Me'!$B$13)*(1+'Read Me'!$B$12),-1)</f>
        <v/>
      </c>
      <c r="W5822" s="16">
        <f>V5822*N5822*O5822</f>
        <v/>
      </c>
      <c r="X5822" s="12">
        <f>IF(LEFT(I5822,2)="MV",2*N5822*IF(L5822="1/C",O5822,1),0)</f>
        <v/>
      </c>
      <c r="Y5822" s="12">
        <f>IF(OR(LEFT(K5822,4)="LVAX",LEFT(K5822,6)="MV15AX",LEFT(K5822,4)="CTAX",LEFT(K5822,2)="W|"),2*N5822*O5822,0)</f>
        <v/>
      </c>
      <c r="Z5822" s="12" t="inlineStr">
        <is>
          <t>VD 2.4 %</t>
        </is>
      </c>
      <c r="AA5822" s="12">
        <f>N5822*O5822</f>
        <v/>
      </c>
    </row>
    <row r="5823">
      <c r="A5823" s="12" t="inlineStr">
        <is>
          <t>K-P-0009</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23: dry coolers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100</v>
      </c>
      <c r="U5823" s="16" t="n">
        <v>32</v>
      </c>
      <c r="V5823" s="16">
        <f>ROUNDUP((T5823+U5823+2*'Read Me'!$B$13)*(1+'Read Me'!$B$12),-1)</f>
        <v/>
      </c>
      <c r="W5823" s="16">
        <f>V5823*N5823*O5823</f>
        <v/>
      </c>
      <c r="X5823" s="12">
        <f>IF(LEFT(I5823,2)="MV",2*N5823*IF(L5823="1/C",O5823,1),0)</f>
        <v/>
      </c>
      <c r="Y5823" s="12">
        <f>IF(OR(LEFT(K5823,4)="LVAX",LEFT(K5823,6)="MV15AX",LEFT(K5823,4)="CTAX",LEFT(K5823,2)="W|"),2*N5823*O5823,0)</f>
        <v/>
      </c>
      <c r="Z5823" s="12" t="inlineStr">
        <is>
          <t>VD 1.3 %</t>
        </is>
      </c>
      <c r="AA5823" s="12">
        <f>N5823*O5823</f>
        <v/>
      </c>
    </row>
    <row r="5824">
      <c r="A5824" s="12" t="inlineStr">
        <is>
          <t>K-P-0010</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24: water purification (RO / EDI)</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146</v>
      </c>
      <c r="U5824" s="16" t="n">
        <v>32</v>
      </c>
      <c r="V5824" s="16">
        <f>ROUNDUP((T5824+U5824+2*'Read Me'!$B$13)*(1+'Read Me'!$B$12),-1)</f>
        <v/>
      </c>
      <c r="W5824" s="16">
        <f>V5824*N5824*O5824</f>
        <v/>
      </c>
      <c r="X5824" s="12">
        <f>IF(LEFT(I5824,2)="MV",2*N5824*IF(L5824="1/C",O5824,1),0)</f>
        <v/>
      </c>
      <c r="Y5824" s="12">
        <f>IF(OR(LEFT(K5824,4)="LVAX",LEFT(K5824,6)="MV15AX",LEFT(K5824,4)="CTAX",LEFT(K5824,2)="W|"),2*N5824*O5824,0)</f>
        <v/>
      </c>
      <c r="Z5824" s="12" t="inlineStr">
        <is>
          <t>VD 1.8 %</t>
        </is>
      </c>
      <c r="AA5824" s="12">
        <f>N5824*O5824</f>
        <v/>
      </c>
    </row>
    <row r="5825">
      <c r="A5825" s="12" t="inlineStr">
        <is>
          <t>K-P-0011</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25: H2 dryer / purification</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0</v>
      </c>
      <c r="U5825" s="16" t="n">
        <v>49</v>
      </c>
      <c r="V5825" s="16">
        <f>ROUNDUP((T5825+U5825+2*'Read Me'!$B$13)*(1+'Read Me'!$B$12),-1)</f>
        <v/>
      </c>
      <c r="W5825" s="16">
        <f>V5825*N5825*O5825</f>
        <v/>
      </c>
      <c r="X5825" s="12">
        <f>IF(LEFT(I5825,2)="MV",2*N5825*IF(L5825="1/C",O5825,1),0)</f>
        <v/>
      </c>
      <c r="Y5825" s="12">
        <f>IF(OR(LEFT(K5825,4)="LVAX",LEFT(K5825,6)="MV15AX",LEFT(K5825,4)="CTAX",LEFT(K5825,2)="W|"),2*N5825*O5825,0)</f>
        <v/>
      </c>
      <c r="Z5825" s="12" t="inlineStr">
        <is>
          <t>VD 0.5 %</t>
        </is>
      </c>
      <c r="AA5825" s="12">
        <f>N5825*O5825</f>
        <v/>
      </c>
    </row>
    <row r="5826">
      <c r="A5826" s="12" t="inlineStr">
        <is>
          <t>K-P-0012</t>
        </is>
      </c>
      <c r="B5826" s="12" t="inlineStr">
        <is>
          <t>K</t>
        </is>
      </c>
      <c r="C5826" s="12" t="inlineStr">
        <is>
          <t>Fuel supply (adjacent market)</t>
        </is>
      </c>
      <c r="D5826" s="12" t="inlineStr">
        <is>
          <t>Motor 1 of 1, 15 kW</t>
        </is>
      </c>
      <c r="E5826" s="12" t="inlineStr"/>
      <c r="F5826" s="12" t="inlineStr">
        <is>
          <t>H2 20: 13.8 kV e-house</t>
        </is>
      </c>
      <c r="G5826" s="12" t="inlineStr"/>
      <c r="H5826" s="12" t="inlineStr">
        <is>
          <t>H2 26: H2 compressor 1 (40 ft ISO)</t>
        </is>
      </c>
      <c r="I5826" s="12" t="inlineStr">
        <is>
          <t>LV 600 V</t>
        </is>
      </c>
      <c r="J5826" s="12" t="inlineStr">
        <is>
          <t>ARMOR-X MC-HL 600 V 3/C Cu XHHW-2 + ground, CWA, black PVC (Class I Div 2)</t>
        </is>
      </c>
      <c r="K5826" s="12" t="inlineStr">
        <is>
          <t>LVAX|3/C+G|10</t>
        </is>
      </c>
      <c r="L5826" s="12" t="inlineStr">
        <is>
          <t>3/C+G</t>
        </is>
      </c>
      <c r="M5826" s="12" t="inlineStr">
        <is>
          <t>10</t>
        </is>
      </c>
      <c r="N5826" s="12" t="n">
        <v>1</v>
      </c>
      <c r="O5826" s="12" t="n">
        <v>1</v>
      </c>
      <c r="P5826" s="12" t="n">
        <v>480</v>
      </c>
      <c r="Q5826" s="12" t="n">
        <v>15</v>
      </c>
      <c r="R5826" s="12" t="n">
        <v>21.2</v>
      </c>
      <c r="S5826" s="12" t="inlineStr">
        <is>
          <t>Duct bank</t>
        </is>
      </c>
      <c r="T5826" s="16" t="n">
        <v>50</v>
      </c>
      <c r="U5826" s="16" t="n">
        <v>32</v>
      </c>
      <c r="V5826" s="16">
        <f>ROUNDUP((T5826+U5826+2*'Read Me'!$B$13)*(1+'Read Me'!$B$12),-1)</f>
        <v/>
      </c>
      <c r="W5826" s="16">
        <f>V5826*N5826*O5826</f>
        <v/>
      </c>
      <c r="X5826" s="12">
        <f>IF(LEFT(I5826,2)="MV",2*N5826*IF(L5826="1/C",O5826,1),0)</f>
        <v/>
      </c>
      <c r="Y5826" s="12">
        <f>IF(OR(LEFT(K5826,4)="LVAX",LEFT(K5826,6)="MV15AX",LEFT(K5826,4)="CTAX",LEFT(K5826,2)="W|"),2*N5826*O5826,0)</f>
        <v/>
      </c>
      <c r="Z5826" s="12" t="inlineStr">
        <is>
          <t>VD 0.8 %</t>
        </is>
      </c>
      <c r="AA5826" s="12">
        <f>N5826*O5826</f>
        <v/>
      </c>
    </row>
    <row r="5827">
      <c r="A5827" s="12" t="inlineStr">
        <is>
          <t>K-P-0013</t>
        </is>
      </c>
      <c r="B5827" s="12" t="inlineStr">
        <is>
          <t>K</t>
        </is>
      </c>
      <c r="C5827" s="12" t="inlineStr">
        <is>
          <t>Fuel supply (adjacent market)</t>
        </is>
      </c>
      <c r="D5827" s="12" t="inlineStr">
        <is>
          <t>Motor 1 of 1, 15 kW</t>
        </is>
      </c>
      <c r="E5827" s="12" t="inlineStr"/>
      <c r="F5827" s="12" t="inlineStr">
        <is>
          <t>H2 20: 13.8 kV e-house</t>
        </is>
      </c>
      <c r="G5827" s="12" t="inlineStr"/>
      <c r="H5827" s="12" t="inlineStr">
        <is>
          <t>H2 26: H2 compressor 2 (40 ft ISO)</t>
        </is>
      </c>
      <c r="I5827" s="12" t="inlineStr">
        <is>
          <t>LV 600 V</t>
        </is>
      </c>
      <c r="J5827" s="12" t="inlineStr">
        <is>
          <t>ARMOR-X MC-HL 600 V 3/C Cu XHHW-2 + ground, CWA, black PVC (Class I Div 2)</t>
        </is>
      </c>
      <c r="K5827" s="12" t="inlineStr">
        <is>
          <t>LVAX|3/C+G|10</t>
        </is>
      </c>
      <c r="L5827" s="12" t="inlineStr">
        <is>
          <t>3/C+G</t>
        </is>
      </c>
      <c r="M5827" s="12" t="inlineStr">
        <is>
          <t>10</t>
        </is>
      </c>
      <c r="N5827" s="12" t="n">
        <v>1</v>
      </c>
      <c r="O5827" s="12" t="n">
        <v>1</v>
      </c>
      <c r="P5827" s="12" t="n">
        <v>480</v>
      </c>
      <c r="Q5827" s="12" t="n">
        <v>15</v>
      </c>
      <c r="R5827" s="12" t="n">
        <v>21.2</v>
      </c>
      <c r="S5827" s="12" t="inlineStr">
        <is>
          <t>Duct bank</t>
        </is>
      </c>
      <c r="T5827" s="16" t="n">
        <v>50</v>
      </c>
      <c r="U5827" s="16" t="n">
        <v>47</v>
      </c>
      <c r="V5827" s="16">
        <f>ROUNDUP((T5827+U5827+2*'Read Me'!$B$13)*(1+'Read Me'!$B$12),-1)</f>
        <v/>
      </c>
      <c r="W5827" s="16">
        <f>V5827*N5827*O5827</f>
        <v/>
      </c>
      <c r="X5827" s="12">
        <f>IF(LEFT(I5827,2)="MV",2*N5827*IF(L5827="1/C",O5827,1),0)</f>
        <v/>
      </c>
      <c r="Y5827" s="12">
        <f>IF(OR(LEFT(K5827,4)="LVAX",LEFT(K5827,6)="MV15AX",LEFT(K5827,4)="CTAX",LEFT(K5827,2)="W|"),2*N5827*O5827,0)</f>
        <v/>
      </c>
      <c r="Z5827" s="12" t="inlineStr">
        <is>
          <t>VD 1.0 %</t>
        </is>
      </c>
      <c r="AA5827" s="12">
        <f>N5827*O5827</f>
        <v/>
      </c>
    </row>
    <row r="5828">
      <c r="A5828" s="12" t="inlineStr">
        <is>
          <t>K-P-0014</t>
        </is>
      </c>
      <c r="B5828" s="12" t="inlineStr">
        <is>
          <t>K</t>
        </is>
      </c>
      <c r="C5828" s="12" t="inlineStr">
        <is>
          <t>Fuel supply (adjacent market)</t>
        </is>
      </c>
      <c r="D5828" s="12" t="inlineStr">
        <is>
          <t>Motor 1 of 1, 15 kW</t>
        </is>
      </c>
      <c r="E5828" s="12" t="inlineStr"/>
      <c r="F5828" s="12" t="inlineStr">
        <is>
          <t>H2 20: 13.8 kV e-house</t>
        </is>
      </c>
      <c r="G5828" s="12" t="inlineStr"/>
      <c r="H5828" s="12" t="inlineStr">
        <is>
          <t>H2 27: storage tube bank (~40 ft tubes)</t>
        </is>
      </c>
      <c r="I5828" s="12" t="inlineStr">
        <is>
          <t>LV 600 V</t>
        </is>
      </c>
      <c r="J5828" s="12" t="inlineStr">
        <is>
          <t>ARMOR-X MC-HL 600 V 3/C Cu XHHW-2 + ground, CWA, black PVC (Class I Div 2)</t>
        </is>
      </c>
      <c r="K5828" s="12" t="inlineStr">
        <is>
          <t>LVAX|3/C+G|10</t>
        </is>
      </c>
      <c r="L5828" s="12" t="inlineStr">
        <is>
          <t>3/C+G</t>
        </is>
      </c>
      <c r="M5828" s="12" t="inlineStr">
        <is>
          <t>10</t>
        </is>
      </c>
      <c r="N5828" s="12" t="n">
        <v>1</v>
      </c>
      <c r="O5828" s="12" t="n">
        <v>1</v>
      </c>
      <c r="P5828" s="12" t="n">
        <v>480</v>
      </c>
      <c r="Q5828" s="12" t="n">
        <v>15</v>
      </c>
      <c r="R5828" s="12" t="n">
        <v>21.2</v>
      </c>
      <c r="S5828" s="12" t="inlineStr">
        <is>
          <t>Duct bank</t>
        </is>
      </c>
      <c r="T5828" s="16" t="n">
        <v>50</v>
      </c>
      <c r="U5828" s="16" t="n">
        <v>97</v>
      </c>
      <c r="V5828" s="16">
        <f>ROUNDUP((T5828+U5828+2*'Read Me'!$B$13)*(1+'Read Me'!$B$12),-1)</f>
        <v/>
      </c>
      <c r="W5828" s="16">
        <f>V5828*N5828*O5828</f>
        <v/>
      </c>
      <c r="X5828" s="12">
        <f>IF(LEFT(I5828,2)="MV",2*N5828*IF(L5828="1/C",O5828,1),0)</f>
        <v/>
      </c>
      <c r="Y5828" s="12">
        <f>IF(OR(LEFT(K5828,4)="LVAX",LEFT(K5828,6)="MV15AX",LEFT(K5828,4)="CTAX",LEFT(K5828,2)="W|"),2*N5828*O5828,0)</f>
        <v/>
      </c>
      <c r="Z5828" s="12" t="inlineStr">
        <is>
          <t>VD 1.5 %</t>
        </is>
      </c>
      <c r="AA5828" s="12">
        <f>N5828*O5828</f>
        <v/>
      </c>
    </row>
    <row r="5829">
      <c r="A5829" s="12" t="inlineStr">
        <is>
          <t>K-P-0015</t>
        </is>
      </c>
      <c r="B5829" s="12" t="inlineStr">
        <is>
          <t>K</t>
        </is>
      </c>
      <c r="C5829" s="12" t="inlineStr">
        <is>
          <t>Fuel supply (adjacent market)</t>
        </is>
      </c>
      <c r="D5829" s="12" t="inlineStr">
        <is>
          <t>Motor 1 of 1, 15 kW</t>
        </is>
      </c>
      <c r="E5829" s="12" t="inlineStr"/>
      <c r="F5829" s="12" t="inlineStr">
        <is>
          <t>H2 20: 13.8 kV e-house</t>
        </is>
      </c>
      <c r="G5829" s="12" t="inlineStr"/>
      <c r="H5829" s="12" t="inlineStr">
        <is>
          <t>H2 27: storage tube bank (~40 ft tubes)</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117</v>
      </c>
      <c r="V5829" s="16">
        <f>ROUNDUP((T5829+U5829+2*'Read Me'!$B$13)*(1+'Read Me'!$B$12),-1)</f>
        <v/>
      </c>
      <c r="W5829" s="16">
        <f>V5829*N5829*O5829</f>
        <v/>
      </c>
      <c r="X5829" s="12">
        <f>IF(LEFT(I5829,2)="MV",2*N5829*IF(L5829="1/C",O5829,1),0)</f>
        <v/>
      </c>
      <c r="Y5829" s="12">
        <f>IF(OR(LEFT(K5829,4)="LVAX",LEFT(K5829,6)="MV15AX",LEFT(K5829,4)="CTAX",LEFT(K5829,2)="W|"),2*N5829*O5829,0)</f>
        <v/>
      </c>
      <c r="Z5829" s="12" t="inlineStr">
        <is>
          <t>VD 1.7 %</t>
        </is>
      </c>
      <c r="AA5829" s="12">
        <f>N5829*O5829</f>
        <v/>
      </c>
    </row>
    <row r="5830">
      <c r="A5830" s="12" t="inlineStr">
        <is>
          <t>K-P-0016</t>
        </is>
      </c>
      <c r="B5830" s="12" t="inlineStr">
        <is>
          <t>K</t>
        </is>
      </c>
      <c r="C5830" s="12" t="inlineStr">
        <is>
          <t>Fuel supply (adjacent market)</t>
        </is>
      </c>
      <c r="D5830" s="12" t="inlineStr">
        <is>
          <t>Motor 1 of 1, 15 kW</t>
        </is>
      </c>
      <c r="E5830" s="12" t="inlineStr"/>
      <c r="F5830" s="12" t="inlineStr">
        <is>
          <t>H2 20: 13.8 kV e-house</t>
        </is>
      </c>
      <c r="G5830" s="12" t="inlineStr"/>
      <c r="H5830" s="12" t="inlineStr">
        <is>
          <t>H2 27: storage tube bank (~40 ft tubes)</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50</v>
      </c>
      <c r="U5830" s="16" t="n">
        <v>97</v>
      </c>
      <c r="V5830" s="16">
        <f>ROUNDUP((T5830+U5830+2*'Read Me'!$B$13)*(1+'Read Me'!$B$12),-1)</f>
        <v/>
      </c>
      <c r="W5830" s="16">
        <f>V5830*N5830*O5830</f>
        <v/>
      </c>
      <c r="X5830" s="12">
        <f>IF(LEFT(I5830,2)="MV",2*N5830*IF(L5830="1/C",O5830,1),0)</f>
        <v/>
      </c>
      <c r="Y5830" s="12">
        <f>IF(OR(LEFT(K5830,4)="LVAX",LEFT(K5830,6)="MV15AX",LEFT(K5830,4)="CTAX",LEFT(K5830,2)="W|"),2*N5830*O5830,0)</f>
        <v/>
      </c>
      <c r="Z5830" s="12" t="inlineStr">
        <is>
          <t>VD 1.5 %</t>
        </is>
      </c>
      <c r="AA5830" s="12">
        <f>N5830*O5830</f>
        <v/>
      </c>
    </row>
    <row r="5831">
      <c r="A5831" s="12" t="inlineStr">
        <is>
          <t>K-P-0017</t>
        </is>
      </c>
      <c r="B5831" s="12" t="inlineStr">
        <is>
          <t>K</t>
        </is>
      </c>
      <c r="C5831" s="12" t="inlineStr">
        <is>
          <t>Fuel supply (adjacent market)</t>
        </is>
      </c>
      <c r="D5831" s="12" t="inlineStr">
        <is>
          <t>Motor 1 of 1, 15 kW</t>
        </is>
      </c>
      <c r="E5831" s="12" t="inlineStr"/>
      <c r="F5831" s="12" t="inlineStr">
        <is>
          <t>H2 20: 13.8 kV e-house</t>
        </is>
      </c>
      <c r="G5831" s="12" t="inlineStr"/>
      <c r="H5831" s="12" t="inlineStr">
        <is>
          <t>H2 27: storage tube bank (~40 ft tubes)</t>
        </is>
      </c>
      <c r="I5831" s="12" t="inlineStr">
        <is>
          <t>LV 600 V</t>
        </is>
      </c>
      <c r="J5831" s="12" t="inlineStr">
        <is>
          <t>ARMOR-X MC-HL 600 V 3/C Cu XHHW-2 + ground, CWA, black PVC (Class I Div 2)</t>
        </is>
      </c>
      <c r="K5831" s="12" t="inlineStr">
        <is>
          <t>LVAX|3/C+G|10</t>
        </is>
      </c>
      <c r="L5831" s="12" t="inlineStr">
        <is>
          <t>3/C+G</t>
        </is>
      </c>
      <c r="M5831" s="12" t="inlineStr">
        <is>
          <t>10</t>
        </is>
      </c>
      <c r="N5831" s="12" t="n">
        <v>1</v>
      </c>
      <c r="O5831" s="12" t="n">
        <v>1</v>
      </c>
      <c r="P5831" s="12" t="n">
        <v>480</v>
      </c>
      <c r="Q5831" s="12" t="n">
        <v>15</v>
      </c>
      <c r="R5831" s="12" t="n">
        <v>21.2</v>
      </c>
      <c r="S5831" s="12" t="inlineStr">
        <is>
          <t>Duct bank</t>
        </is>
      </c>
      <c r="T5831" s="16" t="n">
        <v>50</v>
      </c>
      <c r="U5831" s="16" t="n">
        <v>117</v>
      </c>
      <c r="V5831" s="16">
        <f>ROUNDUP((T5831+U5831+2*'Read Me'!$B$13)*(1+'Read Me'!$B$12),-1)</f>
        <v/>
      </c>
      <c r="W5831" s="16">
        <f>V5831*N5831*O5831</f>
        <v/>
      </c>
      <c r="X5831" s="12">
        <f>IF(LEFT(I5831,2)="MV",2*N5831*IF(L5831="1/C",O5831,1),0)</f>
        <v/>
      </c>
      <c r="Y5831" s="12">
        <f>IF(OR(LEFT(K5831,4)="LVAX",LEFT(K5831,6)="MV15AX",LEFT(K5831,4)="CTAX",LEFT(K5831,2)="W|"),2*N5831*O5831,0)</f>
        <v/>
      </c>
      <c r="Z5831" s="12" t="inlineStr">
        <is>
          <t>VD 1.7 %</t>
        </is>
      </c>
      <c r="AA5831" s="12">
        <f>N5831*O5831</f>
        <v/>
      </c>
    </row>
    <row r="5832">
      <c r="A5832" s="12" t="inlineStr">
        <is>
          <t>K-P-0018</t>
        </is>
      </c>
      <c r="B5832" s="12" t="inlineStr">
        <is>
          <t>K</t>
        </is>
      </c>
      <c r="C5832" s="12" t="inlineStr">
        <is>
          <t>Fuel supply (adjacent market)</t>
        </is>
      </c>
      <c r="D5832" s="12" t="inlineStr">
        <is>
          <t>Motor 1 of 1, 15 kW</t>
        </is>
      </c>
      <c r="E5832" s="12" t="inlineStr"/>
      <c r="F5832" s="12" t="inlineStr">
        <is>
          <t>H2 20: 13.8 kV e-house</t>
        </is>
      </c>
      <c r="G5832" s="12" t="inlineStr"/>
      <c r="H5832" s="12" t="inlineStr">
        <is>
          <t>H2 28: N2 purge supply</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53</v>
      </c>
      <c r="U5832" s="16" t="n">
        <v>36</v>
      </c>
      <c r="V5832" s="16">
        <f>ROUNDUP((T5832+U5832+2*'Read Me'!$B$13)*(1+'Read Me'!$B$12),-1)</f>
        <v/>
      </c>
      <c r="W5832" s="16">
        <f>V5832*N5832*O5832</f>
        <v/>
      </c>
      <c r="X5832" s="12">
        <f>IF(LEFT(I5832,2)="MV",2*N5832*IF(L5832="1/C",O5832,1),0)</f>
        <v/>
      </c>
      <c r="Y5832" s="12">
        <f>IF(OR(LEFT(K5832,4)="LVAX",LEFT(K5832,6)="MV15AX",LEFT(K5832,4)="CTAX",LEFT(K5832,2)="W|"),2*N5832*O5832,0)</f>
        <v/>
      </c>
      <c r="Z5832" s="12" t="inlineStr">
        <is>
          <t>VD 0.9 %</t>
        </is>
      </c>
      <c r="AA5832" s="12">
        <f>N5832*O5832</f>
        <v/>
      </c>
    </row>
    <row r="5833">
      <c r="A5833" s="12" t="inlineStr">
        <is>
          <t>K-P-0019</t>
        </is>
      </c>
      <c r="B5833" s="12" t="inlineStr">
        <is>
          <t>K</t>
        </is>
      </c>
      <c r="C5833" s="12" t="inlineStr">
        <is>
          <t>Fuel supply (adjacent market)</t>
        </is>
      </c>
      <c r="D5833" s="12" t="inlineStr">
        <is>
          <t>Motor 1 of 1, 15 kW</t>
        </is>
      </c>
      <c r="E5833" s="12" t="inlineStr"/>
      <c r="F5833" s="12" t="inlineStr">
        <is>
          <t>H2 20: 13.8 kV e-house</t>
        </is>
      </c>
      <c r="G5833" s="12" t="inlineStr"/>
      <c r="H5833" s="12" t="inlineStr">
        <is>
          <t>H2 29: vent stack</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55</v>
      </c>
      <c r="U5833" s="16" t="n">
        <v>205</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K-P-0020</t>
        </is>
      </c>
      <c r="B5834" s="12" t="inlineStr">
        <is>
          <t>K</t>
        </is>
      </c>
      <c r="C5834" s="12" t="inlineStr">
        <is>
          <t>Fuel supply (adjacent market)</t>
        </is>
      </c>
      <c r="D5834" s="12" t="inlineStr">
        <is>
          <t>Motor 1 of 1, 15 kW</t>
        </is>
      </c>
      <c r="E5834" s="12" t="inlineStr"/>
      <c r="F5834" s="12" t="inlineStr">
        <is>
          <t>LNG 17: LNG e-house (13.8 kV / 480 V)</t>
        </is>
      </c>
      <c r="G5834" s="12" t="inlineStr"/>
      <c r="H5834" s="12" t="inlineStr">
        <is>
          <t>H2 30: H2 / gas blending station (plant gas yard)</t>
        </is>
      </c>
      <c r="I5834" s="12" t="inlineStr">
        <is>
          <t>LV 600 V</t>
        </is>
      </c>
      <c r="J5834" s="12" t="inlineStr">
        <is>
          <t>ARMOR-X MC-HL 600 V 3/C Cu XHHW-2 + ground, CWA, black PVC (Class I Div 2)</t>
        </is>
      </c>
      <c r="K5834" s="12" t="inlineStr">
        <is>
          <t>LVAX|3/C+G|4</t>
        </is>
      </c>
      <c r="L5834" s="12" t="inlineStr">
        <is>
          <t>3/C+G</t>
        </is>
      </c>
      <c r="M5834" s="12" t="inlineStr">
        <is>
          <t>4</t>
        </is>
      </c>
      <c r="N5834" s="12" t="n">
        <v>1</v>
      </c>
      <c r="O5834" s="12" t="n">
        <v>1</v>
      </c>
      <c r="P5834" s="12" t="n">
        <v>480</v>
      </c>
      <c r="Q5834" s="12" t="n">
        <v>15</v>
      </c>
      <c r="R5834" s="12" t="n">
        <v>21.2</v>
      </c>
      <c r="S5834" s="12" t="inlineStr">
        <is>
          <t>Duct bank</t>
        </is>
      </c>
      <c r="T5834" s="16" t="n">
        <v>994</v>
      </c>
      <c r="U5834" s="16" t="n">
        <v>114</v>
      </c>
      <c r="V5834" s="16">
        <f>ROUNDUP((T5834+U5834+2*'Read Me'!$B$13)*(1+'Read Me'!$B$12),-1)</f>
        <v/>
      </c>
      <c r="W5834" s="16">
        <f>V5834*N5834*O5834</f>
        <v/>
      </c>
      <c r="X5834" s="12">
        <f>IF(LEFT(I5834,2)="MV",2*N5834*IF(L5834="1/C",O5834,1),0)</f>
        <v/>
      </c>
      <c r="Y5834" s="12">
        <f>IF(OR(LEFT(K5834,4)="LVAX",LEFT(K5834,6)="MV15AX",LEFT(K5834,4)="CTAX",LEFT(K5834,2)="W|"),2*N5834*O5834,0)</f>
        <v/>
      </c>
      <c r="Z5834" s="12" t="inlineStr">
        <is>
          <t>VD 2.9 %</t>
        </is>
      </c>
      <c r="AA5834" s="12">
        <f>N5834*O5834</f>
        <v/>
      </c>
    </row>
    <row r="5835">
      <c r="A5835" s="12" t="inlineStr">
        <is>
          <t>K-P-0021</t>
        </is>
      </c>
      <c r="B5835" s="12" t="inlineStr">
        <is>
          <t>K</t>
        </is>
      </c>
      <c r="C5835" s="12" t="inlineStr">
        <is>
          <t>Fuel supply (adjacent market)</t>
        </is>
      </c>
      <c r="D5835" s="12" t="inlineStr">
        <is>
          <t>Motor 1 of 2, 250 kW</t>
        </is>
      </c>
      <c r="E5835" s="12" t="inlineStr"/>
      <c r="F5835" s="12" t="inlineStr">
        <is>
          <t>H2 20: 13.8 kV e-house</t>
        </is>
      </c>
      <c r="G5835" s="12" t="inlineStr"/>
      <c r="H5835" s="12" t="inlineStr">
        <is>
          <t>H2 pipe track and cable trench, hall -&gt; dryer / compressors (N2, instr</t>
        </is>
      </c>
      <c r="I5835" s="12" t="inlineStr">
        <is>
          <t>LV 600 V</t>
        </is>
      </c>
      <c r="J5835" s="12" t="inlineStr">
        <is>
          <t>ARMOR-X MC-HL 600 V 3/C Cu XHHW-2 + ground, CWA, black PVC (Class I Div 2)</t>
        </is>
      </c>
      <c r="K5835" s="12" t="inlineStr">
        <is>
          <t>LVAX|3/C+G|4/0</t>
        </is>
      </c>
      <c r="L5835" s="12" t="inlineStr">
        <is>
          <t>3/C+G</t>
        </is>
      </c>
      <c r="M5835" s="12" t="inlineStr">
        <is>
          <t>4/0</t>
        </is>
      </c>
      <c r="N5835" s="12" t="n">
        <v>2</v>
      </c>
      <c r="O5835" s="12" t="n">
        <v>1</v>
      </c>
      <c r="P5835" s="12" t="n">
        <v>480</v>
      </c>
      <c r="Q5835" s="12" t="n">
        <v>250</v>
      </c>
      <c r="R5835" s="12" t="n">
        <v>353.8</v>
      </c>
      <c r="S5835" s="12" t="inlineStr">
        <is>
          <t>Duct bank</t>
        </is>
      </c>
      <c r="T5835" s="16" t="n">
        <v>53</v>
      </c>
      <c r="U5835" s="16" t="n">
        <v>62</v>
      </c>
      <c r="V5835" s="16">
        <f>ROUNDUP((T5835+U5835+2*'Read Me'!$B$13)*(1+'Read Me'!$B$12),-1)</f>
        <v/>
      </c>
      <c r="W5835" s="16">
        <f>V5835*N5835*O5835</f>
        <v/>
      </c>
      <c r="X5835" s="12">
        <f>IF(LEFT(I5835,2)="MV",2*N5835*IF(L5835="1/C",O5835,1),0)</f>
        <v/>
      </c>
      <c r="Y5835" s="12">
        <f>IF(OR(LEFT(K5835,4)="LVAX",LEFT(K5835,6)="MV15AX",LEFT(K5835,4)="CTAX",LEFT(K5835,2)="W|"),2*N5835*O5835,0)</f>
        <v/>
      </c>
      <c r="Z5835" s="12" t="inlineStr">
        <is>
          <t>VD 0.5 %</t>
        </is>
      </c>
      <c r="AA5835" s="12">
        <f>N5835*O5835</f>
        <v/>
      </c>
    </row>
    <row r="5836">
      <c r="A5836" s="12" t="inlineStr">
        <is>
          <t>K-P-0022</t>
        </is>
      </c>
      <c r="B5836" s="12" t="inlineStr">
        <is>
          <t>K</t>
        </is>
      </c>
      <c r="C5836" s="12" t="inlineStr">
        <is>
          <t>Fuel supply (adjacent market)</t>
        </is>
      </c>
      <c r="D5836" s="12" t="inlineStr">
        <is>
          <t>Motor 2 of 2, 250 kW</t>
        </is>
      </c>
      <c r="E5836" s="12" t="inlineStr"/>
      <c r="F5836" s="12" t="inlineStr">
        <is>
          <t>H2 20: 13.8 kV e-house</t>
        </is>
      </c>
      <c r="G5836" s="12" t="inlineStr"/>
      <c r="H5836" s="12" t="inlineStr">
        <is>
          <t>H2 pipe track and cable trench, hall -&gt; dryer / compressors (N2, instr</t>
        </is>
      </c>
      <c r="I5836" s="12" t="inlineStr">
        <is>
          <t>LV 600 V</t>
        </is>
      </c>
      <c r="J5836" s="12" t="inlineStr">
        <is>
          <t>ARMOR-X MC-HL 600 V 3/C Cu XHHW-2 + ground, CWA, black PVC (Class I Div 2)</t>
        </is>
      </c>
      <c r="K5836" s="12" t="inlineStr">
        <is>
          <t>LVAX|3/C+G|4/0</t>
        </is>
      </c>
      <c r="L5836" s="12" t="inlineStr">
        <is>
          <t>3/C+G</t>
        </is>
      </c>
      <c r="M5836" s="12" t="inlineStr">
        <is>
          <t>4/0</t>
        </is>
      </c>
      <c r="N5836" s="12" t="n">
        <v>2</v>
      </c>
      <c r="O5836" s="12" t="n">
        <v>1</v>
      </c>
      <c r="P5836" s="12" t="n">
        <v>480</v>
      </c>
      <c r="Q5836" s="12" t="n">
        <v>250</v>
      </c>
      <c r="R5836" s="12" t="n">
        <v>353.8</v>
      </c>
      <c r="S5836" s="12" t="inlineStr">
        <is>
          <t>Duct bank</t>
        </is>
      </c>
      <c r="T5836" s="16" t="n">
        <v>53</v>
      </c>
      <c r="U5836" s="16" t="n">
        <v>62</v>
      </c>
      <c r="V5836" s="16">
        <f>ROUNDUP((T5836+U5836+2*'Read Me'!$B$13)*(1+'Read Me'!$B$12),-1)</f>
        <v/>
      </c>
      <c r="W5836" s="16">
        <f>V5836*N5836*O5836</f>
        <v/>
      </c>
      <c r="X5836" s="12">
        <f>IF(LEFT(I5836,2)="MV",2*N5836*IF(L5836="1/C",O5836,1),0)</f>
        <v/>
      </c>
      <c r="Y5836" s="12">
        <f>IF(OR(LEFT(K5836,4)="LVAX",LEFT(K5836,6)="MV15AX",LEFT(K5836,4)="CTAX",LEFT(K5836,2)="W|"),2*N5836*O5836,0)</f>
        <v/>
      </c>
      <c r="Z5836" s="12" t="inlineStr">
        <is>
          <t>VD 0.5 %</t>
        </is>
      </c>
      <c r="AA5836" s="12">
        <f>N5836*O5836</f>
        <v/>
      </c>
    </row>
    <row r="5837">
      <c r="A5837" s="12" t="inlineStr">
        <is>
          <t>K-P-0023</t>
        </is>
      </c>
      <c r="B5837" s="12" t="inlineStr">
        <is>
          <t>K</t>
        </is>
      </c>
      <c r="C5837" s="12" t="inlineStr">
        <is>
          <t>Fuel supply (adjacent market)</t>
        </is>
      </c>
      <c r="D5837" s="12" t="inlineStr">
        <is>
          <t>LV power feeder</t>
        </is>
      </c>
      <c r="E5837" s="12" t="inlineStr"/>
      <c r="F5837" s="12" t="inlineStr">
        <is>
          <t>H2 20: 13.8 kV e-house</t>
        </is>
      </c>
      <c r="G5837" s="12" t="inlineStr">
        <is>
          <t>H2-ST</t>
        </is>
      </c>
      <c r="H5837" s="12" t="inlineStr">
        <is>
          <t>H2 storage tube banks x4</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15</v>
      </c>
      <c r="R5837" s="12" t="n">
        <v>21.2</v>
      </c>
      <c r="S5837" s="12" t="inlineStr">
        <is>
          <t>Duct bank</t>
        </is>
      </c>
      <c r="T5837" s="16" t="n">
        <v>50</v>
      </c>
      <c r="U5837" s="16" t="n">
        <v>92</v>
      </c>
      <c r="V5837" s="16">
        <f>ROUNDUP((T5837+U5837+2*'Read Me'!$B$13)*(1+'Read Me'!$B$12),-1)</f>
        <v/>
      </c>
      <c r="W5837" s="16">
        <f>V5837*N5837*O5837</f>
        <v/>
      </c>
      <c r="X5837" s="12">
        <f>IF(LEFT(I5837,2)="MV",2*N5837*IF(L5837="1/C",O5837,1),0)</f>
        <v/>
      </c>
      <c r="Y5837" s="12">
        <f>IF(OR(LEFT(K5837,4)="LVAX",LEFT(K5837,6)="MV15AX",LEFT(K5837,4)="CTAX",LEFT(K5837,2)="W|"),2*N5837*O5837,0)</f>
        <v/>
      </c>
      <c r="Z5837" s="12" t="inlineStr">
        <is>
          <t>VD 1.4 %</t>
        </is>
      </c>
      <c r="AA5837" s="12">
        <f>N5837*O5837</f>
        <v/>
      </c>
    </row>
    <row r="5838">
      <c r="A5838" s="12" t="inlineStr">
        <is>
          <t>K-P-0024</t>
        </is>
      </c>
      <c r="B5838" s="12" t="inlineStr">
        <is>
          <t>K</t>
        </is>
      </c>
      <c r="C5838" s="12" t="inlineStr">
        <is>
          <t>Fuel supply (adjacent market)</t>
        </is>
      </c>
      <c r="D5838" s="12" t="inlineStr">
        <is>
          <t>LV power feeder</t>
        </is>
      </c>
      <c r="E5838" s="12" t="inlineStr"/>
      <c r="F5838" s="12" t="inlineStr">
        <is>
          <t>H2 20: 13.8 kV e-house</t>
        </is>
      </c>
      <c r="G5838" s="12" t="inlineStr">
        <is>
          <t>H2R</t>
        </is>
      </c>
      <c r="H5838" s="12" t="inlineStr">
        <is>
          <t>H2R: hydrogen pipeline receiving station (pig receiver, filters, meter</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15</v>
      </c>
      <c r="R5838" s="12" t="n">
        <v>21.2</v>
      </c>
      <c r="S5838" s="12" t="inlineStr">
        <is>
          <t>Duct bank</t>
        </is>
      </c>
      <c r="T5838" s="16" t="n">
        <v>40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0.7 %</t>
        </is>
      </c>
      <c r="AA5838" s="12">
        <f>N5838*O5838</f>
        <v/>
      </c>
    </row>
    <row r="5839">
      <c r="A5839" s="12" t="inlineStr">
        <is>
          <t>K-P-0025</t>
        </is>
      </c>
      <c r="B5839" s="12" t="inlineStr">
        <is>
          <t>K</t>
        </is>
      </c>
      <c r="C5839" s="12" t="inlineStr">
        <is>
          <t>Fuel supply (adjacent market)</t>
        </is>
      </c>
      <c r="D5839" s="12" t="inlineStr">
        <is>
          <t>Motor 1 of 1, 15 kW</t>
        </is>
      </c>
      <c r="E5839" s="12" t="inlineStr"/>
      <c r="F5839" s="12" t="inlineStr">
        <is>
          <t>LNG 17: LNG e-house (13.8 kV / 480 V)</t>
        </is>
      </c>
      <c r="G5839" s="12" t="inlineStr"/>
      <c r="H5839" s="12" t="inlineStr">
        <is>
          <t>LNG 10: truck unloading bay 1</t>
        </is>
      </c>
      <c r="I5839" s="12" t="inlineStr">
        <is>
          <t>LV 600 V</t>
        </is>
      </c>
      <c r="J5839" s="12" t="inlineStr">
        <is>
          <t>ARMOR-X MC-HL 600 V 3/C Cu XHHW-2 + ground, CWA, black PVC (Class I Div 2)</t>
        </is>
      </c>
      <c r="K5839" s="12" t="inlineStr">
        <is>
          <t>LVAX|3/C+G|8</t>
        </is>
      </c>
      <c r="L5839" s="12" t="inlineStr">
        <is>
          <t>3/C+G</t>
        </is>
      </c>
      <c r="M5839" s="12" t="inlineStr">
        <is>
          <t>8</t>
        </is>
      </c>
      <c r="N5839" s="12" t="n">
        <v>1</v>
      </c>
      <c r="O5839" s="12" t="n">
        <v>1</v>
      </c>
      <c r="P5839" s="12" t="n">
        <v>480</v>
      </c>
      <c r="Q5839" s="12" t="n">
        <v>15</v>
      </c>
      <c r="R5839" s="12" t="n">
        <v>21.2</v>
      </c>
      <c r="S5839" s="12" t="inlineStr">
        <is>
          <t>Duct bank</t>
        </is>
      </c>
      <c r="T5839" s="16" t="n">
        <v>237</v>
      </c>
      <c r="U5839" s="16" t="n">
        <v>61</v>
      </c>
      <c r="V5839" s="16">
        <f>ROUNDUP((T5839+U5839+2*'Read Me'!$B$13)*(1+'Read Me'!$B$12),-1)</f>
        <v/>
      </c>
      <c r="W5839" s="16">
        <f>V5839*N5839*O5839</f>
        <v/>
      </c>
      <c r="X5839" s="12">
        <f>IF(LEFT(I5839,2)="MV",2*N5839*IF(L5839="1/C",O5839,1),0)</f>
        <v/>
      </c>
      <c r="Y5839" s="12">
        <f>IF(OR(LEFT(K5839,4)="LVAX",LEFT(K5839,6)="MV15AX",LEFT(K5839,4)="CTAX",LEFT(K5839,2)="W|"),2*N5839*O5839,0)</f>
        <v/>
      </c>
      <c r="Z5839" s="12" t="inlineStr">
        <is>
          <t>VD 1.9 %</t>
        </is>
      </c>
      <c r="AA5839" s="12">
        <f>N5839*O5839</f>
        <v/>
      </c>
    </row>
    <row r="5840">
      <c r="A5840" s="12" t="inlineStr">
        <is>
          <t>K-P-0026</t>
        </is>
      </c>
      <c r="B5840" s="12" t="inlineStr">
        <is>
          <t>K</t>
        </is>
      </c>
      <c r="C5840" s="12" t="inlineStr">
        <is>
          <t>Fuel supply (adjacent market)</t>
        </is>
      </c>
      <c r="D5840" s="12" t="inlineStr">
        <is>
          <t>Motor 1 of 1, 15 kW</t>
        </is>
      </c>
      <c r="E5840" s="12" t="inlineStr"/>
      <c r="F5840" s="12" t="inlineStr">
        <is>
          <t>LNG 17: LNG e-house (13.8 kV / 480 V)</t>
        </is>
      </c>
      <c r="G5840" s="12" t="inlineStr"/>
      <c r="H5840" s="12" t="inlineStr">
        <is>
          <t>LNG 10: truck unloading bay 2</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15</v>
      </c>
      <c r="R5840" s="12" t="n">
        <v>21.2</v>
      </c>
      <c r="S5840" s="12" t="inlineStr">
        <is>
          <t>Duct bank</t>
        </is>
      </c>
      <c r="T5840" s="16" t="n">
        <v>147</v>
      </c>
      <c r="U5840" s="16" t="n">
        <v>66</v>
      </c>
      <c r="V5840" s="16">
        <f>ROUNDUP((T5840+U5840+2*'Read Me'!$B$13)*(1+'Read Me'!$B$12),-1)</f>
        <v/>
      </c>
      <c r="W5840" s="16">
        <f>V5840*N5840*O5840</f>
        <v/>
      </c>
      <c r="X5840" s="12">
        <f>IF(LEFT(I5840,2)="MV",2*N5840*IF(L5840="1/C",O5840,1),0)</f>
        <v/>
      </c>
      <c r="Y5840" s="12">
        <f>IF(OR(LEFT(K5840,4)="LVAX",LEFT(K5840,6)="MV15AX",LEFT(K5840,4)="CTAX",LEFT(K5840,2)="W|"),2*N5840*O5840,0)</f>
        <v/>
      </c>
      <c r="Z5840" s="12" t="inlineStr">
        <is>
          <t>VD 2.2 %</t>
        </is>
      </c>
      <c r="AA5840" s="12">
        <f>N5840*O5840</f>
        <v/>
      </c>
    </row>
    <row r="5841">
      <c r="A5841" s="12" t="inlineStr">
        <is>
          <t>K-P-0027</t>
        </is>
      </c>
      <c r="B5841" s="12" t="inlineStr">
        <is>
          <t>K</t>
        </is>
      </c>
      <c r="C5841" s="12" t="inlineStr">
        <is>
          <t>Fuel supply (adjacent market)</t>
        </is>
      </c>
      <c r="D5841" s="12" t="inlineStr">
        <is>
          <t>Motor 1 of 1, 15 kW</t>
        </is>
      </c>
      <c r="E5841" s="12" t="inlineStr"/>
      <c r="F5841" s="12" t="inlineStr">
        <is>
          <t>LNG 17: LNG e-house (13.8 kV / 480 V)</t>
        </is>
      </c>
      <c r="G5841" s="12" t="inlineStr"/>
      <c r="H5841" s="12" t="inlineStr">
        <is>
          <t>LNG 10: unloading skid</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15</v>
      </c>
      <c r="R5841" s="12" t="n">
        <v>21.2</v>
      </c>
      <c r="S5841" s="12" t="inlineStr">
        <is>
          <t>Duct bank</t>
        </is>
      </c>
      <c r="T5841" s="16" t="n">
        <v>237</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2.7 %</t>
        </is>
      </c>
      <c r="AA5841" s="12">
        <f>N5841*O5841</f>
        <v/>
      </c>
    </row>
    <row r="5842">
      <c r="A5842" s="12" t="inlineStr">
        <is>
          <t>K-P-0028</t>
        </is>
      </c>
      <c r="B5842" s="12" t="inlineStr">
        <is>
          <t>K</t>
        </is>
      </c>
      <c r="C5842" s="12" t="inlineStr">
        <is>
          <t>Fuel supply (adjacent market)</t>
        </is>
      </c>
      <c r="D5842" s="12" t="inlineStr">
        <is>
          <t>LV power feeder</t>
        </is>
      </c>
      <c r="E5842" s="12" t="inlineStr"/>
      <c r="F5842" s="12" t="inlineStr">
        <is>
          <t>LNG 17: LNG e-house (13.8 kV / 480 V)</t>
        </is>
      </c>
      <c r="G5842" s="12" t="inlineStr">
        <is>
          <t>LNG-T1</t>
        </is>
      </c>
      <c r="H5842" s="12" t="inlineStr">
        <is>
          <t>LNG 11: tank 1, Chart HS 50000 (51,780 gal)</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10</v>
      </c>
      <c r="R5842" s="12" t="n">
        <v>14.2</v>
      </c>
      <c r="S5842" s="12" t="inlineStr">
        <is>
          <t>Duct bank</t>
        </is>
      </c>
      <c r="T5842" s="16" t="n">
        <v>210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1.6 %</t>
        </is>
      </c>
      <c r="AA5842" s="12">
        <f>N5842*O5842</f>
        <v/>
      </c>
    </row>
    <row r="5843">
      <c r="A5843" s="12" t="inlineStr">
        <is>
          <t>K-P-0029</t>
        </is>
      </c>
      <c r="B5843" s="12" t="inlineStr">
        <is>
          <t>K</t>
        </is>
      </c>
      <c r="C5843" s="12" t="inlineStr">
        <is>
          <t>Fuel supply (adjacent market)</t>
        </is>
      </c>
      <c r="D5843" s="12" t="inlineStr">
        <is>
          <t>LV power feeder</t>
        </is>
      </c>
      <c r="E5843" s="12" t="inlineStr"/>
      <c r="F5843" s="12" t="inlineStr">
        <is>
          <t>LNG 17: LNG e-house (13.8 kV / 480 V)</t>
        </is>
      </c>
      <c r="G5843" s="12" t="inlineStr">
        <is>
          <t>LNG-T2</t>
        </is>
      </c>
      <c r="H5843" s="12" t="inlineStr">
        <is>
          <t>LNG 11: tank 2, Chart HS 50000 (51,780 gal)</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10</v>
      </c>
      <c r="R5843" s="12" t="n">
        <v>14.2</v>
      </c>
      <c r="S5843" s="12" t="inlineStr">
        <is>
          <t>Duct bank</t>
        </is>
      </c>
      <c r="T5843" s="16" t="n">
        <v>230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1.8 %</t>
        </is>
      </c>
      <c r="AA5843" s="12">
        <f>N5843*O5843</f>
        <v/>
      </c>
    </row>
    <row r="5844">
      <c r="A5844" s="12" t="inlineStr">
        <is>
          <t>K-P-0030</t>
        </is>
      </c>
      <c r="B5844" s="12" t="inlineStr">
        <is>
          <t>K</t>
        </is>
      </c>
      <c r="C5844" s="12" t="inlineStr">
        <is>
          <t>Fuel supply (adjacent market)</t>
        </is>
      </c>
      <c r="D5844" s="12" t="inlineStr">
        <is>
          <t>LV power feeder</t>
        </is>
      </c>
      <c r="E5844" s="12" t="inlineStr"/>
      <c r="F5844" s="12" t="inlineStr">
        <is>
          <t>LNG 17: LNG e-house (13.8 kV / 480 V)</t>
        </is>
      </c>
      <c r="G5844" s="12" t="inlineStr">
        <is>
          <t>LNG-T3</t>
        </is>
      </c>
      <c r="H5844" s="12" t="inlineStr">
        <is>
          <t>LNG 11: tank 3, Chart HS 50000 (51,780 gal)</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10</v>
      </c>
      <c r="R5844" s="12" t="n">
        <v>14.2</v>
      </c>
      <c r="S5844" s="12" t="inlineStr">
        <is>
          <t>Duct bank</t>
        </is>
      </c>
      <c r="T5844" s="16" t="n">
        <v>250</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1.9 %</t>
        </is>
      </c>
      <c r="AA5844" s="12">
        <f>N5844*O5844</f>
        <v/>
      </c>
    </row>
    <row r="5845">
      <c r="A5845" s="12" t="inlineStr">
        <is>
          <t>K-P-0031</t>
        </is>
      </c>
      <c r="B5845" s="12" t="inlineStr">
        <is>
          <t>K</t>
        </is>
      </c>
      <c r="C5845" s="12" t="inlineStr">
        <is>
          <t>Fuel supply (adjacent market)</t>
        </is>
      </c>
      <c r="D5845" s="12" t="inlineStr">
        <is>
          <t>LV power feeder</t>
        </is>
      </c>
      <c r="E5845" s="12" t="inlineStr"/>
      <c r="F5845" s="12" t="inlineStr">
        <is>
          <t>LNG 17: LNG e-house (13.8 kV / 480 V)</t>
        </is>
      </c>
      <c r="G5845" s="12" t="inlineStr">
        <is>
          <t>LNG-T4</t>
        </is>
      </c>
      <c r="H5845" s="12" t="inlineStr">
        <is>
          <t>LNG 11: tank 4, Chart HS 50000 (51,780 gal)</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10</v>
      </c>
      <c r="R5845" s="12" t="n">
        <v>14.2</v>
      </c>
      <c r="S5845" s="12" t="inlineStr">
        <is>
          <t>Duct bank</t>
        </is>
      </c>
      <c r="T5845" s="16" t="n">
        <v>270</v>
      </c>
      <c r="U5845" s="16" t="n">
        <v>32</v>
      </c>
      <c r="V5845" s="16">
        <f>ROUNDUP((T5845+U5845+2*'Read Me'!$B$13)*(1+'Read Me'!$B$12),-1)</f>
        <v/>
      </c>
      <c r="W5845" s="16">
        <f>V5845*N5845*O5845</f>
        <v/>
      </c>
      <c r="X5845" s="12">
        <f>IF(LEFT(I5845,2)="MV",2*N5845*IF(L5845="1/C",O5845,1),0)</f>
        <v/>
      </c>
      <c r="Y5845" s="12">
        <f>IF(OR(LEFT(K5845,4)="LVAX",LEFT(K5845,6)="MV15AX",LEFT(K5845,4)="CTAX",LEFT(K5845,2)="W|"),2*N5845*O5845,0)</f>
        <v/>
      </c>
      <c r="Z5845" s="12" t="inlineStr">
        <is>
          <t>VD 2.1 %</t>
        </is>
      </c>
      <c r="AA5845" s="12">
        <f>N5845*O5845</f>
        <v/>
      </c>
    </row>
    <row r="5846">
      <c r="A5846" s="12" t="inlineStr">
        <is>
          <t>K-P-0032</t>
        </is>
      </c>
      <c r="B5846" s="12" t="inlineStr">
        <is>
          <t>K</t>
        </is>
      </c>
      <c r="C5846" s="12" t="inlineStr">
        <is>
          <t>Fuel supply (adjacent market)</t>
        </is>
      </c>
      <c r="D5846" s="12" t="inlineStr">
        <is>
          <t>LV power feeder</t>
        </is>
      </c>
      <c r="E5846" s="12" t="inlineStr"/>
      <c r="F5846" s="12" t="inlineStr">
        <is>
          <t>LNG 17: LNG e-house (13.8 kV / 480 V)</t>
        </is>
      </c>
      <c r="G5846" s="12" t="inlineStr">
        <is>
          <t>LNG-T5</t>
        </is>
      </c>
      <c r="H5846" s="12" t="inlineStr">
        <is>
          <t>LNG 11: tank 5, Chart HS 50000 (51,780 gal)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10</v>
      </c>
      <c r="R5846" s="12" t="n">
        <v>14.2</v>
      </c>
      <c r="S5846" s="12" t="inlineStr">
        <is>
          <t>Duct bank</t>
        </is>
      </c>
      <c r="T5846" s="16" t="n">
        <v>290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2.2 %</t>
        </is>
      </c>
      <c r="AA5846" s="12">
        <f>N5846*O5846</f>
        <v/>
      </c>
    </row>
    <row r="5847">
      <c r="A5847" s="12" t="inlineStr">
        <is>
          <t>K-P-0033</t>
        </is>
      </c>
      <c r="B5847" s="12" t="inlineStr">
        <is>
          <t>K</t>
        </is>
      </c>
      <c r="C5847" s="12" t="inlineStr">
        <is>
          <t>Fuel supply (adjacent market)</t>
        </is>
      </c>
      <c r="D5847" s="12" t="inlineStr">
        <is>
          <t>LV power feeder</t>
        </is>
      </c>
      <c r="E5847" s="12" t="inlineStr"/>
      <c r="F5847" s="12" t="inlineStr">
        <is>
          <t>LNG 17: LNG e-house (13.8 kV / 480 V)</t>
        </is>
      </c>
      <c r="G5847" s="12" t="inlineStr">
        <is>
          <t>LNG-T6</t>
        </is>
      </c>
      <c r="H5847" s="12" t="inlineStr">
        <is>
          <t>LNG 11: tank 6, Chart HS 50000 (51,780 gal)</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10</v>
      </c>
      <c r="R5847" s="12" t="n">
        <v>14.2</v>
      </c>
      <c r="S5847" s="12" t="inlineStr">
        <is>
          <t>Duct bank</t>
        </is>
      </c>
      <c r="T5847" s="16" t="n">
        <v>310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2.3 %</t>
        </is>
      </c>
      <c r="AA5847" s="12">
        <f>N5847*O5847</f>
        <v/>
      </c>
    </row>
    <row r="5848">
      <c r="A5848" s="12" t="inlineStr">
        <is>
          <t>K-P-0034</t>
        </is>
      </c>
      <c r="B5848" s="12" t="inlineStr">
        <is>
          <t>K</t>
        </is>
      </c>
      <c r="C5848" s="12" t="inlineStr">
        <is>
          <t>Fuel supply (adjacent market)</t>
        </is>
      </c>
      <c r="D5848" s="12" t="inlineStr">
        <is>
          <t>LV power feeder</t>
        </is>
      </c>
      <c r="E5848" s="12" t="inlineStr"/>
      <c r="F5848" s="12" t="inlineStr">
        <is>
          <t>LNG 17: LNG e-house (13.8 kV / 480 V)</t>
        </is>
      </c>
      <c r="G5848" s="12" t="inlineStr">
        <is>
          <t>LNG-T7</t>
        </is>
      </c>
      <c r="H5848" s="12" t="inlineStr">
        <is>
          <t>LNG 11: tank 7, Chart HS 50000 (51,780 gal)</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10</v>
      </c>
      <c r="R5848" s="12" t="n">
        <v>14.2</v>
      </c>
      <c r="S5848" s="12" t="inlineStr">
        <is>
          <t>Duct bank</t>
        </is>
      </c>
      <c r="T5848" s="16" t="n">
        <v>330</v>
      </c>
      <c r="U5848" s="16" t="n">
        <v>32</v>
      </c>
      <c r="V5848" s="16">
        <f>ROUNDUP((T5848+U5848+2*'Read Me'!$B$13)*(1+'Read Me'!$B$12),-1)</f>
        <v/>
      </c>
      <c r="W5848" s="16">
        <f>V5848*N5848*O5848</f>
        <v/>
      </c>
      <c r="X5848" s="12">
        <f>IF(LEFT(I5848,2)="MV",2*N5848*IF(L5848="1/C",O5848,1),0)</f>
        <v/>
      </c>
      <c r="Y5848" s="12">
        <f>IF(OR(LEFT(K5848,4)="LVAX",LEFT(K5848,6)="MV15AX",LEFT(K5848,4)="CTAX",LEFT(K5848,2)="W|"),2*N5848*O5848,0)</f>
        <v/>
      </c>
      <c r="Z5848" s="12" t="inlineStr">
        <is>
          <t>VD 2.5 %</t>
        </is>
      </c>
      <c r="AA5848" s="12">
        <f>N5848*O5848</f>
        <v/>
      </c>
    </row>
    <row r="5849">
      <c r="A5849" s="12" t="inlineStr">
        <is>
          <t>K-P-0035</t>
        </is>
      </c>
      <c r="B5849" s="12" t="inlineStr">
        <is>
          <t>K</t>
        </is>
      </c>
      <c r="C5849" s="12" t="inlineStr">
        <is>
          <t>Fuel supply (adjacent market)</t>
        </is>
      </c>
      <c r="D5849" s="12" t="inlineStr">
        <is>
          <t>LV power feeder</t>
        </is>
      </c>
      <c r="E5849" s="12" t="inlineStr"/>
      <c r="F5849" s="12" t="inlineStr">
        <is>
          <t>LNG 17: LNG e-house (13.8 kV / 480 V)</t>
        </is>
      </c>
      <c r="G5849" s="12" t="inlineStr">
        <is>
          <t>LNG-T8</t>
        </is>
      </c>
      <c r="H5849" s="12" t="inlineStr">
        <is>
          <t>LNG 11: tank 8, Chart HS 50000 (51,780 gal)</t>
        </is>
      </c>
      <c r="I5849" s="12" t="inlineStr">
        <is>
          <t>LV 600 V</t>
        </is>
      </c>
      <c r="J5849" s="12" t="inlineStr">
        <is>
          <t>ARMOR-X MC-HL 600 V 3/C Cu XHHW-2 + ground, CWA, black PVC (Class I Div 2)</t>
        </is>
      </c>
      <c r="K5849" s="12" t="inlineStr">
        <is>
          <t>LVAX|3/C+G|10</t>
        </is>
      </c>
      <c r="L5849" s="12" t="inlineStr">
        <is>
          <t>3/C+G</t>
        </is>
      </c>
      <c r="M5849" s="12" t="inlineStr">
        <is>
          <t>10</t>
        </is>
      </c>
      <c r="N5849" s="12" t="n">
        <v>1</v>
      </c>
      <c r="O5849" s="12" t="n">
        <v>1</v>
      </c>
      <c r="P5849" s="12" t="n">
        <v>480</v>
      </c>
      <c r="Q5849" s="12" t="n">
        <v>10</v>
      </c>
      <c r="R5849" s="12" t="n">
        <v>14.2</v>
      </c>
      <c r="S5849" s="12" t="inlineStr">
        <is>
          <t>Duct bank</t>
        </is>
      </c>
      <c r="T5849" s="16" t="n">
        <v>350</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2.6 %</t>
        </is>
      </c>
      <c r="AA5849" s="12">
        <f>N5849*O5849</f>
        <v/>
      </c>
    </row>
    <row r="5850">
      <c r="A5850" s="12" t="inlineStr">
        <is>
          <t>K-P-0036</t>
        </is>
      </c>
      <c r="B5850" s="12" t="inlineStr">
        <is>
          <t>K</t>
        </is>
      </c>
      <c r="C5850" s="12" t="inlineStr">
        <is>
          <t>Fuel supply (adjacent market)</t>
        </is>
      </c>
      <c r="D5850" s="12" t="inlineStr">
        <is>
          <t>Motor 1 of 1, 15 kW</t>
        </is>
      </c>
      <c r="E5850" s="12" t="inlineStr"/>
      <c r="F5850" s="12" t="inlineStr">
        <is>
          <t>LNG 17: LNG e-house (13.8 kV / 480 V)</t>
        </is>
      </c>
      <c r="G5850" s="12" t="inlineStr"/>
      <c r="H5850" s="12" t="inlineStr">
        <is>
          <t>LNG 12: spill impoundment (NFPA 59A, to verify)</t>
        </is>
      </c>
      <c r="I5850" s="12" t="inlineStr">
        <is>
          <t>LV 600 V</t>
        </is>
      </c>
      <c r="J5850" s="12" t="inlineStr">
        <is>
          <t>ARMOR-X MC-HL 600 V 3/C Cu XHHW-2 + ground, CWA, black PVC (Class I Div 2)</t>
        </is>
      </c>
      <c r="K5850" s="12" t="inlineStr">
        <is>
          <t>LVAX|3/C+G|10</t>
        </is>
      </c>
      <c r="L5850" s="12" t="inlineStr">
        <is>
          <t>3/C+G</t>
        </is>
      </c>
      <c r="M5850" s="12" t="inlineStr">
        <is>
          <t>10</t>
        </is>
      </c>
      <c r="N5850" s="12" t="n">
        <v>1</v>
      </c>
      <c r="O5850" s="12" t="n">
        <v>1</v>
      </c>
      <c r="P5850" s="12" t="n">
        <v>480</v>
      </c>
      <c r="Q5850" s="12" t="n">
        <v>15</v>
      </c>
      <c r="R5850" s="12" t="n">
        <v>21.2</v>
      </c>
      <c r="S5850" s="12" t="inlineStr">
        <is>
          <t>Duct bank</t>
        </is>
      </c>
      <c r="T5850" s="16" t="n">
        <v>230</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2.7 %</t>
        </is>
      </c>
      <c r="AA5850" s="12">
        <f>N5850*O5850</f>
        <v/>
      </c>
    </row>
    <row r="5851">
      <c r="A5851" s="12" t="inlineStr">
        <is>
          <t>K-P-0037</t>
        </is>
      </c>
      <c r="B5851" s="12" t="inlineStr">
        <is>
          <t>K</t>
        </is>
      </c>
      <c r="C5851" s="12" t="inlineStr">
        <is>
          <t>Fuel supply (adjacent market)</t>
        </is>
      </c>
      <c r="D5851" s="12" t="inlineStr">
        <is>
          <t>Motor 1 of 1, 15 kW</t>
        </is>
      </c>
      <c r="E5851" s="12" t="inlineStr"/>
      <c r="F5851" s="12" t="inlineStr">
        <is>
          <t>LNG 17: LNG e-house (13.8 kV / 480 V)</t>
        </is>
      </c>
      <c r="G5851" s="12" t="inlineStr"/>
      <c r="H5851" s="12" t="inlineStr">
        <is>
          <t>LNG 13: send-out pumps 2 x 100%</t>
        </is>
      </c>
      <c r="I5851" s="12" t="inlineStr">
        <is>
          <t>LV 600 V</t>
        </is>
      </c>
      <c r="J5851" s="12" t="inlineStr">
        <is>
          <t>ARMOR-X MC-HL 600 V 3/C Cu XHHW-2 + ground, CWA, black PVC (Class I Div 2)</t>
        </is>
      </c>
      <c r="K5851" s="12" t="inlineStr">
        <is>
          <t>LVAX|3/C+G|10</t>
        </is>
      </c>
      <c r="L5851" s="12" t="inlineStr">
        <is>
          <t>3/C+G</t>
        </is>
      </c>
      <c r="M5851" s="12" t="inlineStr">
        <is>
          <t>10</t>
        </is>
      </c>
      <c r="N5851" s="12" t="n">
        <v>1</v>
      </c>
      <c r="O5851" s="12" t="n">
        <v>1</v>
      </c>
      <c r="P5851" s="12" t="n">
        <v>480</v>
      </c>
      <c r="Q5851" s="12" t="n">
        <v>15</v>
      </c>
      <c r="R5851" s="12" t="n">
        <v>21.2</v>
      </c>
      <c r="S5851" s="12" t="inlineStr">
        <is>
          <t>Duct bank</t>
        </is>
      </c>
      <c r="T5851" s="16" t="n">
        <v>110</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1.4 %</t>
        </is>
      </c>
      <c r="AA5851" s="12">
        <f>N5851*O5851</f>
        <v/>
      </c>
    </row>
    <row r="5852">
      <c r="A5852" s="12" t="inlineStr">
        <is>
          <t>K-P-0038</t>
        </is>
      </c>
      <c r="B5852" s="12" t="inlineStr">
        <is>
          <t>K</t>
        </is>
      </c>
      <c r="C5852" s="12" t="inlineStr">
        <is>
          <t>Fuel supply (adjacent market)</t>
        </is>
      </c>
      <c r="D5852" s="12" t="inlineStr">
        <is>
          <t>Motor 1 of 1, 15 kW</t>
        </is>
      </c>
      <c r="E5852" s="12" t="inlineStr"/>
      <c r="F5852" s="12" t="inlineStr">
        <is>
          <t>LNG 17: LNG e-house (13.8 kV / 480 V)</t>
        </is>
      </c>
      <c r="G5852" s="12" t="inlineStr"/>
      <c r="H5852" s="12" t="inlineStr">
        <is>
          <t>LNG 14: vaporizers + glycol heater</t>
        </is>
      </c>
      <c r="I5852" s="12" t="inlineStr">
        <is>
          <t>LV 600 V</t>
        </is>
      </c>
      <c r="J5852" s="12" t="inlineStr">
        <is>
          <t>ARMOR-X MC-HL 600 V 3/C Cu XHHW-2 + ground, CWA, black PVC (Class I Div 2)</t>
        </is>
      </c>
      <c r="K5852" s="12" t="inlineStr">
        <is>
          <t>LVAX|3/C+G|10</t>
        </is>
      </c>
      <c r="L5852" s="12" t="inlineStr">
        <is>
          <t>3/C+G</t>
        </is>
      </c>
      <c r="M5852" s="12" t="inlineStr">
        <is>
          <t>10</t>
        </is>
      </c>
      <c r="N5852" s="12" t="n">
        <v>1</v>
      </c>
      <c r="O5852" s="12" t="n">
        <v>1</v>
      </c>
      <c r="P5852" s="12" t="n">
        <v>480</v>
      </c>
      <c r="Q5852" s="12" t="n">
        <v>15</v>
      </c>
      <c r="R5852" s="12" t="n">
        <v>21.2</v>
      </c>
      <c r="S5852" s="12" t="inlineStr">
        <is>
          <t>Duct bank</t>
        </is>
      </c>
      <c r="T5852" s="16" t="n">
        <v>259</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3.0 %</t>
        </is>
      </c>
      <c r="AA5852" s="12">
        <f>N5852*O5852</f>
        <v/>
      </c>
    </row>
    <row r="5853">
      <c r="A5853" s="12" t="inlineStr">
        <is>
          <t>K-P-0039</t>
        </is>
      </c>
      <c r="B5853" s="12" t="inlineStr">
        <is>
          <t>K</t>
        </is>
      </c>
      <c r="C5853" s="12" t="inlineStr">
        <is>
          <t>Fuel supply (adjacent market)</t>
        </is>
      </c>
      <c r="D5853" s="12" t="inlineStr">
        <is>
          <t>Motor 1 of 1, 15 kW</t>
        </is>
      </c>
      <c r="E5853" s="12" t="inlineStr"/>
      <c r="F5853" s="12" t="inlineStr">
        <is>
          <t>LNG 17: LNG e-house (13.8 kV / 480 V)</t>
        </is>
      </c>
      <c r="G5853" s="12" t="inlineStr"/>
      <c r="H5853" s="12" t="inlineStr">
        <is>
          <t>LNG 15: boil-off gas compressor</t>
        </is>
      </c>
      <c r="I5853" s="12" t="inlineStr">
        <is>
          <t>LV 600 V</t>
        </is>
      </c>
      <c r="J5853" s="12" t="inlineStr">
        <is>
          <t>ARMOR-X MC-HL 600 V 3/C Cu XHHW-2 + ground, CWA, black PVC (Class I Div 2)</t>
        </is>
      </c>
      <c r="K5853" s="12" t="inlineStr">
        <is>
          <t>LVAX|3/C+G|10</t>
        </is>
      </c>
      <c r="L5853" s="12" t="inlineStr">
        <is>
          <t>3/C+G</t>
        </is>
      </c>
      <c r="M5853" s="12" t="inlineStr">
        <is>
          <t>10</t>
        </is>
      </c>
      <c r="N5853" s="12" t="n">
        <v>1</v>
      </c>
      <c r="O5853" s="12" t="n">
        <v>1</v>
      </c>
      <c r="P5853" s="12" t="n">
        <v>480</v>
      </c>
      <c r="Q5853" s="12" t="n">
        <v>15</v>
      </c>
      <c r="R5853" s="12" t="n">
        <v>21.2</v>
      </c>
      <c r="S5853" s="12" t="inlineStr">
        <is>
          <t>Duct bank</t>
        </is>
      </c>
      <c r="T5853" s="16" t="n">
        <v>25</v>
      </c>
      <c r="U5853" s="16" t="n">
        <v>54</v>
      </c>
      <c r="V5853" s="16">
        <f>ROUNDUP((T5853+U5853+2*'Read Me'!$B$13)*(1+'Read Me'!$B$12),-1)</f>
        <v/>
      </c>
      <c r="W5853" s="16">
        <f>V5853*N5853*O5853</f>
        <v/>
      </c>
      <c r="X5853" s="12">
        <f>IF(LEFT(I5853,2)="MV",2*N5853*IF(L5853="1/C",O5853,1),0)</f>
        <v/>
      </c>
      <c r="Y5853" s="12">
        <f>IF(OR(LEFT(K5853,4)="LVAX",LEFT(K5853,6)="MV15AX",LEFT(K5853,4)="CTAX",LEFT(K5853,2)="W|"),2*N5853*O5853,0)</f>
        <v/>
      </c>
      <c r="Z5853" s="12" t="inlineStr">
        <is>
          <t>VD 0.8 %</t>
        </is>
      </c>
      <c r="AA5853" s="12">
        <f>N5853*O5853</f>
        <v/>
      </c>
    </row>
    <row r="5854">
      <c r="A5854" s="12" t="inlineStr">
        <is>
          <t>K-P-0040</t>
        </is>
      </c>
      <c r="B5854" s="12" t="inlineStr">
        <is>
          <t>K</t>
        </is>
      </c>
      <c r="C5854" s="12" t="inlineStr">
        <is>
          <t>Fuel supply (adjacent market)</t>
        </is>
      </c>
      <c r="D5854" s="12" t="inlineStr">
        <is>
          <t>Motor 1 of 1, 15 kW</t>
        </is>
      </c>
      <c r="E5854" s="12" t="inlineStr"/>
      <c r="F5854" s="12" t="inlineStr">
        <is>
          <t>LNG 17: LNG e-house (13.8 kV / 480 V)</t>
        </is>
      </c>
      <c r="G5854" s="12" t="inlineStr"/>
      <c r="H5854" s="12" t="inlineStr">
        <is>
          <t>LNG 16: send-out metering + pressure control</t>
        </is>
      </c>
      <c r="I5854" s="12" t="inlineStr">
        <is>
          <t>LV 600 V</t>
        </is>
      </c>
      <c r="J5854" s="12" t="inlineStr">
        <is>
          <t>ARMOR-X MC-HL 600 V 3/C Cu XHHW-2 + ground, CWA, black PVC (Class I Div 2)</t>
        </is>
      </c>
      <c r="K5854" s="12" t="inlineStr">
        <is>
          <t>LVAX|3/C+G|10</t>
        </is>
      </c>
      <c r="L5854" s="12" t="inlineStr">
        <is>
          <t>3/C+G</t>
        </is>
      </c>
      <c r="M5854" s="12" t="inlineStr">
        <is>
          <t>10</t>
        </is>
      </c>
      <c r="N5854" s="12" t="n">
        <v>1</v>
      </c>
      <c r="O5854" s="12" t="n">
        <v>1</v>
      </c>
      <c r="P5854" s="12" t="n">
        <v>480</v>
      </c>
      <c r="Q5854" s="12" t="n">
        <v>15</v>
      </c>
      <c r="R5854" s="12" t="n">
        <v>21.2</v>
      </c>
      <c r="S5854" s="12" t="inlineStr">
        <is>
          <t>Duct bank</t>
        </is>
      </c>
      <c r="T5854" s="16" t="n">
        <v>20</v>
      </c>
      <c r="U5854" s="16" t="n">
        <v>32</v>
      </c>
      <c r="V5854" s="16">
        <f>ROUNDUP((T5854+U5854+2*'Read Me'!$B$13)*(1+'Read Me'!$B$12),-1)</f>
        <v/>
      </c>
      <c r="W5854" s="16">
        <f>V5854*N5854*O5854</f>
        <v/>
      </c>
      <c r="X5854" s="12">
        <f>IF(LEFT(I5854,2)="MV",2*N5854*IF(L5854="1/C",O5854,1),0)</f>
        <v/>
      </c>
      <c r="Y5854" s="12">
        <f>IF(OR(LEFT(K5854,4)="LVAX",LEFT(K5854,6)="MV15AX",LEFT(K5854,4)="CTAX",LEFT(K5854,2)="W|"),2*N5854*O5854,0)</f>
        <v/>
      </c>
      <c r="Z5854" s="12" t="inlineStr">
        <is>
          <t>VD 0.5 %</t>
        </is>
      </c>
      <c r="AA5854" s="12">
        <f>N5854*O5854</f>
        <v/>
      </c>
    </row>
    <row r="5855">
      <c r="A5855" s="12" t="inlineStr">
        <is>
          <t>K-P-0041</t>
        </is>
      </c>
      <c r="B5855" s="12" t="inlineStr">
        <is>
          <t>K</t>
        </is>
      </c>
      <c r="C5855" s="12" t="inlineStr">
        <is>
          <t>Fuel supply (adjacent market)</t>
        </is>
      </c>
      <c r="D5855" s="12" t="inlineStr">
        <is>
          <t>Motor 1 of 1, 15 kW</t>
        </is>
      </c>
      <c r="E5855" s="12" t="inlineStr"/>
      <c r="F5855" s="12" t="inlineStr">
        <is>
          <t>LNG 17: LNG e-house (13.8 kV / 480 V)</t>
        </is>
      </c>
      <c r="G5855" s="12" t="inlineStr"/>
      <c r="H5855" s="12" t="inlineStr">
        <is>
          <t>LNG 17: LNG e-house (13.8 kV / 480 V)</t>
        </is>
      </c>
      <c r="I5855" s="12" t="inlineStr">
        <is>
          <t>LV 600 V</t>
        </is>
      </c>
      <c r="J5855" s="12" t="inlineStr">
        <is>
          <t>ARMOR-X MC-HL 600 V 3/C Cu XHHW-2 + ground, CWA, black PVC (Class I Div 2)</t>
        </is>
      </c>
      <c r="K5855" s="12" t="inlineStr">
        <is>
          <t>LVAX|3/C+G|10</t>
        </is>
      </c>
      <c r="L5855" s="12" t="inlineStr">
        <is>
          <t>3/C+G</t>
        </is>
      </c>
      <c r="M5855" s="12" t="inlineStr">
        <is>
          <t>10</t>
        </is>
      </c>
      <c r="N5855" s="12" t="n">
        <v>1</v>
      </c>
      <c r="O5855" s="12" t="n">
        <v>1</v>
      </c>
      <c r="P5855" s="12" t="n">
        <v>480</v>
      </c>
      <c r="Q5855" s="12" t="n">
        <v>15</v>
      </c>
      <c r="R5855" s="12" t="n">
        <v>21.2</v>
      </c>
      <c r="S5855" s="12" t="inlineStr">
        <is>
          <t>Tray</t>
        </is>
      </c>
      <c r="T5855" s="16" t="n">
        <v>0</v>
      </c>
      <c r="U5855" s="16" t="n">
        <v>32</v>
      </c>
      <c r="V5855" s="16">
        <f>ROUNDUP((T5855+U5855+2*'Read Me'!$B$13)*(1+'Read Me'!$B$12),-1)</f>
        <v/>
      </c>
      <c r="W5855" s="16">
        <f>V5855*N5855*O5855</f>
        <v/>
      </c>
      <c r="X5855" s="12">
        <f>IF(LEFT(I5855,2)="MV",2*N5855*IF(L5855="1/C",O5855,1),0)</f>
        <v/>
      </c>
      <c r="Y5855" s="12">
        <f>IF(OR(LEFT(K5855,4)="LVAX",LEFT(K5855,6)="MV15AX",LEFT(K5855,4)="CTAX",LEFT(K5855,2)="W|"),2*N5855*O5855,0)</f>
        <v/>
      </c>
      <c r="Z5855" s="12" t="inlineStr">
        <is>
          <t>VD 0.3 %</t>
        </is>
      </c>
      <c r="AA5855" s="12">
        <f>N5855*O5855</f>
        <v/>
      </c>
    </row>
    <row r="5856">
      <c r="A5856" s="12" t="inlineStr">
        <is>
          <t>K-P-0042</t>
        </is>
      </c>
      <c r="B5856" s="12" t="inlineStr">
        <is>
          <t>K</t>
        </is>
      </c>
      <c r="C5856" s="12" t="inlineStr">
        <is>
          <t>Fuel supply (adjacent market)</t>
        </is>
      </c>
      <c r="D5856" s="12" t="inlineStr">
        <is>
          <t>Motor 1 of 1, 15 kW</t>
        </is>
      </c>
      <c r="E5856" s="12" t="inlineStr"/>
      <c r="F5856" s="12" t="inlineStr">
        <is>
          <t>LNG 17: LNG e-house (13.8 kV / 480 V)</t>
        </is>
      </c>
      <c r="G5856" s="12" t="inlineStr"/>
      <c r="H5856" s="12" t="inlineStr">
        <is>
          <t>LNG 18: vent stack</t>
        </is>
      </c>
      <c r="I5856" s="12" t="inlineStr">
        <is>
          <t>LV 600 V</t>
        </is>
      </c>
      <c r="J5856" s="12" t="inlineStr">
        <is>
          <t>ARMOR-X MC-HL 600 V 3/C Cu XHHW-2 + ground, CWA, black PVC (Class I Div 2)</t>
        </is>
      </c>
      <c r="K5856" s="12" t="inlineStr">
        <is>
          <t>LVAX|3/C+G|10</t>
        </is>
      </c>
      <c r="L5856" s="12" t="inlineStr">
        <is>
          <t>3/C+G</t>
        </is>
      </c>
      <c r="M5856" s="12" t="inlineStr">
        <is>
          <t>10</t>
        </is>
      </c>
      <c r="N5856" s="12" t="n">
        <v>1</v>
      </c>
      <c r="O5856" s="12" t="n">
        <v>1</v>
      </c>
      <c r="P5856" s="12" t="n">
        <v>480</v>
      </c>
      <c r="Q5856" s="12" t="n">
        <v>15</v>
      </c>
      <c r="R5856" s="12" t="n">
        <v>21.2</v>
      </c>
      <c r="S5856" s="12" t="inlineStr">
        <is>
          <t>Duct bank</t>
        </is>
      </c>
      <c r="T5856" s="16" t="n">
        <v>25</v>
      </c>
      <c r="U5856" s="16" t="n">
        <v>117</v>
      </c>
      <c r="V5856" s="16">
        <f>ROUNDUP((T5856+U5856+2*'Read Me'!$B$13)*(1+'Read Me'!$B$12),-1)</f>
        <v/>
      </c>
      <c r="W5856" s="16">
        <f>V5856*N5856*O5856</f>
        <v/>
      </c>
      <c r="X5856" s="12">
        <f>IF(LEFT(I5856,2)="MV",2*N5856*IF(L5856="1/C",O5856,1),0)</f>
        <v/>
      </c>
      <c r="Y5856" s="12">
        <f>IF(OR(LEFT(K5856,4)="LVAX",LEFT(K5856,6)="MV15AX",LEFT(K5856,4)="CTAX",LEFT(K5856,2)="W|"),2*N5856*O5856,0)</f>
        <v/>
      </c>
      <c r="Z5856" s="12" t="inlineStr">
        <is>
          <t>VD 1.4 %</t>
        </is>
      </c>
      <c r="AA5856" s="12">
        <f>N5856*O5856</f>
        <v/>
      </c>
    </row>
    <row r="5857">
      <c r="A5857" s="12" t="inlineStr">
        <is>
          <t>K-P-0043</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LNG impoundment sump pump</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15</v>
      </c>
      <c r="R5857" s="12" t="n">
        <v>21.2</v>
      </c>
      <c r="S5857" s="12" t="inlineStr">
        <is>
          <t>Duct bank</t>
        </is>
      </c>
      <c r="T5857" s="16" t="n">
        <v>334</v>
      </c>
      <c r="U5857" s="16" t="n">
        <v>32</v>
      </c>
      <c r="V5857" s="16">
        <f>ROUNDUP((T5857+U5857+2*'Read Me'!$B$13)*(1+'Read Me'!$B$12),-1)</f>
        <v/>
      </c>
      <c r="W5857" s="16">
        <f>V5857*N5857*O5857</f>
        <v/>
      </c>
      <c r="X5857" s="12">
        <f>IF(LEFT(I5857,2)="MV",2*N5857*IF(L5857="1/C",O5857,1),0)</f>
        <v/>
      </c>
      <c r="Y5857" s="12">
        <f>IF(OR(LEFT(K5857,4)="LVAX",LEFT(K5857,6)="MV15AX",LEFT(K5857,4)="CTAX",LEFT(K5857,2)="W|"),2*N5857*O5857,0)</f>
        <v/>
      </c>
      <c r="Z5857" s="12" t="inlineStr">
        <is>
          <t>VD 2.4 %</t>
        </is>
      </c>
      <c r="AA5857" s="12">
        <f>N5857*O5857</f>
        <v/>
      </c>
    </row>
    <row r="5858">
      <c r="A5858" s="12" t="inlineStr">
        <is>
          <t>K-P-0044</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2: insulating joint + ESD valve</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10</v>
      </c>
      <c r="R5858" s="12" t="n">
        <v>14.2</v>
      </c>
      <c r="S5858" s="12" t="inlineStr">
        <is>
          <t>Duct bank</t>
        </is>
      </c>
      <c r="T5858" s="16" t="n">
        <v>758</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2.2 %</t>
        </is>
      </c>
      <c r="AA5858" s="12">
        <f>N5858*O5858</f>
        <v/>
      </c>
    </row>
    <row r="5859">
      <c r="A5859" s="12" t="inlineStr">
        <is>
          <t>K-P-0045</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3: horizontal filter-separator</t>
        </is>
      </c>
      <c r="I5859" s="12" t="inlineStr">
        <is>
          <t>LV 600 V</t>
        </is>
      </c>
      <c r="J5859" s="12" t="inlineStr">
        <is>
          <t>ARMOR-X MC-HL 600 V 3/C Cu XHHW-2 + ground, CWA, black PVC (Class I Div 2)</t>
        </is>
      </c>
      <c r="K5859" s="12" t="inlineStr">
        <is>
          <t>LVAX|3/C+G|4</t>
        </is>
      </c>
      <c r="L5859" s="12" t="inlineStr">
        <is>
          <t>3/C+G</t>
        </is>
      </c>
      <c r="M5859" s="12" t="inlineStr">
        <is>
          <t>4</t>
        </is>
      </c>
      <c r="N5859" s="12" t="n">
        <v>1</v>
      </c>
      <c r="O5859" s="12" t="n">
        <v>1</v>
      </c>
      <c r="P5859" s="12" t="n">
        <v>480</v>
      </c>
      <c r="Q5859" s="12" t="n">
        <v>15</v>
      </c>
      <c r="R5859" s="12" t="n">
        <v>21.2</v>
      </c>
      <c r="S5859" s="12" t="inlineStr">
        <is>
          <t>Duct bank</t>
        </is>
      </c>
      <c r="T5859" s="16" t="n">
        <v>797</v>
      </c>
      <c r="U5859" s="16" t="n">
        <v>32</v>
      </c>
      <c r="V5859" s="16">
        <f>ROUNDUP((T5859+U5859+2*'Read Me'!$B$13)*(1+'Read Me'!$B$12),-1)</f>
        <v/>
      </c>
      <c r="W5859" s="16">
        <f>V5859*N5859*O5859</f>
        <v/>
      </c>
      <c r="X5859" s="12">
        <f>IF(LEFT(I5859,2)="MV",2*N5859*IF(L5859="1/C",O5859,1),0)</f>
        <v/>
      </c>
      <c r="Y5859" s="12">
        <f>IF(OR(LEFT(K5859,4)="LVAX",LEFT(K5859,6)="MV15AX",LEFT(K5859,4)="CTAX",LEFT(K5859,2)="W|"),2*N5859*O5859,0)</f>
        <v/>
      </c>
      <c r="Z5859" s="12" t="inlineStr">
        <is>
          <t>VD 2.2 %</t>
        </is>
      </c>
      <c r="AA5859" s="12">
        <f>N5859*O5859</f>
        <v/>
      </c>
    </row>
    <row r="5860">
      <c r="A5860" s="12" t="inlineStr">
        <is>
          <t>K-P-0046</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4: line heater 1 (water bath)</t>
        </is>
      </c>
      <c r="I5860" s="12" t="inlineStr">
        <is>
          <t>LV 600 V</t>
        </is>
      </c>
      <c r="J5860" s="12" t="inlineStr">
        <is>
          <t>ARMOR-X MC-HL 600 V 3/C Cu XHHW-2 + ground, CWA, black PVC (Class I Div 2)</t>
        </is>
      </c>
      <c r="K5860" s="12" t="inlineStr">
        <is>
          <t>LVAX|3/C+G|6</t>
        </is>
      </c>
      <c r="L5860" s="12" t="inlineStr">
        <is>
          <t>3/C+G</t>
        </is>
      </c>
      <c r="M5860" s="12" t="inlineStr">
        <is>
          <t>6</t>
        </is>
      </c>
      <c r="N5860" s="12" t="n">
        <v>1</v>
      </c>
      <c r="O5860" s="12" t="n">
        <v>1</v>
      </c>
      <c r="P5860" s="12" t="n">
        <v>480</v>
      </c>
      <c r="Q5860" s="12" t="n">
        <v>15</v>
      </c>
      <c r="R5860" s="12" t="n">
        <v>21.2</v>
      </c>
      <c r="S5860" s="12" t="inlineStr">
        <is>
          <t>Duct bank</t>
        </is>
      </c>
      <c r="T5860" s="16" t="n">
        <v>593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2.6 %</t>
        </is>
      </c>
      <c r="AA5860" s="12">
        <f>N5860*O5860</f>
        <v/>
      </c>
    </row>
    <row r="5861">
      <c r="A5861" s="12" t="inlineStr">
        <is>
          <t>K-P-0047</t>
        </is>
      </c>
      <c r="B5861" s="12" t="inlineStr">
        <is>
          <t>K</t>
        </is>
      </c>
      <c r="C5861" s="12" t="inlineStr">
        <is>
          <t>Fuel supply (adjacent market)</t>
        </is>
      </c>
      <c r="D5861" s="12" t="inlineStr">
        <is>
          <t>LV power feeder</t>
        </is>
      </c>
      <c r="E5861" s="12" t="inlineStr"/>
      <c r="F5861" s="12" t="inlineStr">
        <is>
          <t>LNG 17: LNG e-house (13.8 kV / 480 V)</t>
        </is>
      </c>
      <c r="G5861" s="12" t="inlineStr"/>
      <c r="H5861" s="12" t="inlineStr">
        <is>
          <t>M&amp;R 4: line heater 2 (water bath)</t>
        </is>
      </c>
      <c r="I5861" s="12" t="inlineStr">
        <is>
          <t>LV 600 V</t>
        </is>
      </c>
      <c r="J5861" s="12" t="inlineStr">
        <is>
          <t>ARMOR-X MC-HL 600 V 3/C Cu XHHW-2 + ground, CWA, black PVC (Class I Div 2)</t>
        </is>
      </c>
      <c r="K5861" s="12" t="inlineStr">
        <is>
          <t>LVAX|3/C+G|6</t>
        </is>
      </c>
      <c r="L5861" s="12" t="inlineStr">
        <is>
          <t>3/C+G</t>
        </is>
      </c>
      <c r="M5861" s="12" t="inlineStr">
        <is>
          <t>6</t>
        </is>
      </c>
      <c r="N5861" s="12" t="n">
        <v>1</v>
      </c>
      <c r="O5861" s="12" t="n">
        <v>1</v>
      </c>
      <c r="P5861" s="12" t="n">
        <v>480</v>
      </c>
      <c r="Q5861" s="12" t="n">
        <v>15</v>
      </c>
      <c r="R5861" s="12" t="n">
        <v>21.2</v>
      </c>
      <c r="S5861" s="12" t="inlineStr">
        <is>
          <t>Duct bank</t>
        </is>
      </c>
      <c r="T5861" s="16" t="n">
        <v>593</v>
      </c>
      <c r="U5861" s="16" t="n">
        <v>50</v>
      </c>
      <c r="V5861" s="16">
        <f>ROUNDUP((T5861+U5861+2*'Read Me'!$B$13)*(1+'Read Me'!$B$12),-1)</f>
        <v/>
      </c>
      <c r="W5861" s="16">
        <f>V5861*N5861*O5861</f>
        <v/>
      </c>
      <c r="X5861" s="12">
        <f>IF(LEFT(I5861,2)="MV",2*N5861*IF(L5861="1/C",O5861,1),0)</f>
        <v/>
      </c>
      <c r="Y5861" s="12">
        <f>IF(OR(LEFT(K5861,4)="LVAX",LEFT(K5861,6)="MV15AX",LEFT(K5861,4)="CTAX",LEFT(K5861,2)="W|"),2*N5861*O5861,0)</f>
        <v/>
      </c>
      <c r="Z5861" s="12" t="inlineStr">
        <is>
          <t>VD 2.7 %</t>
        </is>
      </c>
      <c r="AA5861" s="12">
        <f>N5861*O5861</f>
        <v/>
      </c>
    </row>
    <row r="5862">
      <c r="A5862" s="12" t="inlineStr">
        <is>
          <t>K-P-0048</t>
        </is>
      </c>
      <c r="B5862" s="12" t="inlineStr">
        <is>
          <t>K</t>
        </is>
      </c>
      <c r="C5862" s="12" t="inlineStr">
        <is>
          <t>Fuel supply (adjacent market)</t>
        </is>
      </c>
      <c r="D5862" s="12" t="inlineStr">
        <is>
          <t>LV power feeder</t>
        </is>
      </c>
      <c r="E5862" s="12" t="inlineStr"/>
      <c r="F5862" s="12" t="inlineStr">
        <is>
          <t>LNG 17: LNG e-house (13.8 kV / 480 V)</t>
        </is>
      </c>
      <c r="G5862" s="12" t="inlineStr"/>
      <c r="H5862" s="12" t="inlineStr">
        <is>
          <t>M&amp;R 4: line heater 3 (water bath)</t>
        </is>
      </c>
      <c r="I5862" s="12" t="inlineStr">
        <is>
          <t>LV 600 V</t>
        </is>
      </c>
      <c r="J5862" s="12" t="inlineStr">
        <is>
          <t>ARMOR-X MC-HL 600 V 3/C Cu XHHW-2 + ground, CWA, black PVC (Class I Div 2)</t>
        </is>
      </c>
      <c r="K5862" s="12" t="inlineStr">
        <is>
          <t>LVAX|3/C+G|6</t>
        </is>
      </c>
      <c r="L5862" s="12" t="inlineStr">
        <is>
          <t>3/C+G</t>
        </is>
      </c>
      <c r="M5862" s="12" t="inlineStr">
        <is>
          <t>6</t>
        </is>
      </c>
      <c r="N5862" s="12" t="n">
        <v>1</v>
      </c>
      <c r="O5862" s="12" t="n">
        <v>1</v>
      </c>
      <c r="P5862" s="12" t="n">
        <v>480</v>
      </c>
      <c r="Q5862" s="12" t="n">
        <v>15</v>
      </c>
      <c r="R5862" s="12" t="n">
        <v>21.2</v>
      </c>
      <c r="S5862" s="12" t="inlineStr">
        <is>
          <t>Duct bank</t>
        </is>
      </c>
      <c r="T5862" s="16" t="n">
        <v>593</v>
      </c>
      <c r="U5862" s="16" t="n">
        <v>68</v>
      </c>
      <c r="V5862" s="16">
        <f>ROUNDUP((T5862+U5862+2*'Read Me'!$B$13)*(1+'Read Me'!$B$12),-1)</f>
        <v/>
      </c>
      <c r="W5862" s="16">
        <f>V5862*N5862*O5862</f>
        <v/>
      </c>
      <c r="X5862" s="12">
        <f>IF(LEFT(I5862,2)="MV",2*N5862*IF(L5862="1/C",O5862,1),0)</f>
        <v/>
      </c>
      <c r="Y5862" s="12">
        <f>IF(OR(LEFT(K5862,4)="LVAX",LEFT(K5862,6)="MV15AX",LEFT(K5862,4)="CTAX",LEFT(K5862,2)="W|"),2*N5862*O5862,0)</f>
        <v/>
      </c>
      <c r="Z5862" s="12" t="inlineStr">
        <is>
          <t>VD 2.7 %</t>
        </is>
      </c>
      <c r="AA5862" s="12">
        <f>N5862*O5862</f>
        <v/>
      </c>
    </row>
    <row r="5863">
      <c r="A5863" s="12" t="inlineStr">
        <is>
          <t>K-P-0049</t>
        </is>
      </c>
      <c r="B5863" s="12" t="inlineStr">
        <is>
          <t>K</t>
        </is>
      </c>
      <c r="C5863" s="12" t="inlineStr">
        <is>
          <t>Fuel supply (adjacent market)</t>
        </is>
      </c>
      <c r="D5863" s="12" t="inlineStr">
        <is>
          <t>LV panel / distribution feeder</t>
        </is>
      </c>
      <c r="E5863" s="12" t="inlineStr"/>
      <c r="F5863" s="12" t="inlineStr">
        <is>
          <t>LNG 17: LNG e-house (13.8 kV / 480 V)</t>
        </is>
      </c>
      <c r="G5863" s="12" t="inlineStr"/>
      <c r="H5863" s="12" t="inlineStr">
        <is>
          <t>M&amp;R 6: regulation / flow control building</t>
        </is>
      </c>
      <c r="I5863" s="12" t="inlineStr">
        <is>
          <t>LV 600 V</t>
        </is>
      </c>
      <c r="J5863" s="12" t="inlineStr">
        <is>
          <t>ARMOR-X MC-HL 600 V 3/C Cu XHHW-2 + ground, CWA, black PVC (Class I Div 2)</t>
        </is>
      </c>
      <c r="K5863" s="12" t="inlineStr">
        <is>
          <t>LVAX|3/C+G|8</t>
        </is>
      </c>
      <c r="L5863" s="12" t="inlineStr">
        <is>
          <t>3/C+G</t>
        </is>
      </c>
      <c r="M5863" s="12" t="inlineStr">
        <is>
          <t>8</t>
        </is>
      </c>
      <c r="N5863" s="12" t="n">
        <v>1</v>
      </c>
      <c r="O5863" s="12" t="n">
        <v>1</v>
      </c>
      <c r="P5863" s="12" t="n">
        <v>480</v>
      </c>
      <c r="Q5863" s="12" t="n">
        <v>10</v>
      </c>
      <c r="R5863" s="12" t="n">
        <v>14.2</v>
      </c>
      <c r="S5863" s="12" t="inlineStr">
        <is>
          <t>Duct bank</t>
        </is>
      </c>
      <c r="T5863" s="16" t="n">
        <v>470</v>
      </c>
      <c r="U5863" s="16" t="n">
        <v>70</v>
      </c>
      <c r="V5863" s="16">
        <f>ROUNDUP((T5863+U5863+2*'Read Me'!$B$13)*(1+'Read Me'!$B$12),-1)</f>
        <v/>
      </c>
      <c r="W5863" s="16">
        <f>V5863*N5863*O5863</f>
        <v/>
      </c>
      <c r="X5863" s="12">
        <f>IF(LEFT(I5863,2)="MV",2*N5863*IF(L5863="1/C",O5863,1),0)</f>
        <v/>
      </c>
      <c r="Y5863" s="12">
        <f>IF(OR(LEFT(K5863,4)="LVAX",LEFT(K5863,6)="MV15AX",LEFT(K5863,4)="CTAX",LEFT(K5863,2)="W|"),2*N5863*O5863,0)</f>
        <v/>
      </c>
      <c r="Z5863" s="12" t="inlineStr">
        <is>
          <t>VD 2.3 %</t>
        </is>
      </c>
      <c r="AA5863" s="12">
        <f>N5863*O5863</f>
        <v/>
      </c>
    </row>
    <row r="5864">
      <c r="A5864" s="12" t="inlineStr">
        <is>
          <t>K-P-0050</t>
        </is>
      </c>
      <c r="B5864" s="12" t="inlineStr">
        <is>
          <t>K</t>
        </is>
      </c>
      <c r="C5864" s="12" t="inlineStr">
        <is>
          <t>Fuel supply (adjacent market)</t>
        </is>
      </c>
      <c r="D5864" s="12" t="inlineStr">
        <is>
          <t>LV panel / distribution feeder</t>
        </is>
      </c>
      <c r="E5864" s="12" t="inlineStr"/>
      <c r="F5864" s="12" t="inlineStr">
        <is>
          <t>LNG 17: LNG e-house (13.8 kV / 480 V)</t>
        </is>
      </c>
      <c r="G5864" s="12" t="inlineStr"/>
      <c r="H5864" s="12" t="inlineStr">
        <is>
          <t>M&amp;R 7: gas quality + measurement building</t>
        </is>
      </c>
      <c r="I5864" s="12" t="inlineStr">
        <is>
          <t>LV 600 V</t>
        </is>
      </c>
      <c r="J5864" s="12" t="inlineStr">
        <is>
          <t>ARMOR-X MC-HL 600 V 3/C Cu XHHW-2 + ground, CWA, black PVC (Class I Div 2)</t>
        </is>
      </c>
      <c r="K5864" s="12" t="inlineStr">
        <is>
          <t>LVAX|3/C+G|2</t>
        </is>
      </c>
      <c r="L5864" s="12" t="inlineStr">
        <is>
          <t>3/C+G</t>
        </is>
      </c>
      <c r="M5864" s="12" t="inlineStr">
        <is>
          <t>2</t>
        </is>
      </c>
      <c r="N5864" s="12" t="n">
        <v>1</v>
      </c>
      <c r="O5864" s="12" t="n">
        <v>1</v>
      </c>
      <c r="P5864" s="12" t="n">
        <v>480</v>
      </c>
      <c r="Q5864" s="12" t="n">
        <v>30</v>
      </c>
      <c r="R5864" s="12" t="n">
        <v>42.5</v>
      </c>
      <c r="S5864" s="12" t="inlineStr">
        <is>
          <t>Duct bank</t>
        </is>
      </c>
      <c r="T5864" s="16" t="n">
        <v>616</v>
      </c>
      <c r="U5864" s="16" t="n">
        <v>52</v>
      </c>
      <c r="V5864" s="16">
        <f>ROUNDUP((T5864+U5864+2*'Read Me'!$B$13)*(1+'Read Me'!$B$12),-1)</f>
        <v/>
      </c>
      <c r="W5864" s="16">
        <f>V5864*N5864*O5864</f>
        <v/>
      </c>
      <c r="X5864" s="12">
        <f>IF(LEFT(I5864,2)="MV",2*N5864*IF(L5864="1/C",O5864,1),0)</f>
        <v/>
      </c>
      <c r="Y5864" s="12">
        <f>IF(OR(LEFT(K5864,4)="LVAX",LEFT(K5864,6)="MV15AX",LEFT(K5864,4)="CTAX",LEFT(K5864,2)="W|"),2*N5864*O5864,0)</f>
        <v/>
      </c>
      <c r="Z5864" s="12" t="inlineStr">
        <is>
          <t>VD 2.2 %</t>
        </is>
      </c>
      <c r="AA5864" s="12">
        <f>N5864*O5864</f>
        <v/>
      </c>
    </row>
    <row r="5865">
      <c r="A5865" s="12" t="inlineStr">
        <is>
          <t>K-P-0051</t>
        </is>
      </c>
      <c r="B5865" s="12" t="inlineStr">
        <is>
          <t>K</t>
        </is>
      </c>
      <c r="C5865" s="12" t="inlineStr">
        <is>
          <t>Fuel supply (adjacent market)</t>
        </is>
      </c>
      <c r="D5865" s="12" t="inlineStr">
        <is>
          <t>LV power feeder</t>
        </is>
      </c>
      <c r="E5865" s="12" t="inlineStr"/>
      <c r="F5865" s="12" t="inlineStr">
        <is>
          <t>LNG 17: LNG e-house (13.8 kV / 480 V)</t>
        </is>
      </c>
      <c r="G5865" s="12" t="inlineStr"/>
      <c r="H5865" s="12" t="inlineStr">
        <is>
          <t>M&amp;R 8: condensate tank</t>
        </is>
      </c>
      <c r="I5865" s="12" t="inlineStr">
        <is>
          <t>LV 600 V</t>
        </is>
      </c>
      <c r="J5865" s="12" t="inlineStr">
        <is>
          <t>ARMOR-X MC-HL 600 V 3/C Cu XHHW-2 + ground, CWA, black PVC (Class I Div 2)</t>
        </is>
      </c>
      <c r="K5865" s="12" t="inlineStr">
        <is>
          <t>LVAX|3/C+G|8</t>
        </is>
      </c>
      <c r="L5865" s="12" t="inlineStr">
        <is>
          <t>3/C+G</t>
        </is>
      </c>
      <c r="M5865" s="12" t="inlineStr">
        <is>
          <t>8</t>
        </is>
      </c>
      <c r="N5865" s="12" t="n">
        <v>1</v>
      </c>
      <c r="O5865" s="12" t="n">
        <v>1</v>
      </c>
      <c r="P5865" s="12" t="n">
        <v>480</v>
      </c>
      <c r="Q5865" s="12" t="n">
        <v>10</v>
      </c>
      <c r="R5865" s="12" t="n">
        <v>14.2</v>
      </c>
      <c r="S5865" s="12" t="inlineStr">
        <is>
          <t>Duct bank</t>
        </is>
      </c>
      <c r="T5865" s="16" t="n">
        <v>530</v>
      </c>
      <c r="U5865" s="16" t="n">
        <v>87</v>
      </c>
      <c r="V5865" s="16">
        <f>ROUNDUP((T5865+U5865+2*'Read Me'!$B$13)*(1+'Read Me'!$B$12),-1)</f>
        <v/>
      </c>
      <c r="W5865" s="16">
        <f>V5865*N5865*O5865</f>
        <v/>
      </c>
      <c r="X5865" s="12">
        <f>IF(LEFT(I5865,2)="MV",2*N5865*IF(L5865="1/C",O5865,1),0)</f>
        <v/>
      </c>
      <c r="Y5865" s="12">
        <f>IF(OR(LEFT(K5865,4)="LVAX",LEFT(K5865,6)="MV15AX",LEFT(K5865,4)="CTAX",LEFT(K5865,2)="W|"),2*N5865*O5865,0)</f>
        <v/>
      </c>
      <c r="Z5865" s="12" t="inlineStr">
        <is>
          <t>VD 2.6 %</t>
        </is>
      </c>
      <c r="AA5865" s="12">
        <f>N5865*O5865</f>
        <v/>
      </c>
    </row>
    <row r="5866">
      <c r="A5866" s="12" t="inlineStr">
        <is>
          <t>K-P-0052</t>
        </is>
      </c>
      <c r="B5866" s="12" t="inlineStr">
        <is>
          <t>K</t>
        </is>
      </c>
      <c r="C5866" s="12" t="inlineStr">
        <is>
          <t>Fuel supply (adjacent market)</t>
        </is>
      </c>
      <c r="D5866" s="12" t="inlineStr">
        <is>
          <t>LV power feeder</t>
        </is>
      </c>
      <c r="E5866" s="12" t="inlineStr"/>
      <c r="F5866" s="12" t="inlineStr">
        <is>
          <t>LNG 17: LNG e-house (13.8 kV / 480 V)</t>
        </is>
      </c>
      <c r="G5866" s="12" t="inlineStr"/>
      <c r="H5866" s="12" t="inlineStr">
        <is>
          <t>M&amp;R 9: service panel + UPS, SCADA RTU, CP</t>
        </is>
      </c>
      <c r="I5866" s="12" t="inlineStr">
        <is>
          <t>LV 600 V</t>
        </is>
      </c>
      <c r="J5866" s="12" t="inlineStr">
        <is>
          <t>ARMOR-X MC-HL 600 V 3/C Cu XHHW-2 + ground, CWA, black PVC (Class I Div 2)</t>
        </is>
      </c>
      <c r="K5866" s="12" t="inlineStr">
        <is>
          <t>LVAX|3/C+G|6</t>
        </is>
      </c>
      <c r="L5866" s="12" t="inlineStr">
        <is>
          <t>3/C+G</t>
        </is>
      </c>
      <c r="M5866" s="12" t="inlineStr">
        <is>
          <t>6</t>
        </is>
      </c>
      <c r="N5866" s="12" t="n">
        <v>1</v>
      </c>
      <c r="O5866" s="12" t="n">
        <v>1</v>
      </c>
      <c r="P5866" s="12" t="n">
        <v>480</v>
      </c>
      <c r="Q5866" s="12" t="n">
        <v>15</v>
      </c>
      <c r="R5866" s="12" t="n">
        <v>21.2</v>
      </c>
      <c r="S5866" s="12" t="inlineStr">
        <is>
          <t>Duct bank</t>
        </is>
      </c>
      <c r="T5866" s="16" t="n">
        <v>466</v>
      </c>
      <c r="U5866" s="16" t="n">
        <v>32</v>
      </c>
      <c r="V5866" s="16">
        <f>ROUNDUP((T5866+U5866+2*'Read Me'!$B$13)*(1+'Read Me'!$B$12),-1)</f>
        <v/>
      </c>
      <c r="W5866" s="16">
        <f>V5866*N5866*O5866</f>
        <v/>
      </c>
      <c r="X5866" s="12">
        <f>IF(LEFT(I5866,2)="MV",2*N5866*IF(L5866="1/C",O5866,1),0)</f>
        <v/>
      </c>
      <c r="Y5866" s="12">
        <f>IF(OR(LEFT(K5866,4)="LVAX",LEFT(K5866,6)="MV15AX",LEFT(K5866,4)="CTAX",LEFT(K5866,2)="W|"),2*N5866*O5866,0)</f>
        <v/>
      </c>
      <c r="Z5866" s="12" t="inlineStr">
        <is>
          <t>VD 2.1 %</t>
        </is>
      </c>
      <c r="AA5866" s="12">
        <f>N5866*O5866</f>
        <v/>
      </c>
    </row>
    <row r="5867">
      <c r="A5867" s="12" t="inlineStr">
        <is>
          <t>K-P-0053</t>
        </is>
      </c>
      <c r="B5867" s="12" t="inlineStr">
        <is>
          <t>K</t>
        </is>
      </c>
      <c r="C5867" s="12" t="inlineStr">
        <is>
          <t>Fuel supply (adjacent market)</t>
        </is>
      </c>
      <c r="D5867" s="12" t="inlineStr">
        <is>
          <t>LV power feeder</t>
        </is>
      </c>
      <c r="E5867" s="12" t="inlineStr"/>
      <c r="F5867" s="12" t="inlineStr">
        <is>
          <t>LNG 17: LNG e-house (13.8 kV / 480 V)</t>
        </is>
      </c>
      <c r="G5867" s="12" t="inlineStr"/>
      <c r="H5867" s="12" t="inlineStr">
        <is>
          <t>M&amp;R CP test station (as drawn)</t>
        </is>
      </c>
      <c r="I5867" s="12" t="inlineStr">
        <is>
          <t>LV 600 V</t>
        </is>
      </c>
      <c r="J5867" s="12" t="inlineStr">
        <is>
          <t>ARMOR-X MC-HL 600 V 3/C Cu XHHW-2 + ground, CWA, black PVC (Class I Div 2)</t>
        </is>
      </c>
      <c r="K5867" s="12" t="inlineStr">
        <is>
          <t>LVAX|3/C+G|6</t>
        </is>
      </c>
      <c r="L5867" s="12" t="inlineStr">
        <is>
          <t>3/C+G</t>
        </is>
      </c>
      <c r="M5867" s="12" t="inlineStr">
        <is>
          <t>6</t>
        </is>
      </c>
      <c r="N5867" s="12" t="n">
        <v>1</v>
      </c>
      <c r="O5867" s="12" t="n">
        <v>1</v>
      </c>
      <c r="P5867" s="12" t="n">
        <v>480</v>
      </c>
      <c r="Q5867" s="12" t="n">
        <v>15</v>
      </c>
      <c r="R5867" s="12" t="n">
        <v>21.2</v>
      </c>
      <c r="S5867" s="12" t="inlineStr">
        <is>
          <t>Duct bank</t>
        </is>
      </c>
      <c r="T5867" s="16" t="n">
        <v>441</v>
      </c>
      <c r="U5867" s="16" t="n">
        <v>42</v>
      </c>
      <c r="V5867" s="16">
        <f>ROUNDUP((T5867+U5867+2*'Read Me'!$B$13)*(1+'Read Me'!$B$12),-1)</f>
        <v/>
      </c>
      <c r="W5867" s="16">
        <f>V5867*N5867*O5867</f>
        <v/>
      </c>
      <c r="X5867" s="12">
        <f>IF(LEFT(I5867,2)="MV",2*N5867*IF(L5867="1/C",O5867,1),0)</f>
        <v/>
      </c>
      <c r="Y5867" s="12">
        <f>IF(OR(LEFT(K5867,4)="LVAX",LEFT(K5867,6)="MV15AX",LEFT(K5867,4)="CTAX",LEFT(K5867,2)="W|"),2*N5867*O5867,0)</f>
        <v/>
      </c>
      <c r="Z5867" s="12" t="inlineStr">
        <is>
          <t>VD 2.0 %</t>
        </is>
      </c>
      <c r="AA5867" s="12">
        <f>N5867*O5867</f>
        <v/>
      </c>
    </row>
    <row r="5868">
      <c r="A5868" s="12" t="inlineStr">
        <is>
          <t>K-P-0054</t>
        </is>
      </c>
      <c r="B5868" s="12" t="inlineStr">
        <is>
          <t>K</t>
        </is>
      </c>
      <c r="C5868" s="12" t="inlineStr">
        <is>
          <t>Fuel supply (adjacent market)</t>
        </is>
      </c>
      <c r="D5868" s="12" t="inlineStr">
        <is>
          <t>LV power feeder</t>
        </is>
      </c>
      <c r="E5868" s="12" t="inlineStr"/>
      <c r="F5868" s="12" t="inlineStr">
        <is>
          <t>LNG 17: LNG e-house (13.8 kV / 480 V)</t>
        </is>
      </c>
      <c r="G5868" s="12" t="inlineStr"/>
      <c r="H5868" s="12" t="inlineStr">
        <is>
          <t>M&amp;R SCADA antenna mast base (as drawn)</t>
        </is>
      </c>
      <c r="I5868" s="12" t="inlineStr">
        <is>
          <t>LV 600 V</t>
        </is>
      </c>
      <c r="J5868" s="12" t="inlineStr">
        <is>
          <t>ARMOR-X MC-HL 600 V 3/C Cu XHHW-2 + ground, CWA, black PVC (Class I Div 2)</t>
        </is>
      </c>
      <c r="K5868" s="12" t="inlineStr">
        <is>
          <t>LVAX|3/C+G|8</t>
        </is>
      </c>
      <c r="L5868" s="12" t="inlineStr">
        <is>
          <t>3/C+G</t>
        </is>
      </c>
      <c r="M5868" s="12" t="inlineStr">
        <is>
          <t>8</t>
        </is>
      </c>
      <c r="N5868" s="12" t="n">
        <v>1</v>
      </c>
      <c r="O5868" s="12" t="n">
        <v>1</v>
      </c>
      <c r="P5868" s="12" t="n">
        <v>480</v>
      </c>
      <c r="Q5868" s="12" t="n">
        <v>15</v>
      </c>
      <c r="R5868" s="12" t="n">
        <v>21.2</v>
      </c>
      <c r="S5868" s="12" t="inlineStr">
        <is>
          <t>Duct bank</t>
        </is>
      </c>
      <c r="T5868" s="16" t="n">
        <v>433</v>
      </c>
      <c r="U5868" s="16" t="n">
        <v>32</v>
      </c>
      <c r="V5868" s="16">
        <f>ROUNDUP((T5868+U5868+2*'Read Me'!$B$13)*(1+'Read Me'!$B$12),-1)</f>
        <v/>
      </c>
      <c r="W5868" s="16">
        <f>V5868*N5868*O5868</f>
        <v/>
      </c>
      <c r="X5868" s="12">
        <f>IF(LEFT(I5868,2)="MV",2*N5868*IF(L5868="1/C",O5868,1),0)</f>
        <v/>
      </c>
      <c r="Y5868" s="12">
        <f>IF(OR(LEFT(K5868,4)="LVAX",LEFT(K5868,6)="MV15AX",LEFT(K5868,4)="CTAX",LEFT(K5868,2)="W|"),2*N5868*O5868,0)</f>
        <v/>
      </c>
      <c r="Z5868" s="12" t="inlineStr">
        <is>
          <t>VD 3.0 %</t>
        </is>
      </c>
      <c r="AA5868" s="12">
        <f>N5868*O5868</f>
        <v/>
      </c>
    </row>
    <row r="5869">
      <c r="A5869" s="12" t="inlineStr">
        <is>
          <t>K-MV-0001</t>
        </is>
      </c>
      <c r="B5869" s="12" t="inlineStr">
        <is>
          <t>K</t>
        </is>
      </c>
      <c r="C5869" s="12" t="inlineStr">
        <is>
          <t>Fuel supply (adjacent market)</t>
        </is>
      </c>
      <c r="D5869" s="12" t="inlineStr">
        <is>
          <t>H2 13.8 kV e-house (electrolyzers)</t>
        </is>
      </c>
      <c r="E5869" s="12" t="inlineStr">
        <is>
          <t>SWGR-13.8-3</t>
        </is>
      </c>
      <c r="F5869" s="12" t="inlineStr">
        <is>
          <t>R1 SWGR-13.8-3 (11 x 36 in cubicles, 15 kV metal-clad)</t>
        </is>
      </c>
      <c r="G5869" s="12" t="inlineStr"/>
      <c r="H5869" s="12" t="inlineStr">
        <is>
          <t>H2 20: 13.8 kV e-house</t>
        </is>
      </c>
      <c r="I5869" s="12" t="inlineStr">
        <is>
          <t>MV 15 kV</t>
        </is>
      </c>
      <c r="J5869" s="12" t="inlineStr">
        <is>
          <t>MV-105 15 kV 1/C Cu, EPR 133%, Cu tape shield, PVC jacket (triplexed)</t>
        </is>
      </c>
      <c r="K5869" s="12" t="inlineStr">
        <is>
          <t>MV15|1/C|750</t>
        </is>
      </c>
      <c r="L5869" s="12" t="inlineStr">
        <is>
          <t>1/C</t>
        </is>
      </c>
      <c r="M5869" s="12" t="inlineStr">
        <is>
          <t>750 kcmil</t>
        </is>
      </c>
      <c r="N5869" s="12" t="n">
        <v>2</v>
      </c>
      <c r="O5869" s="12" t="n">
        <v>3</v>
      </c>
      <c r="P5869" s="12" t="n">
        <v>13800</v>
      </c>
      <c r="Q5869" s="12" t="n">
        <v>20000</v>
      </c>
      <c r="R5869" s="12" t="n">
        <v>837</v>
      </c>
      <c r="S5869" s="12" t="inlineStr">
        <is>
          <t>HV duct bank</t>
        </is>
      </c>
      <c r="T5869" s="16" t="n">
        <v>4013</v>
      </c>
      <c r="U5869" s="16" t="n">
        <v>128</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K-MV-0002</t>
        </is>
      </c>
      <c r="B5870" s="12" t="inlineStr">
        <is>
          <t>K</t>
        </is>
      </c>
      <c r="C5870" s="12" t="inlineStr">
        <is>
          <t>Fuel supply (adjacent market)</t>
        </is>
      </c>
      <c r="D5870" s="12" t="inlineStr">
        <is>
          <t>LNG e-house</t>
        </is>
      </c>
      <c r="E5870" s="12" t="inlineStr">
        <is>
          <t>SWGR-13.8-3</t>
        </is>
      </c>
      <c r="F5870" s="12" t="inlineStr">
        <is>
          <t>R1 SWGR-13.8-3 (11 x 36 in cubicles, 15 kV metal-clad)</t>
        </is>
      </c>
      <c r="G5870" s="12" t="inlineStr"/>
      <c r="H5870" s="12" t="inlineStr">
        <is>
          <t>LNG 17: LNG e-house (13.8 kV / 480 V)</t>
        </is>
      </c>
      <c r="I5870" s="12" t="inlineStr">
        <is>
          <t>MV 15 kV</t>
        </is>
      </c>
      <c r="J5870" s="12" t="inlineStr">
        <is>
          <t>MV-105 15 kV 1/C Cu, EPR 133%, Cu tape shield, PVC jacket (triplexed)</t>
        </is>
      </c>
      <c r="K5870" s="12" t="inlineStr">
        <is>
          <t>MV15|1/C|4/0</t>
        </is>
      </c>
      <c r="L5870" s="12" t="inlineStr">
        <is>
          <t>1/C</t>
        </is>
      </c>
      <c r="M5870" s="12" t="inlineStr">
        <is>
          <t>4/0</t>
        </is>
      </c>
      <c r="N5870" s="12" t="n">
        <v>1</v>
      </c>
      <c r="O5870" s="12" t="n">
        <v>3</v>
      </c>
      <c r="P5870" s="12" t="n">
        <v>13800</v>
      </c>
      <c r="Q5870" s="12" t="n">
        <v>5000</v>
      </c>
      <c r="R5870" s="12" t="n">
        <v>209</v>
      </c>
      <c r="S5870" s="12" t="inlineStr">
        <is>
          <t>Duct bank</t>
        </is>
      </c>
      <c r="T5870" s="16" t="n">
        <v>2649</v>
      </c>
      <c r="U5870" s="16" t="n">
        <v>219</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C-C-0128</t>
        </is>
      </c>
      <c r="B5871" s="12" t="inlineStr">
        <is>
          <t>C</t>
        </is>
      </c>
      <c r="C5871" s="12" t="inlineStr">
        <is>
          <t>Grid interface</t>
        </is>
      </c>
      <c r="D5871" s="12" t="inlineStr">
        <is>
          <t>Motor 1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C-C-0129</t>
        </is>
      </c>
      <c r="B5872" s="12" t="inlineStr">
        <is>
          <t>C</t>
        </is>
      </c>
      <c r="C5872" s="12" t="inlineStr">
        <is>
          <t>Grid interface</t>
        </is>
      </c>
      <c r="D5872" s="12" t="inlineStr">
        <is>
          <t>Motor 2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C-C-0130</t>
        </is>
      </c>
      <c r="B5873" s="12" t="inlineStr">
        <is>
          <t>C</t>
        </is>
      </c>
      <c r="C5873" s="12" t="inlineStr">
        <is>
          <t>Grid interface</t>
        </is>
      </c>
      <c r="D5873" s="12" t="inlineStr">
        <is>
          <t>Motor 3 of 10: control / local station</t>
        </is>
      </c>
      <c r="E5873" s="12" t="inlineStr">
        <is>
          <t>MCC-C1</t>
        </is>
      </c>
      <c r="F5873" s="12" t="inlineStr">
        <is>
          <t>R1 MCC-C1</t>
        </is>
      </c>
      <c r="G5873" s="12" t="inlineStr"/>
      <c r="H5873" s="12" t="inlineStr">
        <is>
          <t xml:space="preserve">CO2 compression 3 x ~19 MW + dehydration: rooftop HVAC, exhaust fans, </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1744</v>
      </c>
      <c r="U5873" s="16" t="n">
        <v>161</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C-C-0131</t>
        </is>
      </c>
      <c r="B5874" s="12" t="inlineStr">
        <is>
          <t>C</t>
        </is>
      </c>
      <c r="C5874" s="12" t="inlineStr">
        <is>
          <t>Grid interface</t>
        </is>
      </c>
      <c r="D5874" s="12" t="inlineStr">
        <is>
          <t>Motor 4 of 10: control / local station</t>
        </is>
      </c>
      <c r="E5874" s="12" t="inlineStr">
        <is>
          <t>MCC-C1</t>
        </is>
      </c>
      <c r="F5874" s="12" t="inlineStr">
        <is>
          <t>R1 MCC-C1</t>
        </is>
      </c>
      <c r="G5874" s="12" t="inlineStr"/>
      <c r="H5874" s="12" t="inlineStr">
        <is>
          <t xml:space="preserve">CO2 compression 3 x ~19 MW + dehydration: rooftop HVAC, exhaust fans, </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1744</v>
      </c>
      <c r="U5874" s="16" t="n">
        <v>161</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C-C-0132</t>
        </is>
      </c>
      <c r="B5875" s="12" t="inlineStr">
        <is>
          <t>C</t>
        </is>
      </c>
      <c r="C5875" s="12" t="inlineStr">
        <is>
          <t>Grid interface</t>
        </is>
      </c>
      <c r="D5875" s="12" t="inlineStr">
        <is>
          <t>Motor 5 of 10: control / local station</t>
        </is>
      </c>
      <c r="E5875" s="12" t="inlineStr">
        <is>
          <t>MCC-C1</t>
        </is>
      </c>
      <c r="F5875" s="12" t="inlineStr">
        <is>
          <t>R1 MCC-C1</t>
        </is>
      </c>
      <c r="G5875" s="12" t="inlineStr"/>
      <c r="H5875" s="12" t="inlineStr">
        <is>
          <t xml:space="preserve">CO2 compression 3 x ~19 MW + dehydration: rooftop HVAC, exhaust fans, </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Tray</t>
        </is>
      </c>
      <c r="T5875" s="16" t="n">
        <v>1744</v>
      </c>
      <c r="U5875" s="16" t="n">
        <v>161</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C-C-0133</t>
        </is>
      </c>
      <c r="B5876" s="12" t="inlineStr">
        <is>
          <t>C</t>
        </is>
      </c>
      <c r="C5876" s="12" t="inlineStr">
        <is>
          <t>Grid interface</t>
        </is>
      </c>
      <c r="D5876" s="12" t="inlineStr">
        <is>
          <t>Motor 6 of 10: control / local station</t>
        </is>
      </c>
      <c r="E5876" s="12" t="inlineStr">
        <is>
          <t>MCC-C1</t>
        </is>
      </c>
      <c r="F5876" s="12" t="inlineStr">
        <is>
          <t>R1 MCC-C1</t>
        </is>
      </c>
      <c r="G5876" s="12" t="inlineStr"/>
      <c r="H5876" s="12" t="inlineStr">
        <is>
          <t xml:space="preserve">CO2 compression 3 x ~19 MW + dehydration: rooftop HVAC, exhaust fans, </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Tray</t>
        </is>
      </c>
      <c r="T5876" s="16" t="n">
        <v>1744</v>
      </c>
      <c r="U5876" s="16" t="n">
        <v>161</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C-C-0134</t>
        </is>
      </c>
      <c r="B5877" s="12" t="inlineStr">
        <is>
          <t>C</t>
        </is>
      </c>
      <c r="C5877" s="12" t="inlineStr">
        <is>
          <t>Grid interface</t>
        </is>
      </c>
      <c r="D5877" s="12" t="inlineStr">
        <is>
          <t>Motor 7 of 10: control / local station</t>
        </is>
      </c>
      <c r="E5877" s="12" t="inlineStr">
        <is>
          <t>MCC-C1</t>
        </is>
      </c>
      <c r="F5877" s="12" t="inlineStr">
        <is>
          <t>R1 MCC-C1</t>
        </is>
      </c>
      <c r="G5877" s="12" t="inlineStr"/>
      <c r="H5877" s="12" t="inlineStr">
        <is>
          <t xml:space="preserve">CO2 compression 3 x ~19 MW + dehydration: rooftop HVAC, exhaust fans, </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Tray</t>
        </is>
      </c>
      <c r="T5877" s="16" t="n">
        <v>1744</v>
      </c>
      <c r="U5877" s="16" t="n">
        <v>161</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C-C-0135</t>
        </is>
      </c>
      <c r="B5878" s="12" t="inlineStr">
        <is>
          <t>C</t>
        </is>
      </c>
      <c r="C5878" s="12" t="inlineStr">
        <is>
          <t>Grid interface</t>
        </is>
      </c>
      <c r="D5878" s="12" t="inlineStr">
        <is>
          <t>Motor 8 of 10: control / local station</t>
        </is>
      </c>
      <c r="E5878" s="12" t="inlineStr">
        <is>
          <t>MCC-C1</t>
        </is>
      </c>
      <c r="F5878" s="12" t="inlineStr">
        <is>
          <t>R1 MCC-C1</t>
        </is>
      </c>
      <c r="G5878" s="12" t="inlineStr"/>
      <c r="H5878" s="12" t="inlineStr">
        <is>
          <t xml:space="preserve">CO2 compression 3 x ~19 MW + dehydration: rooftop HVAC, exhaust fans, </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Tray</t>
        </is>
      </c>
      <c r="T5878" s="16" t="n">
        <v>1744</v>
      </c>
      <c r="U5878" s="16" t="n">
        <v>161</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C-C-0136</t>
        </is>
      </c>
      <c r="B5879" s="12" t="inlineStr">
        <is>
          <t>C</t>
        </is>
      </c>
      <c r="C5879" s="12" t="inlineStr">
        <is>
          <t>Grid interface</t>
        </is>
      </c>
      <c r="D5879" s="12" t="inlineStr">
        <is>
          <t>Motor 9 of 10: control / local station</t>
        </is>
      </c>
      <c r="E5879" s="12" t="inlineStr">
        <is>
          <t>MCC-C1</t>
        </is>
      </c>
      <c r="F5879" s="12" t="inlineStr">
        <is>
          <t>R1 MCC-C1</t>
        </is>
      </c>
      <c r="G5879" s="12" t="inlineStr"/>
      <c r="H5879" s="12" t="inlineStr">
        <is>
          <t xml:space="preserve">CO2 compression 3 x ~19 MW + dehydration: rooftop HVAC, exhaust fans, </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Tray</t>
        </is>
      </c>
      <c r="T5879" s="16" t="n">
        <v>1744</v>
      </c>
      <c r="U5879" s="16" t="n">
        <v>161</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C-C-0137</t>
        </is>
      </c>
      <c r="B5880" s="12" t="inlineStr">
        <is>
          <t>C</t>
        </is>
      </c>
      <c r="C5880" s="12" t="inlineStr">
        <is>
          <t>Grid interface</t>
        </is>
      </c>
      <c r="D5880" s="12" t="inlineStr">
        <is>
          <t>Motor 10 of 10: control / local station</t>
        </is>
      </c>
      <c r="E5880" s="12" t="inlineStr">
        <is>
          <t>MCC-C1</t>
        </is>
      </c>
      <c r="F5880" s="12" t="inlineStr">
        <is>
          <t>R1 MCC-C1</t>
        </is>
      </c>
      <c r="G5880" s="12" t="inlineStr"/>
      <c r="H5880" s="12" t="inlineStr">
        <is>
          <t xml:space="preserve">CO2 compression 3 x ~19 MW + dehydration: rooftop HVAC, exhaust fans, </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Tray</t>
        </is>
      </c>
      <c r="T5880" s="16" t="n">
        <v>1744</v>
      </c>
      <c r="U5880" s="16" t="n">
        <v>161</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C-C-0138</t>
        </is>
      </c>
      <c r="B5881" s="12" t="inlineStr">
        <is>
          <t>C</t>
        </is>
      </c>
      <c r="C5881" s="12" t="inlineStr">
        <is>
          <t>Grid interface</t>
        </is>
      </c>
      <c r="D5881" s="12" t="inlineStr">
        <is>
          <t>Motor 1 of 2: control / local station</t>
        </is>
      </c>
      <c r="E5881" s="12" t="inlineStr">
        <is>
          <t>MCC-C1</t>
        </is>
      </c>
      <c r="F5881" s="12" t="inlineStr">
        <is>
          <t>R1 MCC-C1</t>
        </is>
      </c>
      <c r="G5881" s="12" t="inlineStr"/>
      <c r="H5881" s="12" t="inlineStr">
        <is>
          <t>Small-bore piping: instrument air, service water, nitrogen, HRSG drain</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Tray</t>
        </is>
      </c>
      <c r="T5881" s="16" t="n">
        <v>614</v>
      </c>
      <c r="U5881" s="16" t="n">
        <v>145</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C-C-0139</t>
        </is>
      </c>
      <c r="B5882" s="12" t="inlineStr">
        <is>
          <t>C</t>
        </is>
      </c>
      <c r="C5882" s="12" t="inlineStr">
        <is>
          <t>Grid interface</t>
        </is>
      </c>
      <c r="D5882" s="12" t="inlineStr">
        <is>
          <t>Motor 2 of 2: control / local station</t>
        </is>
      </c>
      <c r="E5882" s="12" t="inlineStr">
        <is>
          <t>MCC-C1</t>
        </is>
      </c>
      <c r="F5882" s="12" t="inlineStr">
        <is>
          <t>R1 MCC-C1</t>
        </is>
      </c>
      <c r="G5882" s="12" t="inlineStr"/>
      <c r="H5882" s="12" t="inlineStr">
        <is>
          <t>Small-bore piping: instrument air, service water, nitrogen, HRSG drain</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Tray</t>
        </is>
      </c>
      <c r="T5882" s="16" t="n">
        <v>614</v>
      </c>
      <c r="U5882" s="16" t="n">
        <v>145</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C-C-0140</t>
        </is>
      </c>
      <c r="B5883" s="12" t="inlineStr">
        <is>
          <t>C</t>
        </is>
      </c>
      <c r="C5883" s="12" t="inlineStr">
        <is>
          <t>Grid interface</t>
        </is>
      </c>
      <c r="D5883" s="12" t="inlineStr">
        <is>
          <t>Motor 1 of 8: control / local station</t>
        </is>
      </c>
      <c r="E5883" s="12" t="inlineStr">
        <is>
          <t>MCC-C1</t>
        </is>
      </c>
      <c r="F5883" s="12" t="inlineStr">
        <is>
          <t>R1 MCC-C1</t>
        </is>
      </c>
      <c r="G5883" s="12" t="inlineStr"/>
      <c r="H5883" s="12" t="inlineStr">
        <is>
          <t>Wastewater treatment: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1859</v>
      </c>
      <c r="U5883" s="16" t="n">
        <v>228</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C-C-0141</t>
        </is>
      </c>
      <c r="B5884" s="12" t="inlineStr">
        <is>
          <t>C</t>
        </is>
      </c>
      <c r="C5884" s="12" t="inlineStr">
        <is>
          <t>Grid interface</t>
        </is>
      </c>
      <c r="D5884" s="12" t="inlineStr">
        <is>
          <t>Motor 2 of 8: control / local station</t>
        </is>
      </c>
      <c r="E5884" s="12" t="inlineStr">
        <is>
          <t>MCC-C1</t>
        </is>
      </c>
      <c r="F5884" s="12" t="inlineStr">
        <is>
          <t>R1 MCC-C1</t>
        </is>
      </c>
      <c r="G5884" s="12" t="inlineStr"/>
      <c r="H5884" s="12" t="inlineStr">
        <is>
          <t>Wastewater treatment: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1859</v>
      </c>
      <c r="U5884" s="16" t="n">
        <v>228</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C-C-0142</t>
        </is>
      </c>
      <c r="B5885" s="12" t="inlineStr">
        <is>
          <t>C</t>
        </is>
      </c>
      <c r="C5885" s="12" t="inlineStr">
        <is>
          <t>Grid interface</t>
        </is>
      </c>
      <c r="D5885" s="12" t="inlineStr">
        <is>
          <t>Motor 3 of 8: control / local station</t>
        </is>
      </c>
      <c r="E5885" s="12" t="inlineStr">
        <is>
          <t>MCC-C1</t>
        </is>
      </c>
      <c r="F5885" s="12" t="inlineStr">
        <is>
          <t>R1 MCC-C1</t>
        </is>
      </c>
      <c r="G5885" s="12" t="inlineStr"/>
      <c r="H5885" s="12" t="inlineStr">
        <is>
          <t>Wastewater treatment: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1859</v>
      </c>
      <c r="U5885" s="16" t="n">
        <v>228</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C-C-0143</t>
        </is>
      </c>
      <c r="B5886" s="12" t="inlineStr">
        <is>
          <t>C</t>
        </is>
      </c>
      <c r="C5886" s="12" t="inlineStr">
        <is>
          <t>Grid interface</t>
        </is>
      </c>
      <c r="D5886" s="12" t="inlineStr">
        <is>
          <t>Motor 4 of 8: control / local station</t>
        </is>
      </c>
      <c r="E5886" s="12" t="inlineStr">
        <is>
          <t>MCC-C1</t>
        </is>
      </c>
      <c r="F5886" s="12" t="inlineStr">
        <is>
          <t>R1 MCC-C1</t>
        </is>
      </c>
      <c r="G5886" s="12" t="inlineStr"/>
      <c r="H5886" s="12" t="inlineStr">
        <is>
          <t>Wastewater treatment: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1859</v>
      </c>
      <c r="U5886" s="16" t="n">
        <v>228</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C-C-0144</t>
        </is>
      </c>
      <c r="B5887" s="12" t="inlineStr">
        <is>
          <t>C</t>
        </is>
      </c>
      <c r="C5887" s="12" t="inlineStr">
        <is>
          <t>Grid interface</t>
        </is>
      </c>
      <c r="D5887" s="12" t="inlineStr">
        <is>
          <t>Motor 5 of 8: control / local station</t>
        </is>
      </c>
      <c r="E5887" s="12" t="inlineStr">
        <is>
          <t>MCC-C1</t>
        </is>
      </c>
      <c r="F5887" s="12" t="inlineStr">
        <is>
          <t>R1 MCC-C1</t>
        </is>
      </c>
      <c r="G5887" s="12" t="inlineStr"/>
      <c r="H5887" s="12" t="inlineStr">
        <is>
          <t>Wastewater treatment: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1859</v>
      </c>
      <c r="U5887" s="16" t="n">
        <v>228</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C-C-0145</t>
        </is>
      </c>
      <c r="B5888" s="12" t="inlineStr">
        <is>
          <t>C</t>
        </is>
      </c>
      <c r="C5888" s="12" t="inlineStr">
        <is>
          <t>Grid interface</t>
        </is>
      </c>
      <c r="D5888" s="12" t="inlineStr">
        <is>
          <t>Motor 6 of 8: control / local station</t>
        </is>
      </c>
      <c r="E5888" s="12" t="inlineStr">
        <is>
          <t>MCC-C1</t>
        </is>
      </c>
      <c r="F5888" s="12" t="inlineStr">
        <is>
          <t>R1 MCC-C1</t>
        </is>
      </c>
      <c r="G5888" s="12" t="inlineStr"/>
      <c r="H5888" s="12" t="inlineStr">
        <is>
          <t>Wastewater treatment: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1859</v>
      </c>
      <c r="U5888" s="16" t="n">
        <v>228</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C-C-0146</t>
        </is>
      </c>
      <c r="B5889" s="12" t="inlineStr">
        <is>
          <t>C</t>
        </is>
      </c>
      <c r="C5889" s="12" t="inlineStr">
        <is>
          <t>Grid interface</t>
        </is>
      </c>
      <c r="D5889" s="12" t="inlineStr">
        <is>
          <t>Motor 7 of 8: control / local station</t>
        </is>
      </c>
      <c r="E5889" s="12" t="inlineStr">
        <is>
          <t>MCC-C1</t>
        </is>
      </c>
      <c r="F5889" s="12" t="inlineStr">
        <is>
          <t>R1 MCC-C1</t>
        </is>
      </c>
      <c r="G5889" s="12" t="inlineStr"/>
      <c r="H5889" s="12" t="inlineStr">
        <is>
          <t>Wastewater treatment: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1859</v>
      </c>
      <c r="U5889" s="16" t="n">
        <v>228</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C-C-0147</t>
        </is>
      </c>
      <c r="B5890" s="12" t="inlineStr">
        <is>
          <t>C</t>
        </is>
      </c>
      <c r="C5890" s="12" t="inlineStr">
        <is>
          <t>Grid interface</t>
        </is>
      </c>
      <c r="D5890" s="12" t="inlineStr">
        <is>
          <t>Motor 8 of 8: control / local station</t>
        </is>
      </c>
      <c r="E5890" s="12" t="inlineStr">
        <is>
          <t>MCC-C1</t>
        </is>
      </c>
      <c r="F5890" s="12" t="inlineStr">
        <is>
          <t>R1 MCC-C1</t>
        </is>
      </c>
      <c r="G5890" s="12" t="inlineStr"/>
      <c r="H5890" s="12" t="inlineStr">
        <is>
          <t>Wastewater treatment: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1859</v>
      </c>
      <c r="U5890" s="16" t="n">
        <v>228</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C-C-0148</t>
        </is>
      </c>
      <c r="B5891" s="12" t="inlineStr">
        <is>
          <t>C</t>
        </is>
      </c>
      <c r="C5891" s="12" t="inlineStr">
        <is>
          <t>Grid interface</t>
        </is>
      </c>
      <c r="D5891" s="12" t="inlineStr">
        <is>
          <t>Motor 1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C-C-0149</t>
        </is>
      </c>
      <c r="B5892" s="12" t="inlineStr">
        <is>
          <t>C</t>
        </is>
      </c>
      <c r="C5892" s="12" t="inlineStr">
        <is>
          <t>Grid interface</t>
        </is>
      </c>
      <c r="D5892" s="12" t="inlineStr">
        <is>
          <t>Motor 2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C-C-0150</t>
        </is>
      </c>
      <c r="B5893" s="12" t="inlineStr">
        <is>
          <t>C</t>
        </is>
      </c>
      <c r="C5893" s="12" t="inlineStr">
        <is>
          <t>Grid interface</t>
        </is>
      </c>
      <c r="D5893" s="12" t="inlineStr">
        <is>
          <t>Motor 3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C-C-0151</t>
        </is>
      </c>
      <c r="B5894" s="12" t="inlineStr">
        <is>
          <t>C</t>
        </is>
      </c>
      <c r="C5894" s="12" t="inlineStr">
        <is>
          <t>Grid interface</t>
        </is>
      </c>
      <c r="D5894" s="12" t="inlineStr">
        <is>
          <t>Motor 4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C-C-0152</t>
        </is>
      </c>
      <c r="B5895" s="12" t="inlineStr">
        <is>
          <t>C</t>
        </is>
      </c>
      <c r="C5895" s="12" t="inlineStr">
        <is>
          <t>Grid interface</t>
        </is>
      </c>
      <c r="D5895" s="12" t="inlineStr">
        <is>
          <t>Motor 5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C-C-0153</t>
        </is>
      </c>
      <c r="B5896" s="12" t="inlineStr">
        <is>
          <t>C</t>
        </is>
      </c>
      <c r="C5896" s="12" t="inlineStr">
        <is>
          <t>Grid interface</t>
        </is>
      </c>
      <c r="D5896" s="12" t="inlineStr">
        <is>
          <t>Motor 6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C-C-0154</t>
        </is>
      </c>
      <c r="B5897" s="12" t="inlineStr">
        <is>
          <t>C</t>
        </is>
      </c>
      <c r="C5897" s="12" t="inlineStr">
        <is>
          <t>Grid interface</t>
        </is>
      </c>
      <c r="D5897" s="12" t="inlineStr">
        <is>
          <t>Motor 7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C-C-0155</t>
        </is>
      </c>
      <c r="B5898" s="12" t="inlineStr">
        <is>
          <t>C</t>
        </is>
      </c>
      <c r="C5898" s="12" t="inlineStr">
        <is>
          <t>Grid interface</t>
        </is>
      </c>
      <c r="D5898" s="12" t="inlineStr">
        <is>
          <t>Motor 8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C-C-0156</t>
        </is>
      </c>
      <c r="B5899" s="12" t="inlineStr">
        <is>
          <t>C</t>
        </is>
      </c>
      <c r="C5899" s="12" t="inlineStr">
        <is>
          <t>Grid interface</t>
        </is>
      </c>
      <c r="D5899" s="12" t="inlineStr">
        <is>
          <t>Motor 9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C-C-0157</t>
        </is>
      </c>
      <c r="B5900" s="12" t="inlineStr">
        <is>
          <t>C</t>
        </is>
      </c>
      <c r="C5900" s="12" t="inlineStr">
        <is>
          <t>Grid interface</t>
        </is>
      </c>
      <c r="D5900" s="12" t="inlineStr">
        <is>
          <t>Motor 10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C-C-0158</t>
        </is>
      </c>
      <c r="B5901" s="12" t="inlineStr">
        <is>
          <t>C</t>
        </is>
      </c>
      <c r="C5901" s="12" t="inlineStr">
        <is>
          <t>Grid interface</t>
        </is>
      </c>
      <c r="D5901" s="12" t="inlineStr">
        <is>
          <t>Motor 11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C-C-0159</t>
        </is>
      </c>
      <c r="B5902" s="12" t="inlineStr">
        <is>
          <t>C</t>
        </is>
      </c>
      <c r="C5902" s="12" t="inlineStr">
        <is>
          <t>Grid interface</t>
        </is>
      </c>
      <c r="D5902" s="12" t="inlineStr">
        <is>
          <t>Motor 12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C-C-0160</t>
        </is>
      </c>
      <c r="B5903" s="12" t="inlineStr">
        <is>
          <t>C</t>
        </is>
      </c>
      <c r="C5903" s="12" t="inlineStr">
        <is>
          <t>Grid interface</t>
        </is>
      </c>
      <c r="D5903" s="12" t="inlineStr">
        <is>
          <t>Motor 13 of 20: control / local station</t>
        </is>
      </c>
      <c r="E5903" s="12" t="inlineStr">
        <is>
          <t>MCC-C1</t>
        </is>
      </c>
      <c r="F5903" s="12" t="inlineStr">
        <is>
          <t>R1 MCC-C1</t>
        </is>
      </c>
      <c r="G5903" s="12" t="inlineStr"/>
      <c r="H5903" s="12" t="inlineStr">
        <is>
          <t>Water treatment building: rooftop HVAC, exhaust fans, vents</t>
        </is>
      </c>
      <c r="I5903" s="12" t="inlineStr">
        <is>
          <t>Control</t>
        </is>
      </c>
      <c r="J5903" s="12" t="inlineStr">
        <is>
          <t>Control cable 600 V Type TC-ER, Cu #14 AWG, PVC jacket</t>
        </is>
      </c>
      <c r="K5903" s="12" t="inlineStr">
        <is>
          <t>CT|7/C|14</t>
        </is>
      </c>
      <c r="L5903" s="12" t="inlineStr">
        <is>
          <t>7/C</t>
        </is>
      </c>
      <c r="M5903" s="12" t="inlineStr">
        <is>
          <t>14</t>
        </is>
      </c>
      <c r="N5903" s="12" t="n">
        <v>1</v>
      </c>
      <c r="O5903" s="12" t="n">
        <v>1</v>
      </c>
      <c r="P5903" s="12" t="n"/>
      <c r="Q5903" s="12" t="n"/>
      <c r="R5903" s="12" t="n"/>
      <c r="S5903" s="12" t="inlineStr">
        <is>
          <t>Duct bank</t>
        </is>
      </c>
      <c r="T5903" s="16" t="n">
        <v>1629</v>
      </c>
      <c r="U5903" s="16" t="n">
        <v>161</v>
      </c>
      <c r="V5903" s="16">
        <f>ROUNDUP((T5903+U5903+2*'Read Me'!$B$13)*(1+'Read Me'!$B$12),-1)</f>
        <v/>
      </c>
      <c r="W5903" s="16">
        <f>V5903*N5903*O5903</f>
        <v/>
      </c>
      <c r="X5903" s="12">
        <f>IF(LEFT(I5903,2)="MV",2*N5903*IF(L5903="1/C",O5903,1),0)</f>
        <v/>
      </c>
      <c r="Y5903" s="12">
        <f>IF(OR(LEFT(K5903,4)="LVAX",LEFT(K5903,6)="MV15AX",LEFT(K5903,4)="CTAX",LEFT(K5903,2)="W|"),2*N5903*O5903,0)</f>
        <v/>
      </c>
      <c r="Z5903" s="12" t="inlineStr"/>
      <c r="AA5903" s="12">
        <f>N5903*O5903</f>
        <v/>
      </c>
    </row>
    <row r="5904">
      <c r="A5904" s="12" t="inlineStr">
        <is>
          <t>C-C-0161</t>
        </is>
      </c>
      <c r="B5904" s="12" t="inlineStr">
        <is>
          <t>C</t>
        </is>
      </c>
      <c r="C5904" s="12" t="inlineStr">
        <is>
          <t>Grid interface</t>
        </is>
      </c>
      <c r="D5904" s="12" t="inlineStr">
        <is>
          <t>Motor 14 of 20: control / local station</t>
        </is>
      </c>
      <c r="E5904" s="12" t="inlineStr">
        <is>
          <t>MCC-C1</t>
        </is>
      </c>
      <c r="F5904" s="12" t="inlineStr">
        <is>
          <t>R1 MCC-C1</t>
        </is>
      </c>
      <c r="G5904" s="12" t="inlineStr"/>
      <c r="H5904" s="12" t="inlineStr">
        <is>
          <t>Water treatment building: rooftop HVAC, exhaust fans, vents</t>
        </is>
      </c>
      <c r="I5904" s="12" t="inlineStr">
        <is>
          <t>Control</t>
        </is>
      </c>
      <c r="J5904" s="12" t="inlineStr">
        <is>
          <t>Control cable 600 V Type TC-ER, Cu #14 AWG, PVC jacket</t>
        </is>
      </c>
      <c r="K5904" s="12" t="inlineStr">
        <is>
          <t>CT|7/C|14</t>
        </is>
      </c>
      <c r="L5904" s="12" t="inlineStr">
        <is>
          <t>7/C</t>
        </is>
      </c>
      <c r="M5904" s="12" t="inlineStr">
        <is>
          <t>14</t>
        </is>
      </c>
      <c r="N5904" s="12" t="n">
        <v>1</v>
      </c>
      <c r="O5904" s="12" t="n">
        <v>1</v>
      </c>
      <c r="P5904" s="12" t="n"/>
      <c r="Q5904" s="12" t="n"/>
      <c r="R5904" s="12" t="n"/>
      <c r="S5904" s="12" t="inlineStr">
        <is>
          <t>Duct bank</t>
        </is>
      </c>
      <c r="T5904" s="16" t="n">
        <v>1629</v>
      </c>
      <c r="U5904" s="16" t="n">
        <v>161</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C-C-0162</t>
        </is>
      </c>
      <c r="B5905" s="12" t="inlineStr">
        <is>
          <t>C</t>
        </is>
      </c>
      <c r="C5905" s="12" t="inlineStr">
        <is>
          <t>Grid interface</t>
        </is>
      </c>
      <c r="D5905" s="12" t="inlineStr">
        <is>
          <t>Motor 15 of 20: control / local station</t>
        </is>
      </c>
      <c r="E5905" s="12" t="inlineStr">
        <is>
          <t>MCC-C1</t>
        </is>
      </c>
      <c r="F5905" s="12" t="inlineStr">
        <is>
          <t>R1 MCC-C1</t>
        </is>
      </c>
      <c r="G5905" s="12" t="inlineStr"/>
      <c r="H5905" s="12" t="inlineStr">
        <is>
          <t>Water treatment building: rooftop HVAC, exhaust fans, vents</t>
        </is>
      </c>
      <c r="I5905" s="12" t="inlineStr">
        <is>
          <t>Control</t>
        </is>
      </c>
      <c r="J5905" s="12" t="inlineStr">
        <is>
          <t>Control cable 600 V Type TC-ER, Cu #14 AWG, PVC jacket</t>
        </is>
      </c>
      <c r="K5905" s="12" t="inlineStr">
        <is>
          <t>CT|7/C|14</t>
        </is>
      </c>
      <c r="L5905" s="12" t="inlineStr">
        <is>
          <t>7/C</t>
        </is>
      </c>
      <c r="M5905" s="12" t="inlineStr">
        <is>
          <t>14</t>
        </is>
      </c>
      <c r="N5905" s="12" t="n">
        <v>1</v>
      </c>
      <c r="O5905" s="12" t="n">
        <v>1</v>
      </c>
      <c r="P5905" s="12" t="n"/>
      <c r="Q5905" s="12" t="n"/>
      <c r="R5905" s="12" t="n"/>
      <c r="S5905" s="12" t="inlineStr">
        <is>
          <t>Duct bank</t>
        </is>
      </c>
      <c r="T5905" s="16" t="n">
        <v>1629</v>
      </c>
      <c r="U5905" s="16" t="n">
        <v>161</v>
      </c>
      <c r="V5905" s="16">
        <f>ROUNDUP((T5905+U5905+2*'Read Me'!$B$13)*(1+'Read Me'!$B$12),-1)</f>
        <v/>
      </c>
      <c r="W5905" s="16">
        <f>V5905*N5905*O5905</f>
        <v/>
      </c>
      <c r="X5905" s="12">
        <f>IF(LEFT(I5905,2)="MV",2*N5905*IF(L5905="1/C",O5905,1),0)</f>
        <v/>
      </c>
      <c r="Y5905" s="12">
        <f>IF(OR(LEFT(K5905,4)="LVAX",LEFT(K5905,6)="MV15AX",LEFT(K5905,4)="CTAX",LEFT(K5905,2)="W|"),2*N5905*O5905,0)</f>
        <v/>
      </c>
      <c r="Z5905" s="12" t="inlineStr"/>
      <c r="AA5905" s="12">
        <f>N5905*O5905</f>
        <v/>
      </c>
    </row>
    <row r="5906">
      <c r="A5906" s="12" t="inlineStr">
        <is>
          <t>C-C-0163</t>
        </is>
      </c>
      <c r="B5906" s="12" t="inlineStr">
        <is>
          <t>C</t>
        </is>
      </c>
      <c r="C5906" s="12" t="inlineStr">
        <is>
          <t>Grid interface</t>
        </is>
      </c>
      <c r="D5906" s="12" t="inlineStr">
        <is>
          <t>Motor 16 of 20: control / local station</t>
        </is>
      </c>
      <c r="E5906" s="12" t="inlineStr">
        <is>
          <t>MCC-C1</t>
        </is>
      </c>
      <c r="F5906" s="12" t="inlineStr">
        <is>
          <t>R1 MCC-C1</t>
        </is>
      </c>
      <c r="G5906" s="12" t="inlineStr"/>
      <c r="H5906" s="12" t="inlineStr">
        <is>
          <t>Water treatment building: rooftop HVAC, exhaust fans, vents</t>
        </is>
      </c>
      <c r="I5906" s="12" t="inlineStr">
        <is>
          <t>Control</t>
        </is>
      </c>
      <c r="J5906" s="12" t="inlineStr">
        <is>
          <t>Control cable 600 V Type TC-ER, Cu #14 AWG, PVC jacket</t>
        </is>
      </c>
      <c r="K5906" s="12" t="inlineStr">
        <is>
          <t>CT|7/C|14</t>
        </is>
      </c>
      <c r="L5906" s="12" t="inlineStr">
        <is>
          <t>7/C</t>
        </is>
      </c>
      <c r="M5906" s="12" t="inlineStr">
        <is>
          <t>14</t>
        </is>
      </c>
      <c r="N5906" s="12" t="n">
        <v>1</v>
      </c>
      <c r="O5906" s="12" t="n">
        <v>1</v>
      </c>
      <c r="P5906" s="12" t="n"/>
      <c r="Q5906" s="12" t="n"/>
      <c r="R5906" s="12" t="n"/>
      <c r="S5906" s="12" t="inlineStr">
        <is>
          <t>Duct bank</t>
        </is>
      </c>
      <c r="T5906" s="16" t="n">
        <v>1629</v>
      </c>
      <c r="U5906" s="16" t="n">
        <v>161</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C-C-0164</t>
        </is>
      </c>
      <c r="B5907" s="12" t="inlineStr">
        <is>
          <t>C</t>
        </is>
      </c>
      <c r="C5907" s="12" t="inlineStr">
        <is>
          <t>Grid interface</t>
        </is>
      </c>
      <c r="D5907" s="12" t="inlineStr">
        <is>
          <t>Motor 17 of 20: control / local station</t>
        </is>
      </c>
      <c r="E5907" s="12" t="inlineStr">
        <is>
          <t>MCC-C1</t>
        </is>
      </c>
      <c r="F5907" s="12" t="inlineStr">
        <is>
          <t>R1 MCC-C1</t>
        </is>
      </c>
      <c r="G5907" s="12" t="inlineStr"/>
      <c r="H5907" s="12" t="inlineStr">
        <is>
          <t>Water treatment building: rooftop HVAC, exhaust fans, vents</t>
        </is>
      </c>
      <c r="I5907" s="12" t="inlineStr">
        <is>
          <t>Control</t>
        </is>
      </c>
      <c r="J5907" s="12" t="inlineStr">
        <is>
          <t>Control cable 600 V Type TC-ER, Cu #14 AWG, PVC jacket</t>
        </is>
      </c>
      <c r="K5907" s="12" t="inlineStr">
        <is>
          <t>CT|7/C|14</t>
        </is>
      </c>
      <c r="L5907" s="12" t="inlineStr">
        <is>
          <t>7/C</t>
        </is>
      </c>
      <c r="M5907" s="12" t="inlineStr">
        <is>
          <t>14</t>
        </is>
      </c>
      <c r="N5907" s="12" t="n">
        <v>1</v>
      </c>
      <c r="O5907" s="12" t="n">
        <v>1</v>
      </c>
      <c r="P5907" s="12" t="n"/>
      <c r="Q5907" s="12" t="n"/>
      <c r="R5907" s="12" t="n"/>
      <c r="S5907" s="12" t="inlineStr">
        <is>
          <t>Duct bank</t>
        </is>
      </c>
      <c r="T5907" s="16" t="n">
        <v>1629</v>
      </c>
      <c r="U5907" s="16" t="n">
        <v>161</v>
      </c>
      <c r="V5907" s="16">
        <f>ROUNDUP((T5907+U5907+2*'Read Me'!$B$13)*(1+'Read Me'!$B$12),-1)</f>
        <v/>
      </c>
      <c r="W5907" s="16">
        <f>V5907*N5907*O5907</f>
        <v/>
      </c>
      <c r="X5907" s="12">
        <f>IF(LEFT(I5907,2)="MV",2*N5907*IF(L5907="1/C",O5907,1),0)</f>
        <v/>
      </c>
      <c r="Y5907" s="12">
        <f>IF(OR(LEFT(K5907,4)="LVAX",LEFT(K5907,6)="MV15AX",LEFT(K5907,4)="CTAX",LEFT(K5907,2)="W|"),2*N5907*O5907,0)</f>
        <v/>
      </c>
      <c r="Z5907" s="12" t="inlineStr"/>
      <c r="AA5907" s="12">
        <f>N5907*O5907</f>
        <v/>
      </c>
    </row>
    <row r="5908">
      <c r="A5908" s="12" t="inlineStr">
        <is>
          <t>C-C-0165</t>
        </is>
      </c>
      <c r="B5908" s="12" t="inlineStr">
        <is>
          <t>C</t>
        </is>
      </c>
      <c r="C5908" s="12" t="inlineStr">
        <is>
          <t>Grid interface</t>
        </is>
      </c>
      <c r="D5908" s="12" t="inlineStr">
        <is>
          <t>Motor 18 of 20: control / local station</t>
        </is>
      </c>
      <c r="E5908" s="12" t="inlineStr">
        <is>
          <t>MCC-C1</t>
        </is>
      </c>
      <c r="F5908" s="12" t="inlineStr">
        <is>
          <t>R1 MCC-C1</t>
        </is>
      </c>
      <c r="G5908" s="12" t="inlineStr"/>
      <c r="H5908" s="12" t="inlineStr">
        <is>
          <t>Water treatment building: rooftop HVAC, exhaust fans, vents</t>
        </is>
      </c>
      <c r="I5908" s="12" t="inlineStr">
        <is>
          <t>Control</t>
        </is>
      </c>
      <c r="J5908" s="12" t="inlineStr">
        <is>
          <t>Control cable 600 V Type TC-ER, Cu #14 AWG, PVC jacket</t>
        </is>
      </c>
      <c r="K5908" s="12" t="inlineStr">
        <is>
          <t>CT|7/C|14</t>
        </is>
      </c>
      <c r="L5908" s="12" t="inlineStr">
        <is>
          <t>7/C</t>
        </is>
      </c>
      <c r="M5908" s="12" t="inlineStr">
        <is>
          <t>14</t>
        </is>
      </c>
      <c r="N5908" s="12" t="n">
        <v>1</v>
      </c>
      <c r="O5908" s="12" t="n">
        <v>1</v>
      </c>
      <c r="P5908" s="12" t="n"/>
      <c r="Q5908" s="12" t="n"/>
      <c r="R5908" s="12" t="n"/>
      <c r="S5908" s="12" t="inlineStr">
        <is>
          <t>Duct bank</t>
        </is>
      </c>
      <c r="T5908" s="16" t="n">
        <v>1629</v>
      </c>
      <c r="U5908" s="16" t="n">
        <v>161</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C-C-0166</t>
        </is>
      </c>
      <c r="B5909" s="12" t="inlineStr">
        <is>
          <t>C</t>
        </is>
      </c>
      <c r="C5909" s="12" t="inlineStr">
        <is>
          <t>Grid interface</t>
        </is>
      </c>
      <c r="D5909" s="12" t="inlineStr">
        <is>
          <t>Motor 19 of 20: control / local station</t>
        </is>
      </c>
      <c r="E5909" s="12" t="inlineStr">
        <is>
          <t>MCC-C1</t>
        </is>
      </c>
      <c r="F5909" s="12" t="inlineStr">
        <is>
          <t>R1 MCC-C1</t>
        </is>
      </c>
      <c r="G5909" s="12" t="inlineStr"/>
      <c r="H5909" s="12" t="inlineStr">
        <is>
          <t>Water treatment building: rooftop HVAC, exhaust fans, vents</t>
        </is>
      </c>
      <c r="I5909" s="12" t="inlineStr">
        <is>
          <t>Control</t>
        </is>
      </c>
      <c r="J5909" s="12" t="inlineStr">
        <is>
          <t>Control cable 600 V Type TC-ER, Cu #14 AWG, PVC jacket</t>
        </is>
      </c>
      <c r="K5909" s="12" t="inlineStr">
        <is>
          <t>CT|7/C|14</t>
        </is>
      </c>
      <c r="L5909" s="12" t="inlineStr">
        <is>
          <t>7/C</t>
        </is>
      </c>
      <c r="M5909" s="12" t="inlineStr">
        <is>
          <t>14</t>
        </is>
      </c>
      <c r="N5909" s="12" t="n">
        <v>1</v>
      </c>
      <c r="O5909" s="12" t="n">
        <v>1</v>
      </c>
      <c r="P5909" s="12" t="n"/>
      <c r="Q5909" s="12" t="n"/>
      <c r="R5909" s="12" t="n"/>
      <c r="S5909" s="12" t="inlineStr">
        <is>
          <t>Duct bank</t>
        </is>
      </c>
      <c r="T5909" s="16" t="n">
        <v>1629</v>
      </c>
      <c r="U5909" s="16" t="n">
        <v>161</v>
      </c>
      <c r="V5909" s="16">
        <f>ROUNDUP((T5909+U5909+2*'Read Me'!$B$13)*(1+'Read Me'!$B$12),-1)</f>
        <v/>
      </c>
      <c r="W5909" s="16">
        <f>V5909*N5909*O5909</f>
        <v/>
      </c>
      <c r="X5909" s="12">
        <f>IF(LEFT(I5909,2)="MV",2*N5909*IF(L5909="1/C",O5909,1),0)</f>
        <v/>
      </c>
      <c r="Y5909" s="12">
        <f>IF(OR(LEFT(K5909,4)="LVAX",LEFT(K5909,6)="MV15AX",LEFT(K5909,4)="CTAX",LEFT(K5909,2)="W|"),2*N5909*O5909,0)</f>
        <v/>
      </c>
      <c r="Z5909" s="12" t="inlineStr"/>
      <c r="AA5909" s="12">
        <f>N5909*O5909</f>
        <v/>
      </c>
    </row>
    <row r="5910">
      <c r="A5910" s="12" t="inlineStr">
        <is>
          <t>C-C-0167</t>
        </is>
      </c>
      <c r="B5910" s="12" t="inlineStr">
        <is>
          <t>C</t>
        </is>
      </c>
      <c r="C5910" s="12" t="inlineStr">
        <is>
          <t>Grid interface</t>
        </is>
      </c>
      <c r="D5910" s="12" t="inlineStr">
        <is>
          <t>Motor 20 of 20: control / local station</t>
        </is>
      </c>
      <c r="E5910" s="12" t="inlineStr">
        <is>
          <t>MCC-C1</t>
        </is>
      </c>
      <c r="F5910" s="12" t="inlineStr">
        <is>
          <t>R1 MCC-C1</t>
        </is>
      </c>
      <c r="G5910" s="12" t="inlineStr"/>
      <c r="H5910" s="12" t="inlineStr">
        <is>
          <t>Water treatment building: rooftop HVAC, exhaust fans, vents</t>
        </is>
      </c>
      <c r="I5910" s="12" t="inlineStr">
        <is>
          <t>Control</t>
        </is>
      </c>
      <c r="J5910" s="12" t="inlineStr">
        <is>
          <t>Control cable 600 V Type TC-ER, Cu #14 AWG, PVC jacket</t>
        </is>
      </c>
      <c r="K5910" s="12" t="inlineStr">
        <is>
          <t>CT|7/C|14</t>
        </is>
      </c>
      <c r="L5910" s="12" t="inlineStr">
        <is>
          <t>7/C</t>
        </is>
      </c>
      <c r="M5910" s="12" t="inlineStr">
        <is>
          <t>14</t>
        </is>
      </c>
      <c r="N5910" s="12" t="n">
        <v>1</v>
      </c>
      <c r="O5910" s="12" t="n">
        <v>1</v>
      </c>
      <c r="P5910" s="12" t="n"/>
      <c r="Q5910" s="12" t="n"/>
      <c r="R5910" s="12" t="n"/>
      <c r="S5910" s="12" t="inlineStr">
        <is>
          <t>Duct bank</t>
        </is>
      </c>
      <c r="T5910" s="16" t="n">
        <v>1629</v>
      </c>
      <c r="U5910" s="16" t="n">
        <v>161</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C-I-0081</t>
        </is>
      </c>
      <c r="B5911" s="12" t="inlineStr">
        <is>
          <t>C</t>
        </is>
      </c>
      <c r="C5911" s="12" t="inlineStr">
        <is>
          <t>Grid interface</t>
        </is>
      </c>
      <c r="D5911" s="12" t="inlineStr">
        <is>
          <t>Analog instrument to JB JB-CO2 compression 3 -AI01: 20 x 1 pr (field cables)</t>
        </is>
      </c>
      <c r="E5911" s="12" t="inlineStr"/>
      <c r="F5911" s="12" t="inlineStr">
        <is>
          <t xml:space="preserve">CO2 compression 3 x ~19 MW + dehydration: rooftop HVAC, exhaust fans, </t>
        </is>
      </c>
      <c r="G5911" s="12" t="inlineStr">
        <is>
          <t>JB-CO2 compression 3 -AI01</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C-I-0082</t>
        </is>
      </c>
      <c r="B5912" s="12" t="inlineStr">
        <is>
          <t>C</t>
        </is>
      </c>
      <c r="C5912" s="12" t="inlineStr">
        <is>
          <t>Grid interface</t>
        </is>
      </c>
      <c r="D5912" s="12" t="inlineStr">
        <is>
          <t>Home run JB-CO2 compression 3 -AI01 to the control / marshalling room</t>
        </is>
      </c>
      <c r="E5912" s="12" t="inlineStr">
        <is>
          <t>R1</t>
        </is>
      </c>
      <c r="F5912" s="12" t="inlineStr">
        <is>
          <t>R1: main electrical building (64 x 180 ft)</t>
        </is>
      </c>
      <c r="G5912" s="12" t="inlineStr">
        <is>
          <t>JB-CO2 compression 3 -AI01</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C-I-0083</t>
        </is>
      </c>
      <c r="B5913" s="12" t="inlineStr">
        <is>
          <t>C</t>
        </is>
      </c>
      <c r="C5913" s="12" t="inlineStr">
        <is>
          <t>Grid interface</t>
        </is>
      </c>
      <c r="D5913" s="12" t="inlineStr">
        <is>
          <t>Analog instrument to JB JB-CO2 compression 3 -AI02: 20 x 1 pr (field cables)</t>
        </is>
      </c>
      <c r="E5913" s="12" t="inlineStr"/>
      <c r="F5913" s="12" t="inlineStr">
        <is>
          <t xml:space="preserve">CO2 compression 3 x ~19 MW + dehydration: rooftop HVAC, exhaust fans, </t>
        </is>
      </c>
      <c r="G5913" s="12" t="inlineStr">
        <is>
          <t>JB-CO2 compression 3 -AI02</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C-I-0084</t>
        </is>
      </c>
      <c r="B5914" s="12" t="inlineStr">
        <is>
          <t>C</t>
        </is>
      </c>
      <c r="C5914" s="12" t="inlineStr">
        <is>
          <t>Grid interface</t>
        </is>
      </c>
      <c r="D5914" s="12" t="inlineStr">
        <is>
          <t>Home run JB-CO2 compression 3 -AI02 to the control / marshalling room</t>
        </is>
      </c>
      <c r="E5914" s="12" t="inlineStr">
        <is>
          <t>R1</t>
        </is>
      </c>
      <c r="F5914" s="12" t="inlineStr">
        <is>
          <t>R1: main electrical building (64 x 180 ft)</t>
        </is>
      </c>
      <c r="G5914" s="12" t="inlineStr">
        <is>
          <t>JB-CO2 compression 3 -AI02</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C-I-0085</t>
        </is>
      </c>
      <c r="B5915" s="12" t="inlineStr">
        <is>
          <t>C</t>
        </is>
      </c>
      <c r="C5915" s="12" t="inlineStr">
        <is>
          <t>Grid interface</t>
        </is>
      </c>
      <c r="D5915" s="12" t="inlineStr">
        <is>
          <t>Analog instrument to JB JB-CO2 compression 3 -AI03: 20 x 1 pr (field cables)</t>
        </is>
      </c>
      <c r="E5915" s="12" t="inlineStr"/>
      <c r="F5915" s="12" t="inlineStr">
        <is>
          <t xml:space="preserve">CO2 compression 3 x ~19 MW + dehydration: rooftop HVAC, exhaust fans, </t>
        </is>
      </c>
      <c r="G5915" s="12" t="inlineStr">
        <is>
          <t>JB-CO2 compression 3 -AI03</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C-I-0086</t>
        </is>
      </c>
      <c r="B5916" s="12" t="inlineStr">
        <is>
          <t>C</t>
        </is>
      </c>
      <c r="C5916" s="12" t="inlineStr">
        <is>
          <t>Grid interface</t>
        </is>
      </c>
      <c r="D5916" s="12" t="inlineStr">
        <is>
          <t>Home run JB-CO2 compression 3 -AI03 to the control / marshalling room</t>
        </is>
      </c>
      <c r="E5916" s="12" t="inlineStr">
        <is>
          <t>R1</t>
        </is>
      </c>
      <c r="F5916" s="12" t="inlineStr">
        <is>
          <t>R1: main electrical building (64 x 180 ft)</t>
        </is>
      </c>
      <c r="G5916" s="12" t="inlineStr">
        <is>
          <t>JB-CO2 compression 3 -AI03</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C-I-0087</t>
        </is>
      </c>
      <c r="B5917" s="12" t="inlineStr">
        <is>
          <t>C</t>
        </is>
      </c>
      <c r="C5917" s="12" t="inlineStr">
        <is>
          <t>Grid interface</t>
        </is>
      </c>
      <c r="D5917" s="12" t="inlineStr">
        <is>
          <t>Analog instrument to JB JB-CO2 compression 3 -AI04: 20 x 1 pr (field cables)</t>
        </is>
      </c>
      <c r="E5917" s="12" t="inlineStr"/>
      <c r="F5917" s="12" t="inlineStr">
        <is>
          <t xml:space="preserve">CO2 compression 3 x ~19 MW + dehydration: rooftop HVAC, exhaust fans, </t>
        </is>
      </c>
      <c r="G5917" s="12" t="inlineStr">
        <is>
          <t>JB-CO2 compression 3 -AI04</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20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C-I-0088</t>
        </is>
      </c>
      <c r="B5918" s="12" t="inlineStr">
        <is>
          <t>C</t>
        </is>
      </c>
      <c r="C5918" s="12" t="inlineStr">
        <is>
          <t>Grid interface</t>
        </is>
      </c>
      <c r="D5918" s="12" t="inlineStr">
        <is>
          <t>Home run JB-CO2 compression 3 -AI04 to the control / marshalling room</t>
        </is>
      </c>
      <c r="E5918" s="12" t="inlineStr">
        <is>
          <t>R1</t>
        </is>
      </c>
      <c r="F5918" s="12" t="inlineStr">
        <is>
          <t>R1: main electrical building (64 x 180 ft)</t>
        </is>
      </c>
      <c r="G5918" s="12" t="inlineStr">
        <is>
          <t>JB-CO2 compression 3 -AI04</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C-I-0089</t>
        </is>
      </c>
      <c r="B5919" s="12" t="inlineStr">
        <is>
          <t>C</t>
        </is>
      </c>
      <c r="C5919" s="12" t="inlineStr">
        <is>
          <t>Grid interface</t>
        </is>
      </c>
      <c r="D5919" s="12" t="inlineStr">
        <is>
          <t>Analog instrument to JB JB-CO2 compression 3 -AI05: 20 x 1 pr (field cables)</t>
        </is>
      </c>
      <c r="E5919" s="12" t="inlineStr"/>
      <c r="F5919" s="12" t="inlineStr">
        <is>
          <t xml:space="preserve">CO2 compression 3 x ~19 MW + dehydration: rooftop HVAC, exhaust fans, </t>
        </is>
      </c>
      <c r="G5919" s="12" t="inlineStr">
        <is>
          <t>JB-CO2 compression 3 -AI05</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C-I-0090</t>
        </is>
      </c>
      <c r="B5920" s="12" t="inlineStr">
        <is>
          <t>C</t>
        </is>
      </c>
      <c r="C5920" s="12" t="inlineStr">
        <is>
          <t>Grid interface</t>
        </is>
      </c>
      <c r="D5920" s="12" t="inlineStr">
        <is>
          <t>Home run JB-CO2 compression 3 -AI05 to the control / marshalling room</t>
        </is>
      </c>
      <c r="E5920" s="12" t="inlineStr">
        <is>
          <t>R1</t>
        </is>
      </c>
      <c r="F5920" s="12" t="inlineStr">
        <is>
          <t>R1: main electrical building (64 x 180 ft)</t>
        </is>
      </c>
      <c r="G5920" s="12" t="inlineStr">
        <is>
          <t>JB-CO2 compression 3 -AI05</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C-I-0091</t>
        </is>
      </c>
      <c r="B5921" s="12" t="inlineStr">
        <is>
          <t>C</t>
        </is>
      </c>
      <c r="C5921" s="12" t="inlineStr">
        <is>
          <t>Grid interface</t>
        </is>
      </c>
      <c r="D5921" s="12" t="inlineStr">
        <is>
          <t>Analog instrument to JB JB-CO2 compression 3 -AI06: 20 x 1 pr (field cables)</t>
        </is>
      </c>
      <c r="E5921" s="12" t="inlineStr"/>
      <c r="F5921" s="12" t="inlineStr">
        <is>
          <t xml:space="preserve">CO2 compression 3 x ~19 MW + dehydration: rooftop HVAC, exhaust fans, </t>
        </is>
      </c>
      <c r="G5921" s="12" t="inlineStr">
        <is>
          <t>JB-CO2 compression 3 -AI06</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C-I-0092</t>
        </is>
      </c>
      <c r="B5922" s="12" t="inlineStr">
        <is>
          <t>C</t>
        </is>
      </c>
      <c r="C5922" s="12" t="inlineStr">
        <is>
          <t>Grid interface</t>
        </is>
      </c>
      <c r="D5922" s="12" t="inlineStr">
        <is>
          <t>Home run JB-CO2 compression 3 -AI06 to the control / marshalling room</t>
        </is>
      </c>
      <c r="E5922" s="12" t="inlineStr">
        <is>
          <t>R1</t>
        </is>
      </c>
      <c r="F5922" s="12" t="inlineStr">
        <is>
          <t>R1: main electrical building (64 x 180 ft)</t>
        </is>
      </c>
      <c r="G5922" s="12" t="inlineStr">
        <is>
          <t>JB-CO2 compression 3 -AI06</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C-I-0093</t>
        </is>
      </c>
      <c r="B5923" s="12" t="inlineStr">
        <is>
          <t>C</t>
        </is>
      </c>
      <c r="C5923" s="12" t="inlineStr">
        <is>
          <t>Grid interface</t>
        </is>
      </c>
      <c r="D5923" s="12" t="inlineStr">
        <is>
          <t>Analog instrument to JB JB-CO2 compression 3 -AI07: 20 x 1 pr (field cables)</t>
        </is>
      </c>
      <c r="E5923" s="12" t="inlineStr"/>
      <c r="F5923" s="12" t="inlineStr">
        <is>
          <t xml:space="preserve">CO2 compression 3 x ~19 MW + dehydration: rooftop HVAC, exhaust fans, </t>
        </is>
      </c>
      <c r="G5923" s="12" t="inlineStr">
        <is>
          <t>JB-CO2 compression 3 -AI07</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C-I-0094</t>
        </is>
      </c>
      <c r="B5924" s="12" t="inlineStr">
        <is>
          <t>C</t>
        </is>
      </c>
      <c r="C5924" s="12" t="inlineStr">
        <is>
          <t>Grid interface</t>
        </is>
      </c>
      <c r="D5924" s="12" t="inlineStr">
        <is>
          <t>Home run JB-CO2 compression 3 -AI07 to the control / marshalling room</t>
        </is>
      </c>
      <c r="E5924" s="12" t="inlineStr">
        <is>
          <t>R1</t>
        </is>
      </c>
      <c r="F5924" s="12" t="inlineStr">
        <is>
          <t>R1: main electrical building (64 x 180 ft)</t>
        </is>
      </c>
      <c r="G5924" s="12" t="inlineStr">
        <is>
          <t>JB-CO2 compression 3 -AI07</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C-I-0095</t>
        </is>
      </c>
      <c r="B5925" s="12" t="inlineStr">
        <is>
          <t>C</t>
        </is>
      </c>
      <c r="C5925" s="12" t="inlineStr">
        <is>
          <t>Grid interface</t>
        </is>
      </c>
      <c r="D5925" s="12" t="inlineStr">
        <is>
          <t>Analog instrument to JB JB-CO2 compression 3 -AI08: 10 x 1 pr (field cables)</t>
        </is>
      </c>
      <c r="E5925" s="12" t="inlineStr"/>
      <c r="F5925" s="12" t="inlineStr">
        <is>
          <t xml:space="preserve">CO2 compression 3 x ~19 MW + dehydration: rooftop HVAC, exhaust fans, </t>
        </is>
      </c>
      <c r="G5925" s="12" t="inlineStr">
        <is>
          <t>JB-CO2 compression 3 -AI08</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10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C-I-0096</t>
        </is>
      </c>
      <c r="B5926" s="12" t="inlineStr">
        <is>
          <t>C</t>
        </is>
      </c>
      <c r="C5926" s="12" t="inlineStr">
        <is>
          <t>Grid interface</t>
        </is>
      </c>
      <c r="D5926" s="12" t="inlineStr">
        <is>
          <t>Home run JB-CO2 compression 3 -AI08 to the control / marshalling room</t>
        </is>
      </c>
      <c r="E5926" s="12" t="inlineStr">
        <is>
          <t>R1</t>
        </is>
      </c>
      <c r="F5926" s="12" t="inlineStr">
        <is>
          <t>R1: main electrical building (64 x 180 ft)</t>
        </is>
      </c>
      <c r="G5926" s="12" t="inlineStr">
        <is>
          <t>JB-CO2 compression 3 -AI08</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C-I-0097</t>
        </is>
      </c>
      <c r="B5927" s="12" t="inlineStr">
        <is>
          <t>C</t>
        </is>
      </c>
      <c r="C5927" s="12" t="inlineStr">
        <is>
          <t>Grid interface</t>
        </is>
      </c>
      <c r="D5927" s="12" t="inlineStr">
        <is>
          <t>Discrete device to JB JB-CO2 compression 3 -DI01: 20 x 1 pr (field cables)</t>
        </is>
      </c>
      <c r="E5927" s="12" t="inlineStr"/>
      <c r="F5927" s="12" t="inlineStr">
        <is>
          <t xml:space="preserve">CO2 compression 3 x ~19 MW + dehydration: rooftop HVAC, exhaust fans, </t>
        </is>
      </c>
      <c r="G5927" s="12" t="inlineStr">
        <is>
          <t>JB-CO2 compression 3 -DI01</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C-I-0098</t>
        </is>
      </c>
      <c r="B5928" s="12" t="inlineStr">
        <is>
          <t>C</t>
        </is>
      </c>
      <c r="C5928" s="12" t="inlineStr">
        <is>
          <t>Grid interface</t>
        </is>
      </c>
      <c r="D5928" s="12" t="inlineStr">
        <is>
          <t>Home run JB-CO2 compression 3 -DI01 to the control / marshalling room</t>
        </is>
      </c>
      <c r="E5928" s="12" t="inlineStr">
        <is>
          <t>R1</t>
        </is>
      </c>
      <c r="F5928" s="12" t="inlineStr">
        <is>
          <t>R1: main electrical building (64 x 180 ft)</t>
        </is>
      </c>
      <c r="G5928" s="12" t="inlineStr">
        <is>
          <t>JB-CO2 compression 3 -DI01</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C-I-0099</t>
        </is>
      </c>
      <c r="B5929" s="12" t="inlineStr">
        <is>
          <t>C</t>
        </is>
      </c>
      <c r="C5929" s="12" t="inlineStr">
        <is>
          <t>Grid interface</t>
        </is>
      </c>
      <c r="D5929" s="12" t="inlineStr">
        <is>
          <t>Discrete device to JB JB-CO2 compression 3 -DI02: 20 x 1 pr (field cables)</t>
        </is>
      </c>
      <c r="E5929" s="12" t="inlineStr"/>
      <c r="F5929" s="12" t="inlineStr">
        <is>
          <t xml:space="preserve">CO2 compression 3 x ~19 MW + dehydration: rooftop HVAC, exhaust fans, </t>
        </is>
      </c>
      <c r="G5929" s="12" t="inlineStr">
        <is>
          <t>JB-CO2 compression 3 -DI02</t>
        </is>
      </c>
      <c r="H5929" s="12" t="inlineStr">
        <is>
          <t xml:space="preserve">CO2 compression 3 x ~19 MW + dehydration: rooftop HVAC, exhaust fans, </t>
        </is>
      </c>
      <c r="I5929" s="12" t="inlineStr">
        <is>
          <t>Instrumentation</t>
        </is>
      </c>
      <c r="J5929" s="12" t="inlineStr">
        <is>
          <t>Instrumentation PLTC / TC-ER 300 V, #18 twisted shielded pairs, overall shield</t>
        </is>
      </c>
      <c r="K5929" s="12" t="inlineStr">
        <is>
          <t>PLTC|1 pr|16</t>
        </is>
      </c>
      <c r="L5929" s="12" t="inlineStr">
        <is>
          <t>1 pr</t>
        </is>
      </c>
      <c r="M5929" s="12" t="inlineStr">
        <is>
          <t>16</t>
        </is>
      </c>
      <c r="N5929" s="12" t="n">
        <v>20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C-I-0100</t>
        </is>
      </c>
      <c r="B5930" s="12" t="inlineStr">
        <is>
          <t>C</t>
        </is>
      </c>
      <c r="C5930" s="12" t="inlineStr">
        <is>
          <t>Grid interface</t>
        </is>
      </c>
      <c r="D5930" s="12" t="inlineStr">
        <is>
          <t>Home run JB-CO2 compression 3 -DI02 to the control / marshalling room</t>
        </is>
      </c>
      <c r="E5930" s="12" t="inlineStr">
        <is>
          <t>R1</t>
        </is>
      </c>
      <c r="F5930" s="12" t="inlineStr">
        <is>
          <t>R1: main electrical building (64 x 180 ft)</t>
        </is>
      </c>
      <c r="G5930" s="12" t="inlineStr">
        <is>
          <t>JB-CO2 compression 3 -DI02</t>
        </is>
      </c>
      <c r="H5930" s="12" t="inlineStr">
        <is>
          <t xml:space="preserve">CO2 compression 3 x ~19 MW + dehydration: rooftop HVAC, exhaust fans, </t>
        </is>
      </c>
      <c r="I5930" s="12" t="inlineStr">
        <is>
          <t>Instrumentation</t>
        </is>
      </c>
      <c r="J5930" s="12" t="inlineStr">
        <is>
          <t>Instrumentation PLTC / TC-ER 300 V, #18 twisted shielded pairs, overall shield</t>
        </is>
      </c>
      <c r="K5930" s="12" t="inlineStr">
        <is>
          <t>PLTC|24 pr|18</t>
        </is>
      </c>
      <c r="L5930" s="12" t="inlineStr">
        <is>
          <t>24 pr</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C-I-0101</t>
        </is>
      </c>
      <c r="B5931" s="12" t="inlineStr">
        <is>
          <t>C</t>
        </is>
      </c>
      <c r="C5931" s="12" t="inlineStr">
        <is>
          <t>Grid interface</t>
        </is>
      </c>
      <c r="D5931" s="12" t="inlineStr">
        <is>
          <t>Discrete device to JB JB-CO2 compression 3 -DI03: 20 x 1 pr (field cables)</t>
        </is>
      </c>
      <c r="E5931" s="12" t="inlineStr"/>
      <c r="F5931" s="12" t="inlineStr">
        <is>
          <t xml:space="preserve">CO2 compression 3 x ~19 MW + dehydration: rooftop HVAC, exhaust fans, </t>
        </is>
      </c>
      <c r="G5931" s="12" t="inlineStr">
        <is>
          <t>JB-CO2 compression 3 -DI03</t>
        </is>
      </c>
      <c r="H5931" s="12" t="inlineStr">
        <is>
          <t xml:space="preserve">CO2 compression 3 x ~19 MW + dehydration: rooftop HVAC, exhaust fans, </t>
        </is>
      </c>
      <c r="I5931" s="12" t="inlineStr">
        <is>
          <t>Instrumentation</t>
        </is>
      </c>
      <c r="J5931" s="12" t="inlineStr">
        <is>
          <t>Instrumentation PLTC / TC-ER 300 V, #18 twisted shielded pairs, overall shield</t>
        </is>
      </c>
      <c r="K5931" s="12" t="inlineStr">
        <is>
          <t>PLTC|1 pr|16</t>
        </is>
      </c>
      <c r="L5931" s="12" t="inlineStr">
        <is>
          <t>1 pr</t>
        </is>
      </c>
      <c r="M5931" s="12" t="inlineStr">
        <is>
          <t>16</t>
        </is>
      </c>
      <c r="N5931" s="12" t="n">
        <v>20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C-I-0102</t>
        </is>
      </c>
      <c r="B5932" s="12" t="inlineStr">
        <is>
          <t>C</t>
        </is>
      </c>
      <c r="C5932" s="12" t="inlineStr">
        <is>
          <t>Grid interface</t>
        </is>
      </c>
      <c r="D5932" s="12" t="inlineStr">
        <is>
          <t>Home run JB-CO2 compression 3 -DI03 to the control / marshalling room</t>
        </is>
      </c>
      <c r="E5932" s="12" t="inlineStr">
        <is>
          <t>R1</t>
        </is>
      </c>
      <c r="F5932" s="12" t="inlineStr">
        <is>
          <t>R1: main electrical building (64 x 180 ft)</t>
        </is>
      </c>
      <c r="G5932" s="12" t="inlineStr">
        <is>
          <t>JB-CO2 compression 3 -DI03</t>
        </is>
      </c>
      <c r="H5932" s="12" t="inlineStr">
        <is>
          <t xml:space="preserve">CO2 compression 3 x ~19 MW + dehydration: rooftop HVAC, exhaust fans, </t>
        </is>
      </c>
      <c r="I5932" s="12" t="inlineStr">
        <is>
          <t>Instrumentation</t>
        </is>
      </c>
      <c r="J5932" s="12" t="inlineStr">
        <is>
          <t>Instrumentation PLTC / TC-ER 300 V, #18 twisted shielded pairs, overall shield</t>
        </is>
      </c>
      <c r="K5932" s="12" t="inlineStr">
        <is>
          <t>PLTC|24 pr|18</t>
        </is>
      </c>
      <c r="L5932" s="12" t="inlineStr">
        <is>
          <t>24 pr</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C-I-0103</t>
        </is>
      </c>
      <c r="B5933" s="12" t="inlineStr">
        <is>
          <t>C</t>
        </is>
      </c>
      <c r="C5933" s="12" t="inlineStr">
        <is>
          <t>Grid interface</t>
        </is>
      </c>
      <c r="D5933" s="12" t="inlineStr">
        <is>
          <t>Discrete device to JB JB-CO2 compression 3 -DI04: 20 x 1 pr (field cables)</t>
        </is>
      </c>
      <c r="E5933" s="12" t="inlineStr"/>
      <c r="F5933" s="12" t="inlineStr">
        <is>
          <t xml:space="preserve">CO2 compression 3 x ~19 MW + dehydration: rooftop HVAC, exhaust fans, </t>
        </is>
      </c>
      <c r="G5933" s="12" t="inlineStr">
        <is>
          <t>JB-CO2 compression 3 -DI04</t>
        </is>
      </c>
      <c r="H5933" s="12" t="inlineStr">
        <is>
          <t xml:space="preserve">CO2 compression 3 x ~19 MW + dehydration: rooftop HVAC, exhaust fans, </t>
        </is>
      </c>
      <c r="I5933" s="12" t="inlineStr">
        <is>
          <t>Instrumentation</t>
        </is>
      </c>
      <c r="J5933" s="12" t="inlineStr">
        <is>
          <t>Instrumentation PLTC / TC-ER 300 V, #18 twisted shielded pairs, overall shield</t>
        </is>
      </c>
      <c r="K5933" s="12" t="inlineStr">
        <is>
          <t>PLTC|1 pr|16</t>
        </is>
      </c>
      <c r="L5933" s="12" t="inlineStr">
        <is>
          <t>1 pr</t>
        </is>
      </c>
      <c r="M5933" s="12" t="inlineStr">
        <is>
          <t>16</t>
        </is>
      </c>
      <c r="N5933" s="12" t="n">
        <v>20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C-I-0104</t>
        </is>
      </c>
      <c r="B5934" s="12" t="inlineStr">
        <is>
          <t>C</t>
        </is>
      </c>
      <c r="C5934" s="12" t="inlineStr">
        <is>
          <t>Grid interface</t>
        </is>
      </c>
      <c r="D5934" s="12" t="inlineStr">
        <is>
          <t>Home run JB-CO2 compression 3 -DI04 to the control / marshalling room</t>
        </is>
      </c>
      <c r="E5934" s="12" t="inlineStr">
        <is>
          <t>R1</t>
        </is>
      </c>
      <c r="F5934" s="12" t="inlineStr">
        <is>
          <t>R1: main electrical building (64 x 180 ft)</t>
        </is>
      </c>
      <c r="G5934" s="12" t="inlineStr">
        <is>
          <t>JB-CO2 compression 3 -DI04</t>
        </is>
      </c>
      <c r="H5934" s="12" t="inlineStr">
        <is>
          <t xml:space="preserve">CO2 compression 3 x ~19 MW + dehydration: rooftop HVAC, exhaust fans, </t>
        </is>
      </c>
      <c r="I5934" s="12" t="inlineStr">
        <is>
          <t>Instrumentation</t>
        </is>
      </c>
      <c r="J5934" s="12" t="inlineStr">
        <is>
          <t>Instrumentation PLTC / TC-ER 300 V, #18 twisted shielded pairs, overall shield</t>
        </is>
      </c>
      <c r="K5934" s="12" t="inlineStr">
        <is>
          <t>PLTC|24 pr|18</t>
        </is>
      </c>
      <c r="L5934" s="12" t="inlineStr">
        <is>
          <t>24 pr</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C-I-0105</t>
        </is>
      </c>
      <c r="B5935" s="12" t="inlineStr">
        <is>
          <t>C</t>
        </is>
      </c>
      <c r="C5935" s="12" t="inlineStr">
        <is>
          <t>Grid interface</t>
        </is>
      </c>
      <c r="D5935" s="12" t="inlineStr">
        <is>
          <t>Discrete device to JB JB-CO2 compression 3 -DI05: 20 x 1 pr (field cables)</t>
        </is>
      </c>
      <c r="E5935" s="12" t="inlineStr"/>
      <c r="F5935" s="12" t="inlineStr">
        <is>
          <t xml:space="preserve">CO2 compression 3 x ~19 MW + dehydration: rooftop HVAC, exhaust fans, </t>
        </is>
      </c>
      <c r="G5935" s="12" t="inlineStr">
        <is>
          <t>JB-CO2 compression 3 -DI05</t>
        </is>
      </c>
      <c r="H5935" s="12" t="inlineStr">
        <is>
          <t xml:space="preserve">CO2 compression 3 x ~19 MW + dehydration: rooftop HVAC, exhaust fans, </t>
        </is>
      </c>
      <c r="I5935" s="12" t="inlineStr">
        <is>
          <t>Instrumentation</t>
        </is>
      </c>
      <c r="J5935" s="12" t="inlineStr">
        <is>
          <t>Instrumentation PLTC / TC-ER 300 V, #18 twisted shielded pairs, overall shield</t>
        </is>
      </c>
      <c r="K5935" s="12" t="inlineStr">
        <is>
          <t>PLTC|1 pr|16</t>
        </is>
      </c>
      <c r="L5935" s="12" t="inlineStr">
        <is>
          <t>1 pr</t>
        </is>
      </c>
      <c r="M5935" s="12" t="inlineStr">
        <is>
          <t>16</t>
        </is>
      </c>
      <c r="N5935" s="12" t="n">
        <v>20</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C-I-0106</t>
        </is>
      </c>
      <c r="B5936" s="12" t="inlineStr">
        <is>
          <t>C</t>
        </is>
      </c>
      <c r="C5936" s="12" t="inlineStr">
        <is>
          <t>Grid interface</t>
        </is>
      </c>
      <c r="D5936" s="12" t="inlineStr">
        <is>
          <t>Home run JB-CO2 compression 3 -DI05 to the control / marshalling room</t>
        </is>
      </c>
      <c r="E5936" s="12" t="inlineStr">
        <is>
          <t>R1</t>
        </is>
      </c>
      <c r="F5936" s="12" t="inlineStr">
        <is>
          <t>R1: main electrical building (64 x 180 ft)</t>
        </is>
      </c>
      <c r="G5936" s="12" t="inlineStr">
        <is>
          <t>JB-CO2 compression 3 -DI05</t>
        </is>
      </c>
      <c r="H5936" s="12" t="inlineStr">
        <is>
          <t xml:space="preserve">CO2 compression 3 x ~19 MW + dehydration: rooftop HVAC, exhaust fans, </t>
        </is>
      </c>
      <c r="I5936" s="12" t="inlineStr">
        <is>
          <t>Instrumentation</t>
        </is>
      </c>
      <c r="J5936" s="12" t="inlineStr">
        <is>
          <t>Instrumentation PLTC / TC-ER 300 V, #18 twisted shielded pairs, overall shield</t>
        </is>
      </c>
      <c r="K5936" s="12" t="inlineStr">
        <is>
          <t>PLTC|24 pr|18</t>
        </is>
      </c>
      <c r="L5936" s="12" t="inlineStr">
        <is>
          <t>24 pr</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C-I-0107</t>
        </is>
      </c>
      <c r="B5937" s="12" t="inlineStr">
        <is>
          <t>C</t>
        </is>
      </c>
      <c r="C5937" s="12" t="inlineStr">
        <is>
          <t>Grid interface</t>
        </is>
      </c>
      <c r="D5937" s="12" t="inlineStr">
        <is>
          <t>RTD to JB JB-CO2 compression 3 -RTD01: 10 x 1 tri (field cables)</t>
        </is>
      </c>
      <c r="E5937" s="12" t="inlineStr"/>
      <c r="F5937" s="12" t="inlineStr">
        <is>
          <t xml:space="preserve">CO2 compression 3 x ~19 MW + dehydration: rooftop HVAC, exhaust fans, </t>
        </is>
      </c>
      <c r="G5937" s="12" t="inlineStr">
        <is>
          <t>JB-CO2 compression 3 -RTD01</t>
        </is>
      </c>
      <c r="H5937" s="12" t="inlineStr">
        <is>
          <t xml:space="preserve">CO2 compression 3 x ~19 MW + dehydration: rooftop HVAC, exhaust fans, </t>
        </is>
      </c>
      <c r="I5937" s="12" t="inlineStr">
        <is>
          <t>Instrumentation</t>
        </is>
      </c>
      <c r="J5937" s="12" t="inlineStr">
        <is>
          <t>RTD cable, #18 shielded triads, PLTC</t>
        </is>
      </c>
      <c r="K5937" s="12" t="inlineStr">
        <is>
          <t>RTD|1 tri|18</t>
        </is>
      </c>
      <c r="L5937" s="12" t="inlineStr">
        <is>
          <t>1 tri</t>
        </is>
      </c>
      <c r="M5937" s="12" t="inlineStr">
        <is>
          <t>18</t>
        </is>
      </c>
      <c r="N5937" s="12" t="n">
        <v>10</v>
      </c>
      <c r="O5937" s="12" t="n">
        <v>1</v>
      </c>
      <c r="P5937" s="12" t="n"/>
      <c r="Q5937" s="12" t="n"/>
      <c r="R5937" s="12" t="n"/>
      <c r="S5937" s="12" t="inlineStr">
        <is>
          <t>Tray / conduit</t>
        </is>
      </c>
      <c r="T5937" s="16" t="n">
        <v>161</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C-I-0108</t>
        </is>
      </c>
      <c r="B5938" s="12" t="inlineStr">
        <is>
          <t>C</t>
        </is>
      </c>
      <c r="C5938" s="12" t="inlineStr">
        <is>
          <t>Grid interface</t>
        </is>
      </c>
      <c r="D5938" s="12" t="inlineStr">
        <is>
          <t>Home run JB-CO2 compression 3 -RTD01 to the control / marshalling room</t>
        </is>
      </c>
      <c r="E5938" s="12" t="inlineStr">
        <is>
          <t>R1</t>
        </is>
      </c>
      <c r="F5938" s="12" t="inlineStr">
        <is>
          <t>R1: main electrical building (64 x 180 ft)</t>
        </is>
      </c>
      <c r="G5938" s="12" t="inlineStr">
        <is>
          <t>JB-CO2 compression 3 -RTD01</t>
        </is>
      </c>
      <c r="H5938" s="12" t="inlineStr">
        <is>
          <t xml:space="preserve">CO2 compression 3 x ~19 MW + dehydration: rooftop HVAC, exhaust fans, </t>
        </is>
      </c>
      <c r="I5938" s="12" t="inlineStr">
        <is>
          <t>Instrumentation</t>
        </is>
      </c>
      <c r="J5938" s="12" t="inlineStr">
        <is>
          <t>RTD cable, #18 shielded triads, PLTC</t>
        </is>
      </c>
      <c r="K5938" s="12" t="inlineStr">
        <is>
          <t>RTD|12 tri|18</t>
        </is>
      </c>
      <c r="L5938" s="12" t="inlineStr">
        <is>
          <t>12 tri</t>
        </is>
      </c>
      <c r="M5938" s="12" t="inlineStr">
        <is>
          <t>18</t>
        </is>
      </c>
      <c r="N5938" s="12" t="n">
        <v>1</v>
      </c>
      <c r="O5938" s="12" t="n">
        <v>1</v>
      </c>
      <c r="P5938" s="12" t="n"/>
      <c r="Q5938" s="12" t="n"/>
      <c r="R5938" s="12" t="n"/>
      <c r="S5938" s="12" t="inlineStr">
        <is>
          <t>Tray</t>
        </is>
      </c>
      <c r="T5938" s="16" t="n">
        <v>2186</v>
      </c>
      <c r="U5938" s="16" t="n">
        <v>268</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C-I-0109</t>
        </is>
      </c>
      <c r="B5939" s="12" t="inlineStr">
        <is>
          <t>C</t>
        </is>
      </c>
      <c r="C5939" s="12" t="inlineStr">
        <is>
          <t>Grid interface</t>
        </is>
      </c>
      <c r="D5939" s="12" t="inlineStr">
        <is>
          <t>RTD to JB JB-CO2 compression 3 -RTD02: 10 x 1 tri (field cables)</t>
        </is>
      </c>
      <c r="E5939" s="12" t="inlineStr"/>
      <c r="F5939" s="12" t="inlineStr">
        <is>
          <t xml:space="preserve">CO2 compression 3 x ~19 MW + dehydration: rooftop HVAC, exhaust fans, </t>
        </is>
      </c>
      <c r="G5939" s="12" t="inlineStr">
        <is>
          <t>JB-CO2 compression 3 -RTD02</t>
        </is>
      </c>
      <c r="H5939" s="12" t="inlineStr">
        <is>
          <t xml:space="preserve">CO2 compression 3 x ~19 MW + dehydration: rooftop HVAC, exhaust fans, </t>
        </is>
      </c>
      <c r="I5939" s="12" t="inlineStr">
        <is>
          <t>Instrumentation</t>
        </is>
      </c>
      <c r="J5939" s="12" t="inlineStr">
        <is>
          <t>RTD cable, #18 shielded triads, PLTC</t>
        </is>
      </c>
      <c r="K5939" s="12" t="inlineStr">
        <is>
          <t>RTD|1 tri|18</t>
        </is>
      </c>
      <c r="L5939" s="12" t="inlineStr">
        <is>
          <t>1 tri</t>
        </is>
      </c>
      <c r="M5939" s="12" t="inlineStr">
        <is>
          <t>18</t>
        </is>
      </c>
      <c r="N5939" s="12" t="n">
        <v>10</v>
      </c>
      <c r="O5939" s="12" t="n">
        <v>1</v>
      </c>
      <c r="P5939" s="12" t="n"/>
      <c r="Q5939" s="12" t="n"/>
      <c r="R5939" s="12" t="n"/>
      <c r="S5939" s="12" t="inlineStr">
        <is>
          <t>Tray / conduit</t>
        </is>
      </c>
      <c r="T5939" s="16" t="n">
        <v>161</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C-I-0110</t>
        </is>
      </c>
      <c r="B5940" s="12" t="inlineStr">
        <is>
          <t>C</t>
        </is>
      </c>
      <c r="C5940" s="12" t="inlineStr">
        <is>
          <t>Grid interface</t>
        </is>
      </c>
      <c r="D5940" s="12" t="inlineStr">
        <is>
          <t>Home run JB-CO2 compression 3 -RTD02 to the control / marshalling room</t>
        </is>
      </c>
      <c r="E5940" s="12" t="inlineStr">
        <is>
          <t>R1</t>
        </is>
      </c>
      <c r="F5940" s="12" t="inlineStr">
        <is>
          <t>R1: main electrical building (64 x 180 ft)</t>
        </is>
      </c>
      <c r="G5940" s="12" t="inlineStr">
        <is>
          <t>JB-CO2 compression 3 -RTD02</t>
        </is>
      </c>
      <c r="H5940" s="12" t="inlineStr">
        <is>
          <t xml:space="preserve">CO2 compression 3 x ~19 MW + dehydration: rooftop HVAC, exhaust fans, </t>
        </is>
      </c>
      <c r="I5940" s="12" t="inlineStr">
        <is>
          <t>Instrumentation</t>
        </is>
      </c>
      <c r="J5940" s="12" t="inlineStr">
        <is>
          <t>RTD cable, #18 shielded triads, PLTC</t>
        </is>
      </c>
      <c r="K5940" s="12" t="inlineStr">
        <is>
          <t>RTD|12 tri|18</t>
        </is>
      </c>
      <c r="L5940" s="12" t="inlineStr">
        <is>
          <t>12 tri</t>
        </is>
      </c>
      <c r="M5940" s="12" t="inlineStr">
        <is>
          <t>18</t>
        </is>
      </c>
      <c r="N5940" s="12" t="n">
        <v>1</v>
      </c>
      <c r="O5940" s="12" t="n">
        <v>1</v>
      </c>
      <c r="P5940" s="12" t="n"/>
      <c r="Q5940" s="12" t="n"/>
      <c r="R5940" s="12" t="n"/>
      <c r="S5940" s="12" t="inlineStr">
        <is>
          <t>Tray</t>
        </is>
      </c>
      <c r="T5940" s="16" t="n">
        <v>2186</v>
      </c>
      <c r="U5940" s="16" t="n">
        <v>268</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C-I-0111</t>
        </is>
      </c>
      <c r="B5941" s="12" t="inlineStr">
        <is>
          <t>C</t>
        </is>
      </c>
      <c r="C5941" s="12" t="inlineStr">
        <is>
          <t>Grid interface</t>
        </is>
      </c>
      <c r="D5941" s="12" t="inlineStr">
        <is>
          <t>RTD to JB JB-CO2 compression 3 -RTD03: 10 x 1 tri (field cables)</t>
        </is>
      </c>
      <c r="E5941" s="12" t="inlineStr"/>
      <c r="F5941" s="12" t="inlineStr">
        <is>
          <t xml:space="preserve">CO2 compression 3 x ~19 MW + dehydration: rooftop HVAC, exhaust fans, </t>
        </is>
      </c>
      <c r="G5941" s="12" t="inlineStr">
        <is>
          <t>JB-CO2 compression 3 -RTD03</t>
        </is>
      </c>
      <c r="H5941" s="12" t="inlineStr">
        <is>
          <t xml:space="preserve">CO2 compression 3 x ~19 MW + dehydration: rooftop HVAC, exhaust fans, </t>
        </is>
      </c>
      <c r="I5941" s="12" t="inlineStr">
        <is>
          <t>Instrumentation</t>
        </is>
      </c>
      <c r="J5941" s="12" t="inlineStr">
        <is>
          <t>RTD cable, #18 shielded triads, PLTC</t>
        </is>
      </c>
      <c r="K5941" s="12" t="inlineStr">
        <is>
          <t>RTD|1 tri|18</t>
        </is>
      </c>
      <c r="L5941" s="12" t="inlineStr">
        <is>
          <t>1 tri</t>
        </is>
      </c>
      <c r="M5941" s="12" t="inlineStr">
        <is>
          <t>18</t>
        </is>
      </c>
      <c r="N5941" s="12" t="n">
        <v>10</v>
      </c>
      <c r="O5941" s="12" t="n">
        <v>1</v>
      </c>
      <c r="P5941" s="12" t="n"/>
      <c r="Q5941" s="12" t="n"/>
      <c r="R5941" s="12" t="n"/>
      <c r="S5941" s="12" t="inlineStr">
        <is>
          <t>Tray / conduit</t>
        </is>
      </c>
      <c r="T5941" s="16" t="n">
        <v>161</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C-I-0112</t>
        </is>
      </c>
      <c r="B5942" s="12" t="inlineStr">
        <is>
          <t>C</t>
        </is>
      </c>
      <c r="C5942" s="12" t="inlineStr">
        <is>
          <t>Grid interface</t>
        </is>
      </c>
      <c r="D5942" s="12" t="inlineStr">
        <is>
          <t>Home run JB-CO2 compression 3 -RTD03 to the control / marshalling room</t>
        </is>
      </c>
      <c r="E5942" s="12" t="inlineStr">
        <is>
          <t>R1</t>
        </is>
      </c>
      <c r="F5942" s="12" t="inlineStr">
        <is>
          <t>R1: main electrical building (64 x 180 ft)</t>
        </is>
      </c>
      <c r="G5942" s="12" t="inlineStr">
        <is>
          <t>JB-CO2 compression 3 -RTD03</t>
        </is>
      </c>
      <c r="H5942" s="12" t="inlineStr">
        <is>
          <t xml:space="preserve">CO2 compression 3 x ~19 MW + dehydration: rooftop HVAC, exhaust fans, </t>
        </is>
      </c>
      <c r="I5942" s="12" t="inlineStr">
        <is>
          <t>Instrumentation</t>
        </is>
      </c>
      <c r="J5942" s="12" t="inlineStr">
        <is>
          <t>RTD cable, #18 shielded triads, PLTC</t>
        </is>
      </c>
      <c r="K5942" s="12" t="inlineStr">
        <is>
          <t>RTD|12 tri|18</t>
        </is>
      </c>
      <c r="L5942" s="12" t="inlineStr">
        <is>
          <t>12 tri</t>
        </is>
      </c>
      <c r="M5942" s="12" t="inlineStr">
        <is>
          <t>18</t>
        </is>
      </c>
      <c r="N5942" s="12" t="n">
        <v>1</v>
      </c>
      <c r="O5942" s="12" t="n">
        <v>1</v>
      </c>
      <c r="P5942" s="12" t="n"/>
      <c r="Q5942" s="12" t="n"/>
      <c r="R5942" s="12" t="n"/>
      <c r="S5942" s="12" t="inlineStr">
        <is>
          <t>Tray</t>
        </is>
      </c>
      <c r="T5942" s="16" t="n">
        <v>2186</v>
      </c>
      <c r="U5942" s="16" t="n">
        <v>268</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C-I-0113</t>
        </is>
      </c>
      <c r="B5943" s="12" t="inlineStr">
        <is>
          <t>C</t>
        </is>
      </c>
      <c r="C5943" s="12" t="inlineStr">
        <is>
          <t>Grid interface</t>
        </is>
      </c>
      <c r="D5943" s="12" t="inlineStr">
        <is>
          <t>RTD to JB JB-CO2 compression 3 -RTD04: 6 x 1 tri (field cables)</t>
        </is>
      </c>
      <c r="E5943" s="12" t="inlineStr"/>
      <c r="F5943" s="12" t="inlineStr">
        <is>
          <t xml:space="preserve">CO2 compression 3 x ~19 MW + dehydration: rooftop HVAC, exhaust fans, </t>
        </is>
      </c>
      <c r="G5943" s="12" t="inlineStr">
        <is>
          <t>JB-CO2 compression 3 -RTD04</t>
        </is>
      </c>
      <c r="H5943" s="12" t="inlineStr">
        <is>
          <t xml:space="preserve">CO2 compression 3 x ~19 MW + dehydration: rooftop HVAC, exhaust fans, </t>
        </is>
      </c>
      <c r="I5943" s="12" t="inlineStr">
        <is>
          <t>Instrumentation</t>
        </is>
      </c>
      <c r="J5943" s="12" t="inlineStr">
        <is>
          <t>RTD cable, #18 shielded triads, PLTC</t>
        </is>
      </c>
      <c r="K5943" s="12" t="inlineStr">
        <is>
          <t>RTD|1 tri|18</t>
        </is>
      </c>
      <c r="L5943" s="12" t="inlineStr">
        <is>
          <t>1 tri</t>
        </is>
      </c>
      <c r="M5943" s="12" t="inlineStr">
        <is>
          <t>18</t>
        </is>
      </c>
      <c r="N5943" s="12" t="n">
        <v>6</v>
      </c>
      <c r="O5943" s="12" t="n">
        <v>1</v>
      </c>
      <c r="P5943" s="12" t="n"/>
      <c r="Q5943" s="12" t="n"/>
      <c r="R5943" s="12" t="n"/>
      <c r="S5943" s="12" t="inlineStr">
        <is>
          <t>Tray / conduit</t>
        </is>
      </c>
      <c r="T5943" s="16" t="n">
        <v>161</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C-I-0114</t>
        </is>
      </c>
      <c r="B5944" s="12" t="inlineStr">
        <is>
          <t>C</t>
        </is>
      </c>
      <c r="C5944" s="12" t="inlineStr">
        <is>
          <t>Grid interface</t>
        </is>
      </c>
      <c r="D5944" s="12" t="inlineStr">
        <is>
          <t>Home run JB-CO2 compression 3 -RTD04 to the control / marshalling room</t>
        </is>
      </c>
      <c r="E5944" s="12" t="inlineStr">
        <is>
          <t>R1</t>
        </is>
      </c>
      <c r="F5944" s="12" t="inlineStr">
        <is>
          <t>R1: main electrical building (64 x 180 ft)</t>
        </is>
      </c>
      <c r="G5944" s="12" t="inlineStr">
        <is>
          <t>JB-CO2 compression 3 -RTD04</t>
        </is>
      </c>
      <c r="H5944" s="12" t="inlineStr">
        <is>
          <t xml:space="preserve">CO2 compression 3 x ~19 MW + dehydration: rooftop HVAC, exhaust fans, </t>
        </is>
      </c>
      <c r="I5944" s="12" t="inlineStr">
        <is>
          <t>Instrumentation</t>
        </is>
      </c>
      <c r="J5944" s="12" t="inlineStr">
        <is>
          <t>RTD cable, #18 shielded triads, PLTC</t>
        </is>
      </c>
      <c r="K5944" s="12" t="inlineStr">
        <is>
          <t>RTD|12 tri|18</t>
        </is>
      </c>
      <c r="L5944" s="12" t="inlineStr">
        <is>
          <t>12 tri</t>
        </is>
      </c>
      <c r="M5944" s="12" t="inlineStr">
        <is>
          <t>18</t>
        </is>
      </c>
      <c r="N5944" s="12" t="n">
        <v>1</v>
      </c>
      <c r="O5944" s="12" t="n">
        <v>1</v>
      </c>
      <c r="P5944" s="12" t="n"/>
      <c r="Q5944" s="12" t="n"/>
      <c r="R5944" s="12" t="n"/>
      <c r="S5944" s="12" t="inlineStr">
        <is>
          <t>Tray</t>
        </is>
      </c>
      <c r="T5944" s="16" t="n">
        <v>2186</v>
      </c>
      <c r="U5944" s="16" t="n">
        <v>268</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C-I-0115</t>
        </is>
      </c>
      <c r="B5945" s="12" t="inlineStr">
        <is>
          <t>C</t>
        </is>
      </c>
      <c r="C5945" s="12" t="inlineStr">
        <is>
          <t>Grid interface</t>
        </is>
      </c>
      <c r="D5945" s="12" t="inlineStr">
        <is>
          <t>Analog instrument to JB JB-Small-bore piping:-AI01: 10 x 1 pr (field cables)</t>
        </is>
      </c>
      <c r="E5945" s="12" t="inlineStr"/>
      <c r="F5945" s="12" t="inlineStr">
        <is>
          <t>Small-bore piping: instrument air, service water, nitrogen, HRSG drain</t>
        </is>
      </c>
      <c r="G5945" s="12" t="inlineStr">
        <is>
          <t>JB-Small-bore piping:-AI01</t>
        </is>
      </c>
      <c r="H5945" s="12" t="inlineStr">
        <is>
          <t>Small-bore piping: instrument air, service water, nitrogen, HRSG drain</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250</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C-I-0116</t>
        </is>
      </c>
      <c r="B5946" s="12" t="inlineStr">
        <is>
          <t>C</t>
        </is>
      </c>
      <c r="C5946" s="12" t="inlineStr">
        <is>
          <t>Grid interface</t>
        </is>
      </c>
      <c r="D5946" s="12" t="inlineStr">
        <is>
          <t>Home run JB-Small-bore piping:-AI01 to the control / marshalling room</t>
        </is>
      </c>
      <c r="E5946" s="12" t="inlineStr">
        <is>
          <t>R1</t>
        </is>
      </c>
      <c r="F5946" s="12" t="inlineStr">
        <is>
          <t>R1: main electrical building (64 x 180 ft)</t>
        </is>
      </c>
      <c r="G5946" s="12" t="inlineStr">
        <is>
          <t>JB-Small-bore piping:-AI01</t>
        </is>
      </c>
      <c r="H5946" s="12" t="inlineStr">
        <is>
          <t>Small-bore piping: instrument air, service water, nitrogen, HRSG drain</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Tray</t>
        </is>
      </c>
      <c r="T5946" s="16" t="n">
        <v>1218</v>
      </c>
      <c r="U5946" s="16" t="n">
        <v>200</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C-I-0117</t>
        </is>
      </c>
      <c r="B5947" s="12" t="inlineStr">
        <is>
          <t>C</t>
        </is>
      </c>
      <c r="C5947" s="12" t="inlineStr">
        <is>
          <t>Grid interface</t>
        </is>
      </c>
      <c r="D5947" s="12" t="inlineStr">
        <is>
          <t>Discrete device to JB JB-Small-bore piping:-DI01: 10 x 1 pr (field cables)</t>
        </is>
      </c>
      <c r="E5947" s="12" t="inlineStr"/>
      <c r="F5947" s="12" t="inlineStr">
        <is>
          <t>Small-bore piping: instrument air, service water, nitrogen, HRSG drain</t>
        </is>
      </c>
      <c r="G5947" s="12" t="inlineStr">
        <is>
          <t>JB-Small-bore piping:-DI01</t>
        </is>
      </c>
      <c r="H5947" s="12" t="inlineStr">
        <is>
          <t>Small-bore piping: instrument air, service water, nitrogen, HRSG drain</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10</v>
      </c>
      <c r="O5947" s="12" t="n">
        <v>1</v>
      </c>
      <c r="P5947" s="12" t="n"/>
      <c r="Q5947" s="12" t="n"/>
      <c r="R5947" s="12" t="n"/>
      <c r="S5947" s="12" t="inlineStr">
        <is>
          <t>Tray / conduit</t>
        </is>
      </c>
      <c r="T5947" s="16" t="n">
        <v>250</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C-I-0118</t>
        </is>
      </c>
      <c r="B5948" s="12" t="inlineStr">
        <is>
          <t>C</t>
        </is>
      </c>
      <c r="C5948" s="12" t="inlineStr">
        <is>
          <t>Grid interface</t>
        </is>
      </c>
      <c r="D5948" s="12" t="inlineStr">
        <is>
          <t>Home run JB-Small-bore piping:-DI01 to the control / marshalling room</t>
        </is>
      </c>
      <c r="E5948" s="12" t="inlineStr">
        <is>
          <t>R1</t>
        </is>
      </c>
      <c r="F5948" s="12" t="inlineStr">
        <is>
          <t>R1: main electrical building (64 x 180 ft)</t>
        </is>
      </c>
      <c r="G5948" s="12" t="inlineStr">
        <is>
          <t>JB-Small-bore piping:-DI01</t>
        </is>
      </c>
      <c r="H5948" s="12" t="inlineStr">
        <is>
          <t>Small-bore piping: instrument air, service water, nitrogen, HRSG drain</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Tray</t>
        </is>
      </c>
      <c r="T5948" s="16" t="n">
        <v>1218</v>
      </c>
      <c r="U5948" s="16" t="n">
        <v>200</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C-I-0119</t>
        </is>
      </c>
      <c r="B5949" s="12" t="inlineStr">
        <is>
          <t>C</t>
        </is>
      </c>
      <c r="C5949" s="12" t="inlineStr">
        <is>
          <t>Grid interface</t>
        </is>
      </c>
      <c r="D5949" s="12" t="inlineStr">
        <is>
          <t>Analog instrument to JB JB-Wastewater treatme-AI01: 20 x 1 pr (field cables)</t>
        </is>
      </c>
      <c r="E5949" s="12" t="inlineStr"/>
      <c r="F5949" s="12" t="inlineStr">
        <is>
          <t>Wastewater treatment: rooftop HVAC, exhaust fans, vents</t>
        </is>
      </c>
      <c r="G5949" s="12" t="inlineStr">
        <is>
          <t>JB-Wastewater treatme-AI01</t>
        </is>
      </c>
      <c r="H5949" s="12" t="inlineStr">
        <is>
          <t>Wastewater treatment: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89</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C-I-0120</t>
        </is>
      </c>
      <c r="B5950" s="12" t="inlineStr">
        <is>
          <t>C</t>
        </is>
      </c>
      <c r="C5950" s="12" t="inlineStr">
        <is>
          <t>Grid interface</t>
        </is>
      </c>
      <c r="D5950" s="12" t="inlineStr">
        <is>
          <t>Home run JB-Wastewater treatme-AI01 to the control / marshalling room</t>
        </is>
      </c>
      <c r="E5950" s="12" t="inlineStr">
        <is>
          <t>R1</t>
        </is>
      </c>
      <c r="F5950" s="12" t="inlineStr">
        <is>
          <t>R1: main electrical building (64 x 180 ft)</t>
        </is>
      </c>
      <c r="G5950" s="12" t="inlineStr">
        <is>
          <t>JB-Wastewater treatme-AI01</t>
        </is>
      </c>
      <c r="H5950" s="12" t="inlineStr">
        <is>
          <t>Wastewater treatment: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1215</v>
      </c>
      <c r="U5950" s="16" t="n">
        <v>99</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C-I-0121</t>
        </is>
      </c>
      <c r="B5951" s="12" t="inlineStr">
        <is>
          <t>C</t>
        </is>
      </c>
      <c r="C5951" s="12" t="inlineStr">
        <is>
          <t>Grid interface</t>
        </is>
      </c>
      <c r="D5951" s="12" t="inlineStr">
        <is>
          <t>Discrete device to JB JB-Wastewater treatme-DI01: 20 x 1 pr (field cables)</t>
        </is>
      </c>
      <c r="E5951" s="12" t="inlineStr"/>
      <c r="F5951" s="12" t="inlineStr">
        <is>
          <t>Wastewater treatment: rooftop HVAC, exhaust fans, vents</t>
        </is>
      </c>
      <c r="G5951" s="12" t="inlineStr">
        <is>
          <t>JB-Wastewater treatme-DI01</t>
        </is>
      </c>
      <c r="H5951" s="12" t="inlineStr">
        <is>
          <t>Wastewater treatment: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89</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C-I-0122</t>
        </is>
      </c>
      <c r="B5952" s="12" t="inlineStr">
        <is>
          <t>C</t>
        </is>
      </c>
      <c r="C5952" s="12" t="inlineStr">
        <is>
          <t>Grid interface</t>
        </is>
      </c>
      <c r="D5952" s="12" t="inlineStr">
        <is>
          <t>Home run JB-Wastewater treatme-DI01 to the control / marshalling room</t>
        </is>
      </c>
      <c r="E5952" s="12" t="inlineStr">
        <is>
          <t>R1</t>
        </is>
      </c>
      <c r="F5952" s="12" t="inlineStr">
        <is>
          <t>R1: main electrical building (64 x 180 ft)</t>
        </is>
      </c>
      <c r="G5952" s="12" t="inlineStr">
        <is>
          <t>JB-Wastewater treatme-DI01</t>
        </is>
      </c>
      <c r="H5952" s="12" t="inlineStr">
        <is>
          <t>Wastewater treatment: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1215</v>
      </c>
      <c r="U5952" s="16" t="n">
        <v>99</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C-I-0123</t>
        </is>
      </c>
      <c r="B5953" s="12" t="inlineStr">
        <is>
          <t>C</t>
        </is>
      </c>
      <c r="C5953" s="12" t="inlineStr">
        <is>
          <t>Grid interface</t>
        </is>
      </c>
      <c r="D5953" s="12" t="inlineStr">
        <is>
          <t>Discrete device to JB JB-Wastewater treatme-DI02: 10 x 1 pr (field cables)</t>
        </is>
      </c>
      <c r="E5953" s="12" t="inlineStr"/>
      <c r="F5953" s="12" t="inlineStr">
        <is>
          <t>Wastewater treatment: rooftop HVAC, exhaust fans, vents</t>
        </is>
      </c>
      <c r="G5953" s="12" t="inlineStr">
        <is>
          <t>JB-Wastewater treatme-DI02</t>
        </is>
      </c>
      <c r="H5953" s="12" t="inlineStr">
        <is>
          <t>Wastewater treatment: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10</v>
      </c>
      <c r="O5953" s="12" t="n">
        <v>1</v>
      </c>
      <c r="P5953" s="12" t="n"/>
      <c r="Q5953" s="12" t="n"/>
      <c r="R5953" s="12" t="n"/>
      <c r="S5953" s="12" t="inlineStr">
        <is>
          <t>Tray / conduit</t>
        </is>
      </c>
      <c r="T5953" s="16" t="n">
        <v>89</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C-I-0124</t>
        </is>
      </c>
      <c r="B5954" s="12" t="inlineStr">
        <is>
          <t>C</t>
        </is>
      </c>
      <c r="C5954" s="12" t="inlineStr">
        <is>
          <t>Grid interface</t>
        </is>
      </c>
      <c r="D5954" s="12" t="inlineStr">
        <is>
          <t>Home run JB-Wastewater treatme-DI02 to the control / marshalling room</t>
        </is>
      </c>
      <c r="E5954" s="12" t="inlineStr">
        <is>
          <t>R1</t>
        </is>
      </c>
      <c r="F5954" s="12" t="inlineStr">
        <is>
          <t>R1: main electrical building (64 x 180 ft)</t>
        </is>
      </c>
      <c r="G5954" s="12" t="inlineStr">
        <is>
          <t>JB-Wastewater treatme-DI02</t>
        </is>
      </c>
      <c r="H5954" s="12" t="inlineStr">
        <is>
          <t>Wastewater treatment: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1215</v>
      </c>
      <c r="U5954" s="16" t="n">
        <v>99</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C-I-0125</t>
        </is>
      </c>
      <c r="B5955" s="12" t="inlineStr">
        <is>
          <t>C</t>
        </is>
      </c>
      <c r="C5955" s="12" t="inlineStr">
        <is>
          <t>Grid interface</t>
        </is>
      </c>
      <c r="D5955" s="12" t="inlineStr">
        <is>
          <t>Analog instrument to JB JB-Water treatment bu-AI01: 20 x 1 pr (field cables)</t>
        </is>
      </c>
      <c r="E5955" s="12" t="inlineStr"/>
      <c r="F5955" s="12" t="inlineStr">
        <is>
          <t>Water treatment building: rooftop HVAC, exhaust fans, vents</t>
        </is>
      </c>
      <c r="G5955" s="12" t="inlineStr">
        <is>
          <t>JB-Water treatment bu-AI01</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C-I-0126</t>
        </is>
      </c>
      <c r="B5956" s="12" t="inlineStr">
        <is>
          <t>C</t>
        </is>
      </c>
      <c r="C5956" s="12" t="inlineStr">
        <is>
          <t>Grid interface</t>
        </is>
      </c>
      <c r="D5956" s="12" t="inlineStr">
        <is>
          <t>Home run JB-Water treatment bu-AI01 to the control / marshalling room</t>
        </is>
      </c>
      <c r="E5956" s="12" t="inlineStr">
        <is>
          <t>R1</t>
        </is>
      </c>
      <c r="F5956" s="12" t="inlineStr">
        <is>
          <t>R1: main electrical building (64 x 180 ft)</t>
        </is>
      </c>
      <c r="G5956" s="12" t="inlineStr">
        <is>
          <t>JB-Water treatment bu-AI01</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C-I-0127</t>
        </is>
      </c>
      <c r="B5957" s="12" t="inlineStr">
        <is>
          <t>C</t>
        </is>
      </c>
      <c r="C5957" s="12" t="inlineStr">
        <is>
          <t>Grid interface</t>
        </is>
      </c>
      <c r="D5957" s="12" t="inlineStr">
        <is>
          <t>Analog instrument to JB JB-Water treatment bu-AI02: 20 x 1 pr (field cables)</t>
        </is>
      </c>
      <c r="E5957" s="12" t="inlineStr"/>
      <c r="F5957" s="12" t="inlineStr">
        <is>
          <t>Water treatment building: rooftop HVAC, exhaust fans, vents</t>
        </is>
      </c>
      <c r="G5957" s="12" t="inlineStr">
        <is>
          <t>JB-Water treatment bu-AI02</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C-I-0128</t>
        </is>
      </c>
      <c r="B5958" s="12" t="inlineStr">
        <is>
          <t>C</t>
        </is>
      </c>
      <c r="C5958" s="12" t="inlineStr">
        <is>
          <t>Grid interface</t>
        </is>
      </c>
      <c r="D5958" s="12" t="inlineStr">
        <is>
          <t>Home run JB-Water treatment bu-AI02 to the control / marshalling room</t>
        </is>
      </c>
      <c r="E5958" s="12" t="inlineStr">
        <is>
          <t>R1</t>
        </is>
      </c>
      <c r="F5958" s="12" t="inlineStr">
        <is>
          <t>R1: main electrical building (64 x 180 ft)</t>
        </is>
      </c>
      <c r="G5958" s="12" t="inlineStr">
        <is>
          <t>JB-Water treatment bu-AI02</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C-I-0129</t>
        </is>
      </c>
      <c r="B5959" s="12" t="inlineStr">
        <is>
          <t>C</t>
        </is>
      </c>
      <c r="C5959" s="12" t="inlineStr">
        <is>
          <t>Grid interface</t>
        </is>
      </c>
      <c r="D5959" s="12" t="inlineStr">
        <is>
          <t>Analog instrument to JB JB-Water treatment bu-AI03: 20 x 1 pr (field cables)</t>
        </is>
      </c>
      <c r="E5959" s="12" t="inlineStr"/>
      <c r="F5959" s="12" t="inlineStr">
        <is>
          <t>Water treatment building: rooftop HVAC, exhaust fans, vents</t>
        </is>
      </c>
      <c r="G5959" s="12" t="inlineStr">
        <is>
          <t>JB-Water treatment bu-AI03</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C-I-0130</t>
        </is>
      </c>
      <c r="B5960" s="12" t="inlineStr">
        <is>
          <t>C</t>
        </is>
      </c>
      <c r="C5960" s="12" t="inlineStr">
        <is>
          <t>Grid interface</t>
        </is>
      </c>
      <c r="D5960" s="12" t="inlineStr">
        <is>
          <t>Home run JB-Water treatment bu-AI03 to the control / marshalling room</t>
        </is>
      </c>
      <c r="E5960" s="12" t="inlineStr">
        <is>
          <t>R1</t>
        </is>
      </c>
      <c r="F5960" s="12" t="inlineStr">
        <is>
          <t>R1: main electrical building (64 x 180 ft)</t>
        </is>
      </c>
      <c r="G5960" s="12" t="inlineStr">
        <is>
          <t>JB-Water treatment bu-AI03</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C-I-0131</t>
        </is>
      </c>
      <c r="B5961" s="12" t="inlineStr">
        <is>
          <t>C</t>
        </is>
      </c>
      <c r="C5961" s="12" t="inlineStr">
        <is>
          <t>Grid interface</t>
        </is>
      </c>
      <c r="D5961" s="12" t="inlineStr">
        <is>
          <t>Discrete device to JB JB-Water treatment bu-DI01: 20 x 1 pr (field cables)</t>
        </is>
      </c>
      <c r="E5961" s="12" t="inlineStr"/>
      <c r="F5961" s="12" t="inlineStr">
        <is>
          <t>Water treatment building: rooftop HVAC, exhaust fans, vents</t>
        </is>
      </c>
      <c r="G5961" s="12" t="inlineStr">
        <is>
          <t>JB-Water treatment bu-DI01</t>
        </is>
      </c>
      <c r="H5961" s="12" t="inlineStr">
        <is>
          <t>Water treatment building: rooftop HVAC, exhaust fans, vents</t>
        </is>
      </c>
      <c r="I5961" s="12" t="inlineStr">
        <is>
          <t>Instrumentation</t>
        </is>
      </c>
      <c r="J5961" s="12" t="inlineStr">
        <is>
          <t>Instrumentation PLTC / TC-ER 300 V, #18 twisted shielded pairs, overall shield</t>
        </is>
      </c>
      <c r="K5961" s="12" t="inlineStr">
        <is>
          <t>PLTC|1 pr|16</t>
        </is>
      </c>
      <c r="L5961" s="12" t="inlineStr">
        <is>
          <t>1 pr</t>
        </is>
      </c>
      <c r="M5961" s="12" t="inlineStr">
        <is>
          <t>16</t>
        </is>
      </c>
      <c r="N5961" s="12" t="n">
        <v>20</v>
      </c>
      <c r="O5961" s="12" t="n">
        <v>1</v>
      </c>
      <c r="P5961" s="12" t="n"/>
      <c r="Q5961" s="12" t="n"/>
      <c r="R5961" s="12" t="n"/>
      <c r="S5961" s="12" t="inlineStr">
        <is>
          <t>Tray / conduit</t>
        </is>
      </c>
      <c r="T5961" s="16" t="n">
        <v>162</v>
      </c>
      <c r="U5961" s="16" t="n">
        <v>10</v>
      </c>
      <c r="V5961" s="16">
        <f>ROUNDUP((T5961+U5961+2*'Read Me'!$B$13)*(1+'Read Me'!$B$12),-1)</f>
        <v/>
      </c>
      <c r="W5961" s="16">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C-I-0132</t>
        </is>
      </c>
      <c r="B5962" s="12" t="inlineStr">
        <is>
          <t>C</t>
        </is>
      </c>
      <c r="C5962" s="12" t="inlineStr">
        <is>
          <t>Grid interface</t>
        </is>
      </c>
      <c r="D5962" s="12" t="inlineStr">
        <is>
          <t>Home run JB-Water treatment bu-DI01 to the control / marshalling room</t>
        </is>
      </c>
      <c r="E5962" s="12" t="inlineStr">
        <is>
          <t>R1</t>
        </is>
      </c>
      <c r="F5962" s="12" t="inlineStr">
        <is>
          <t>R1: main electrical building (64 x 180 ft)</t>
        </is>
      </c>
      <c r="G5962" s="12" t="inlineStr">
        <is>
          <t>JB-Water treatment bu-DI01</t>
        </is>
      </c>
      <c r="H5962" s="12" t="inlineStr">
        <is>
          <t>Water treatment building: rooftop HVAC, exhaust fans, vents</t>
        </is>
      </c>
      <c r="I5962" s="12" t="inlineStr">
        <is>
          <t>Instrumentation</t>
        </is>
      </c>
      <c r="J5962" s="12" t="inlineStr">
        <is>
          <t>Instrumentation PLTC / TC-ER 300 V, #18 twisted shielded pairs, overall shield</t>
        </is>
      </c>
      <c r="K5962" s="12" t="inlineStr">
        <is>
          <t>PLTC|24 pr|18</t>
        </is>
      </c>
      <c r="L5962" s="12" t="inlineStr">
        <is>
          <t>24 pr</t>
        </is>
      </c>
      <c r="M5962" s="12" t="inlineStr">
        <is>
          <t>18</t>
        </is>
      </c>
      <c r="N5962" s="12" t="n">
        <v>1</v>
      </c>
      <c r="O5962" s="12" t="n">
        <v>1</v>
      </c>
      <c r="P5962" s="12" t="n"/>
      <c r="Q5962" s="12" t="n"/>
      <c r="R5962" s="12" t="n"/>
      <c r="S5962" s="12" t="inlineStr">
        <is>
          <t>Duct bank</t>
        </is>
      </c>
      <c r="T5962" s="16" t="n">
        <v>985</v>
      </c>
      <c r="U5962" s="16" t="n">
        <v>32</v>
      </c>
      <c r="V5962" s="16">
        <f>ROUNDUP((T5962+U5962+2*'Read Me'!$B$13)*(1+'Read Me'!$B$12),-1)</f>
        <v/>
      </c>
      <c r="W5962" s="16">
        <f>V5962*N5962*O5962</f>
        <v/>
      </c>
      <c r="X5962" s="12">
        <f>IF(LEFT(I5962,2)="MV",2*N5962*IF(L5962="1/C",O5962,1),0)</f>
        <v/>
      </c>
      <c r="Y5962" s="12">
        <f>IF(OR(LEFT(K5962,4)="LVAX",LEFT(K5962,6)="MV15AX",LEFT(K5962,4)="CTAX",LEFT(K5962,2)="W|"),2*N5962*O5962,0)</f>
        <v/>
      </c>
      <c r="Z5962" s="12" t="inlineStr"/>
      <c r="AA5962" s="12">
        <f>N5962*O5962</f>
        <v/>
      </c>
    </row>
    <row r="5963">
      <c r="A5963" s="12" t="inlineStr">
        <is>
          <t>C-I-0133</t>
        </is>
      </c>
      <c r="B5963" s="12" t="inlineStr">
        <is>
          <t>C</t>
        </is>
      </c>
      <c r="C5963" s="12" t="inlineStr">
        <is>
          <t>Grid interface</t>
        </is>
      </c>
      <c r="D5963" s="12" t="inlineStr">
        <is>
          <t>Discrete device to JB JB-Water treatment bu-DI02: 20 x 1 pr (field cables)</t>
        </is>
      </c>
      <c r="E5963" s="12" t="inlineStr"/>
      <c r="F5963" s="12" t="inlineStr">
        <is>
          <t>Water treatment building: rooftop HVAC, exhaust fans, vents</t>
        </is>
      </c>
      <c r="G5963" s="12" t="inlineStr">
        <is>
          <t>JB-Water treatment bu-DI02</t>
        </is>
      </c>
      <c r="H5963" s="12" t="inlineStr">
        <is>
          <t>Water treatment building: rooftop HVAC, exhaust fans, vents</t>
        </is>
      </c>
      <c r="I5963" s="12" t="inlineStr">
        <is>
          <t>Instrumentation</t>
        </is>
      </c>
      <c r="J5963" s="12" t="inlineStr">
        <is>
          <t>Instrumentation PLTC / TC-ER 300 V, #18 twisted shielded pairs, overall shield</t>
        </is>
      </c>
      <c r="K5963" s="12" t="inlineStr">
        <is>
          <t>PLTC|1 pr|16</t>
        </is>
      </c>
      <c r="L5963" s="12" t="inlineStr">
        <is>
          <t>1 pr</t>
        </is>
      </c>
      <c r="M5963" s="12" t="inlineStr">
        <is>
          <t>16</t>
        </is>
      </c>
      <c r="N5963" s="12" t="n">
        <v>20</v>
      </c>
      <c r="O5963" s="12" t="n">
        <v>1</v>
      </c>
      <c r="P5963" s="12" t="n"/>
      <c r="Q5963" s="12" t="n"/>
      <c r="R5963" s="12" t="n"/>
      <c r="S5963" s="12" t="inlineStr">
        <is>
          <t>Tray / conduit</t>
        </is>
      </c>
      <c r="T5963" s="16" t="n">
        <v>162</v>
      </c>
      <c r="U5963" s="16" t="n">
        <v>10</v>
      </c>
      <c r="V5963" s="16">
        <f>ROUNDUP((T5963+U5963+2*'Read Me'!$B$13)*(1+'Read Me'!$B$12),-1)</f>
        <v/>
      </c>
      <c r="W5963" s="16">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C-I-0134</t>
        </is>
      </c>
      <c r="B5964" s="12" t="inlineStr">
        <is>
          <t>C</t>
        </is>
      </c>
      <c r="C5964" s="12" t="inlineStr">
        <is>
          <t>Grid interface</t>
        </is>
      </c>
      <c r="D5964" s="12" t="inlineStr">
        <is>
          <t>Home run JB-Water treatment bu-DI02 to the control / marshalling room</t>
        </is>
      </c>
      <c r="E5964" s="12" t="inlineStr">
        <is>
          <t>R1</t>
        </is>
      </c>
      <c r="F5964" s="12" t="inlineStr">
        <is>
          <t>R1: main electrical building (64 x 180 ft)</t>
        </is>
      </c>
      <c r="G5964" s="12" t="inlineStr">
        <is>
          <t>JB-Water treatment bu-DI02</t>
        </is>
      </c>
      <c r="H5964" s="12" t="inlineStr">
        <is>
          <t>Water treatment building: rooftop HVAC, exhaust fans, vents</t>
        </is>
      </c>
      <c r="I5964" s="12" t="inlineStr">
        <is>
          <t>Instrumentation</t>
        </is>
      </c>
      <c r="J5964" s="12" t="inlineStr">
        <is>
          <t>Instrumentation PLTC / TC-ER 300 V, #18 twisted shielded pairs, overall shield</t>
        </is>
      </c>
      <c r="K5964" s="12" t="inlineStr">
        <is>
          <t>PLTC|24 pr|18</t>
        </is>
      </c>
      <c r="L5964" s="12" t="inlineStr">
        <is>
          <t>24 pr</t>
        </is>
      </c>
      <c r="M5964" s="12" t="inlineStr">
        <is>
          <t>18</t>
        </is>
      </c>
      <c r="N5964" s="12" t="n">
        <v>1</v>
      </c>
      <c r="O5964" s="12" t="n">
        <v>1</v>
      </c>
      <c r="P5964" s="12" t="n"/>
      <c r="Q5964" s="12" t="n"/>
      <c r="R5964" s="12" t="n"/>
      <c r="S5964" s="12" t="inlineStr">
        <is>
          <t>Duct bank</t>
        </is>
      </c>
      <c r="T5964" s="16" t="n">
        <v>985</v>
      </c>
      <c r="U5964" s="16" t="n">
        <v>32</v>
      </c>
      <c r="V5964" s="16">
        <f>ROUNDUP((T5964+U5964+2*'Read Me'!$B$13)*(1+'Read Me'!$B$12),-1)</f>
        <v/>
      </c>
      <c r="W5964" s="16">
        <f>V5964*N5964*O5964</f>
        <v/>
      </c>
      <c r="X5964" s="12">
        <f>IF(LEFT(I5964,2)="MV",2*N5964*IF(L5964="1/C",O5964,1),0)</f>
        <v/>
      </c>
      <c r="Y5964" s="12">
        <f>IF(OR(LEFT(K5964,4)="LVAX",LEFT(K5964,6)="MV15AX",LEFT(K5964,4)="CTAX",LEFT(K5964,2)="W|"),2*N5964*O5964,0)</f>
        <v/>
      </c>
      <c r="Z5964" s="12" t="inlineStr"/>
      <c r="AA5964" s="12">
        <f>N5964*O5964</f>
        <v/>
      </c>
    </row>
    <row r="5965">
      <c r="A5965" s="12" t="inlineStr">
        <is>
          <t>C-I-0135</t>
        </is>
      </c>
      <c r="B5965" s="12" t="inlineStr">
        <is>
          <t>C</t>
        </is>
      </c>
      <c r="C5965" s="12" t="inlineStr">
        <is>
          <t>Grid interface</t>
        </is>
      </c>
      <c r="D5965" s="12" t="inlineStr">
        <is>
          <t>Discrete device to JB JB-Water treatment bu-DI03: 20 x 1 pr (field cables)</t>
        </is>
      </c>
      <c r="E5965" s="12" t="inlineStr"/>
      <c r="F5965" s="12" t="inlineStr">
        <is>
          <t>Water treatment building: rooftop HVAC, exhaust fans, vents</t>
        </is>
      </c>
      <c r="G5965" s="12" t="inlineStr">
        <is>
          <t>JB-Water treatment bu-DI03</t>
        </is>
      </c>
      <c r="H5965" s="12" t="inlineStr">
        <is>
          <t>Water treatment building: rooftop HVAC, exhaust fans, vents</t>
        </is>
      </c>
      <c r="I5965" s="12" t="inlineStr">
        <is>
          <t>Instrumentation</t>
        </is>
      </c>
      <c r="J5965" s="12" t="inlineStr">
        <is>
          <t>Instrumentation PLTC / TC-ER 300 V, #18 twisted shielded pairs, overall shield</t>
        </is>
      </c>
      <c r="K5965" s="12" t="inlineStr">
        <is>
          <t>PLTC|1 pr|16</t>
        </is>
      </c>
      <c r="L5965" s="12" t="inlineStr">
        <is>
          <t>1 pr</t>
        </is>
      </c>
      <c r="M5965" s="12" t="inlineStr">
        <is>
          <t>16</t>
        </is>
      </c>
      <c r="N5965" s="12" t="n">
        <v>20</v>
      </c>
      <c r="O5965" s="12" t="n">
        <v>1</v>
      </c>
      <c r="P5965" s="12" t="n"/>
      <c r="Q5965" s="12" t="n"/>
      <c r="R5965" s="12" t="n"/>
      <c r="S5965" s="12" t="inlineStr">
        <is>
          <t>Tray / conduit</t>
        </is>
      </c>
      <c r="T5965" s="16" t="n">
        <v>162</v>
      </c>
      <c r="U5965" s="16" t="n">
        <v>10</v>
      </c>
      <c r="V5965" s="16">
        <f>ROUNDUP((T5965+U5965+2*'Read Me'!$B$13)*(1+'Read Me'!$B$12),-1)</f>
        <v/>
      </c>
      <c r="W5965" s="16">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C-I-0136</t>
        </is>
      </c>
      <c r="B5966" s="12" t="inlineStr">
        <is>
          <t>C</t>
        </is>
      </c>
      <c r="C5966" s="12" t="inlineStr">
        <is>
          <t>Grid interface</t>
        </is>
      </c>
      <c r="D5966" s="12" t="inlineStr">
        <is>
          <t>Home run JB-Water treatment bu-DI03 to the control / marshalling room</t>
        </is>
      </c>
      <c r="E5966" s="12" t="inlineStr">
        <is>
          <t>R1</t>
        </is>
      </c>
      <c r="F5966" s="12" t="inlineStr">
        <is>
          <t>R1: main electrical building (64 x 180 ft)</t>
        </is>
      </c>
      <c r="G5966" s="12" t="inlineStr">
        <is>
          <t>JB-Water treatment bu-DI03</t>
        </is>
      </c>
      <c r="H5966" s="12" t="inlineStr">
        <is>
          <t>Water treatment building: rooftop HVAC, exhaust fans, vents</t>
        </is>
      </c>
      <c r="I5966" s="12" t="inlineStr">
        <is>
          <t>Instrumentation</t>
        </is>
      </c>
      <c r="J5966" s="12" t="inlineStr">
        <is>
          <t>Instrumentation PLTC / TC-ER 300 V, #18 twisted shielded pairs, overall shield</t>
        </is>
      </c>
      <c r="K5966" s="12" t="inlineStr">
        <is>
          <t>PLTC|24 pr|18</t>
        </is>
      </c>
      <c r="L5966" s="12" t="inlineStr">
        <is>
          <t>24 pr</t>
        </is>
      </c>
      <c r="M5966" s="12" t="inlineStr">
        <is>
          <t>18</t>
        </is>
      </c>
      <c r="N5966" s="12" t="n">
        <v>1</v>
      </c>
      <c r="O5966" s="12" t="n">
        <v>1</v>
      </c>
      <c r="P5966" s="12" t="n"/>
      <c r="Q5966" s="12" t="n"/>
      <c r="R5966" s="12" t="n"/>
      <c r="S5966" s="12" t="inlineStr">
        <is>
          <t>Duct bank</t>
        </is>
      </c>
      <c r="T5966" s="16" t="n">
        <v>985</v>
      </c>
      <c r="U5966" s="16" t="n">
        <v>32</v>
      </c>
      <c r="V5966" s="16">
        <f>ROUNDUP((T5966+U5966+2*'Read Me'!$B$13)*(1+'Read Me'!$B$12),-1)</f>
        <v/>
      </c>
      <c r="W5966" s="16">
        <f>V5966*N5966*O5966</f>
        <v/>
      </c>
      <c r="X5966" s="12">
        <f>IF(LEFT(I5966,2)="MV",2*N5966*IF(L5966="1/C",O5966,1),0)</f>
        <v/>
      </c>
      <c r="Y5966" s="12">
        <f>IF(OR(LEFT(K5966,4)="LVAX",LEFT(K5966,6)="MV15AX",LEFT(K5966,4)="CTAX",LEFT(K5966,2)="W|"),2*N5966*O5966,0)</f>
        <v/>
      </c>
      <c r="Z5966" s="12" t="inlineStr"/>
      <c r="AA5966" s="12">
        <f>N5966*O5966</f>
        <v/>
      </c>
    </row>
    <row r="5967">
      <c r="A5967" s="12" t="inlineStr">
        <is>
          <t>C-I-0137</t>
        </is>
      </c>
      <c r="B5967" s="12" t="inlineStr">
        <is>
          <t>C</t>
        </is>
      </c>
      <c r="C5967" s="12" t="inlineStr">
        <is>
          <t>Grid interface</t>
        </is>
      </c>
      <c r="D5967" s="12" t="inlineStr">
        <is>
          <t>Discrete device to JB JB-Water treatment bu-DI04: 20 x 1 pr (field cables)</t>
        </is>
      </c>
      <c r="E5967" s="12" t="inlineStr"/>
      <c r="F5967" s="12" t="inlineStr">
        <is>
          <t>Water treatment building: rooftop HVAC, exhaust fans, vents</t>
        </is>
      </c>
      <c r="G5967" s="12" t="inlineStr">
        <is>
          <t>JB-Water treatment bu-DI04</t>
        </is>
      </c>
      <c r="H5967" s="12" t="inlineStr">
        <is>
          <t>Water treatment building: rooftop HVAC, exhaust fans, vents</t>
        </is>
      </c>
      <c r="I5967" s="12" t="inlineStr">
        <is>
          <t>Instrumentation</t>
        </is>
      </c>
      <c r="J5967" s="12" t="inlineStr">
        <is>
          <t>Instrumentation PLTC / TC-ER 300 V, #18 twisted shielded pairs, overall shield</t>
        </is>
      </c>
      <c r="K5967" s="12" t="inlineStr">
        <is>
          <t>PLTC|1 pr|16</t>
        </is>
      </c>
      <c r="L5967" s="12" t="inlineStr">
        <is>
          <t>1 pr</t>
        </is>
      </c>
      <c r="M5967" s="12" t="inlineStr">
        <is>
          <t>16</t>
        </is>
      </c>
      <c r="N5967" s="12" t="n">
        <v>20</v>
      </c>
      <c r="O5967" s="12" t="n">
        <v>1</v>
      </c>
      <c r="P5967" s="12" t="n"/>
      <c r="Q5967" s="12" t="n"/>
      <c r="R5967" s="12" t="n"/>
      <c r="S5967" s="12" t="inlineStr">
        <is>
          <t>Tray / conduit</t>
        </is>
      </c>
      <c r="T5967" s="16" t="n">
        <v>162</v>
      </c>
      <c r="U5967" s="16" t="n">
        <v>10</v>
      </c>
      <c r="V5967" s="16">
        <f>ROUNDUP((T5967+U5967+2*'Read Me'!$B$13)*(1+'Read Me'!$B$12),-1)</f>
        <v/>
      </c>
      <c r="W5967" s="16">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C-I-0138</t>
        </is>
      </c>
      <c r="B5968" s="12" t="inlineStr">
        <is>
          <t>C</t>
        </is>
      </c>
      <c r="C5968" s="12" t="inlineStr">
        <is>
          <t>Grid interface</t>
        </is>
      </c>
      <c r="D5968" s="12" t="inlineStr">
        <is>
          <t>Home run JB-Water treatment bu-DI04 to the control / marshalling room</t>
        </is>
      </c>
      <c r="E5968" s="12" t="inlineStr">
        <is>
          <t>R1</t>
        </is>
      </c>
      <c r="F5968" s="12" t="inlineStr">
        <is>
          <t>R1: main electrical building (64 x 180 ft)</t>
        </is>
      </c>
      <c r="G5968" s="12" t="inlineStr">
        <is>
          <t>JB-Water treatment bu-DI04</t>
        </is>
      </c>
      <c r="H5968" s="12" t="inlineStr">
        <is>
          <t>Water treatment building: rooftop HVAC, exhaust fans, vents</t>
        </is>
      </c>
      <c r="I5968" s="12" t="inlineStr">
        <is>
          <t>Instrumentation</t>
        </is>
      </c>
      <c r="J5968" s="12" t="inlineStr">
        <is>
          <t>Instrumentation PLTC / TC-ER 300 V, #18 twisted shielded pairs, overall shield</t>
        </is>
      </c>
      <c r="K5968" s="12" t="inlineStr">
        <is>
          <t>PLTC|24 pr|18</t>
        </is>
      </c>
      <c r="L5968" s="12" t="inlineStr">
        <is>
          <t>24 pr</t>
        </is>
      </c>
      <c r="M5968" s="12" t="inlineStr">
        <is>
          <t>18</t>
        </is>
      </c>
      <c r="N5968" s="12" t="n">
        <v>1</v>
      </c>
      <c r="O5968" s="12" t="n">
        <v>1</v>
      </c>
      <c r="P5968" s="12" t="n"/>
      <c r="Q5968" s="12" t="n"/>
      <c r="R5968" s="12" t="n"/>
      <c r="S5968" s="12" t="inlineStr">
        <is>
          <t>Duct bank</t>
        </is>
      </c>
      <c r="T5968" s="16" t="n">
        <v>985</v>
      </c>
      <c r="U5968" s="16" t="n">
        <v>32</v>
      </c>
      <c r="V5968" s="16">
        <f>ROUNDUP((T5968+U5968+2*'Read Me'!$B$13)*(1+'Read Me'!$B$12),-1)</f>
        <v/>
      </c>
      <c r="W5968" s="16">
        <f>V5968*N5968*O5968</f>
        <v/>
      </c>
      <c r="X5968" s="12">
        <f>IF(LEFT(I5968,2)="MV",2*N5968*IF(L5968="1/C",O5968,1),0)</f>
        <v/>
      </c>
      <c r="Y5968" s="12">
        <f>IF(OR(LEFT(K5968,4)="LVAX",LEFT(K5968,6)="MV15AX",LEFT(K5968,4)="CTAX",LEFT(K5968,2)="W|"),2*N5968*O5968,0)</f>
        <v/>
      </c>
      <c r="Z5968" s="12" t="inlineStr"/>
      <c r="AA5968" s="12">
        <f>N5968*O5968</f>
        <v/>
      </c>
    </row>
    <row r="5969">
      <c r="A5969" s="12" t="inlineStr">
        <is>
          <t>C-P-0006</t>
        </is>
      </c>
      <c r="B5969" s="12" t="inlineStr">
        <is>
          <t>C</t>
        </is>
      </c>
      <c r="C5969" s="12" t="inlineStr">
        <is>
          <t>Grid interface</t>
        </is>
      </c>
      <c r="D5969" s="12" t="inlineStr">
        <is>
          <t>Motor 1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C-P-0007</t>
        </is>
      </c>
      <c r="B5970" s="12" t="inlineStr">
        <is>
          <t>C</t>
        </is>
      </c>
      <c r="C5970" s="12" t="inlineStr">
        <is>
          <t>Grid interface</t>
        </is>
      </c>
      <c r="D5970" s="12" t="inlineStr">
        <is>
          <t>Motor 2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C-P-0008</t>
        </is>
      </c>
      <c r="B5971" s="12" t="inlineStr">
        <is>
          <t>C</t>
        </is>
      </c>
      <c r="C5971" s="12" t="inlineStr">
        <is>
          <t>Grid interface</t>
        </is>
      </c>
      <c r="D5971" s="12" t="inlineStr">
        <is>
          <t>Motor 3 of 10, 30 kW</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LV|3/C+G|3/0</t>
        </is>
      </c>
      <c r="L5971" s="12" t="inlineStr">
        <is>
          <t>3/C+G</t>
        </is>
      </c>
      <c r="M5971" s="12" t="inlineStr">
        <is>
          <t>3/0</t>
        </is>
      </c>
      <c r="N5971" s="12" t="n">
        <v>1</v>
      </c>
      <c r="O5971" s="12" t="n">
        <v>1</v>
      </c>
      <c r="P5971" s="12" t="n">
        <v>480</v>
      </c>
      <c r="Q5971" s="12" t="n">
        <v>30</v>
      </c>
      <c r="R5971" s="12" t="n">
        <v>42.5</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2.5 %</t>
        </is>
      </c>
      <c r="AA5971" s="12">
        <f>N5971*O5971</f>
        <v/>
      </c>
    </row>
    <row r="5972">
      <c r="A5972" s="12" t="inlineStr">
        <is>
          <t>C-P-0009</t>
        </is>
      </c>
      <c r="B5972" s="12" t="inlineStr">
        <is>
          <t>C</t>
        </is>
      </c>
      <c r="C5972" s="12" t="inlineStr">
        <is>
          <t>Grid interface</t>
        </is>
      </c>
      <c r="D5972" s="12" t="inlineStr">
        <is>
          <t>Motor 4 of 10, 30 kW</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LV|3/C+G|3/0</t>
        </is>
      </c>
      <c r="L5972" s="12" t="inlineStr">
        <is>
          <t>3/C+G</t>
        </is>
      </c>
      <c r="M5972" s="12" t="inlineStr">
        <is>
          <t>3/0</t>
        </is>
      </c>
      <c r="N5972" s="12" t="n">
        <v>1</v>
      </c>
      <c r="O5972" s="12" t="n">
        <v>1</v>
      </c>
      <c r="P5972" s="12" t="n">
        <v>480</v>
      </c>
      <c r="Q5972" s="12" t="n">
        <v>30</v>
      </c>
      <c r="R5972" s="12" t="n">
        <v>42.5</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2.5 %</t>
        </is>
      </c>
      <c r="AA5972" s="12">
        <f>N5972*O5972</f>
        <v/>
      </c>
    </row>
    <row r="5973">
      <c r="A5973" s="12" t="inlineStr">
        <is>
          <t>C-P-0010</t>
        </is>
      </c>
      <c r="B5973" s="12" t="inlineStr">
        <is>
          <t>C</t>
        </is>
      </c>
      <c r="C5973" s="12" t="inlineStr">
        <is>
          <t>Grid interface</t>
        </is>
      </c>
      <c r="D5973" s="12" t="inlineStr">
        <is>
          <t>Motor 5 of 10, 30 kW</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LV|3/C+G|3/0</t>
        </is>
      </c>
      <c r="L5973" s="12" t="inlineStr">
        <is>
          <t>3/C+G</t>
        </is>
      </c>
      <c r="M5973" s="12" t="inlineStr">
        <is>
          <t>3/0</t>
        </is>
      </c>
      <c r="N5973" s="12" t="n">
        <v>1</v>
      </c>
      <c r="O5973" s="12" t="n">
        <v>1</v>
      </c>
      <c r="P5973" s="12" t="n">
        <v>480</v>
      </c>
      <c r="Q5973" s="12" t="n">
        <v>30</v>
      </c>
      <c r="R5973" s="12" t="n">
        <v>42.5</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2.5 %</t>
        </is>
      </c>
      <c r="AA5973" s="12">
        <f>N5973*O5973</f>
        <v/>
      </c>
    </row>
    <row r="5974">
      <c r="A5974" s="12" t="inlineStr">
        <is>
          <t>C-P-0011</t>
        </is>
      </c>
      <c r="B5974" s="12" t="inlineStr">
        <is>
          <t>C</t>
        </is>
      </c>
      <c r="C5974" s="12" t="inlineStr">
        <is>
          <t>Grid interface</t>
        </is>
      </c>
      <c r="D5974" s="12" t="inlineStr">
        <is>
          <t>Motor 6 of 10, 30 kW</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LV|3/C+G|3/0</t>
        </is>
      </c>
      <c r="L5974" s="12" t="inlineStr">
        <is>
          <t>3/C+G</t>
        </is>
      </c>
      <c r="M5974" s="12" t="inlineStr">
        <is>
          <t>3/0</t>
        </is>
      </c>
      <c r="N5974" s="12" t="n">
        <v>1</v>
      </c>
      <c r="O5974" s="12" t="n">
        <v>1</v>
      </c>
      <c r="P5974" s="12" t="n">
        <v>480</v>
      </c>
      <c r="Q5974" s="12" t="n">
        <v>30</v>
      </c>
      <c r="R5974" s="12" t="n">
        <v>42.5</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2.5 %</t>
        </is>
      </c>
      <c r="AA5974" s="12">
        <f>N5974*O5974</f>
        <v/>
      </c>
    </row>
    <row r="5975">
      <c r="A5975" s="12" t="inlineStr">
        <is>
          <t>C-P-0012</t>
        </is>
      </c>
      <c r="B5975" s="12" t="inlineStr">
        <is>
          <t>C</t>
        </is>
      </c>
      <c r="C5975" s="12" t="inlineStr">
        <is>
          <t>Grid interface</t>
        </is>
      </c>
      <c r="D5975" s="12" t="inlineStr">
        <is>
          <t>Motor 7 of 10, 30 kW</t>
        </is>
      </c>
      <c r="E5975" s="12" t="inlineStr">
        <is>
          <t>MCC-C1</t>
        </is>
      </c>
      <c r="F5975" s="12" t="inlineStr">
        <is>
          <t>R1 MCC-C1</t>
        </is>
      </c>
      <c r="G5975" s="12" t="inlineStr"/>
      <c r="H5975" s="12" t="inlineStr">
        <is>
          <t xml:space="preserve">CO2 compression 3 x ~19 MW + dehydration: rooftop HVAC, exhaust fans, </t>
        </is>
      </c>
      <c r="I5975" s="12" t="inlineStr">
        <is>
          <t>LV 600 V</t>
        </is>
      </c>
      <c r="J5975" s="12" t="inlineStr">
        <is>
          <t>Type TC-ER 600 V 3/C Cu XHHW-2 + ground, PVC jacket</t>
        </is>
      </c>
      <c r="K5975" s="12" t="inlineStr">
        <is>
          <t>LV|3/C+G|3/0</t>
        </is>
      </c>
      <c r="L5975" s="12" t="inlineStr">
        <is>
          <t>3/C+G</t>
        </is>
      </c>
      <c r="M5975" s="12" t="inlineStr">
        <is>
          <t>3/0</t>
        </is>
      </c>
      <c r="N5975" s="12" t="n">
        <v>1</v>
      </c>
      <c r="O5975" s="12" t="n">
        <v>1</v>
      </c>
      <c r="P5975" s="12" t="n">
        <v>480</v>
      </c>
      <c r="Q5975" s="12" t="n">
        <v>30</v>
      </c>
      <c r="R5975" s="12" t="n">
        <v>42.5</v>
      </c>
      <c r="S5975" s="12" t="inlineStr">
        <is>
          <t>Tray</t>
        </is>
      </c>
      <c r="T5975" s="16" t="n">
        <v>1744</v>
      </c>
      <c r="U5975" s="16" t="n">
        <v>161</v>
      </c>
      <c r="V5975" s="16">
        <f>ROUNDUP((T5975+U5975+2*'Read Me'!$B$13)*(1+'Read Me'!$B$12),-1)</f>
        <v/>
      </c>
      <c r="W5975" s="16">
        <f>V5975*N5975*O5975</f>
        <v/>
      </c>
      <c r="X5975" s="12">
        <f>IF(LEFT(I5975,2)="MV",2*N5975*IF(L5975="1/C",O5975,1),0)</f>
        <v/>
      </c>
      <c r="Y5975" s="12">
        <f>IF(OR(LEFT(K5975,4)="LVAX",LEFT(K5975,6)="MV15AX",LEFT(K5975,4)="CTAX",LEFT(K5975,2)="W|"),2*N5975*O5975,0)</f>
        <v/>
      </c>
      <c r="Z5975" s="12" t="inlineStr">
        <is>
          <t>VD 2.5 %</t>
        </is>
      </c>
      <c r="AA5975" s="12">
        <f>N5975*O5975</f>
        <v/>
      </c>
    </row>
    <row r="5976">
      <c r="A5976" s="12" t="inlineStr">
        <is>
          <t>C-P-0013</t>
        </is>
      </c>
      <c r="B5976" s="12" t="inlineStr">
        <is>
          <t>C</t>
        </is>
      </c>
      <c r="C5976" s="12" t="inlineStr">
        <is>
          <t>Grid interface</t>
        </is>
      </c>
      <c r="D5976" s="12" t="inlineStr">
        <is>
          <t>Motor 8 of 10, 30 kW</t>
        </is>
      </c>
      <c r="E5976" s="12" t="inlineStr">
        <is>
          <t>MCC-C1</t>
        </is>
      </c>
      <c r="F5976" s="12" t="inlineStr">
        <is>
          <t>R1 MCC-C1</t>
        </is>
      </c>
      <c r="G5976" s="12" t="inlineStr"/>
      <c r="H5976" s="12" t="inlineStr">
        <is>
          <t xml:space="preserve">CO2 compression 3 x ~19 MW + dehydration: rooftop HVAC, exhaust fans, </t>
        </is>
      </c>
      <c r="I5976" s="12" t="inlineStr">
        <is>
          <t>LV 600 V</t>
        </is>
      </c>
      <c r="J5976" s="12" t="inlineStr">
        <is>
          <t>Type TC-ER 600 V 3/C Cu XHHW-2 + ground, PVC jacket</t>
        </is>
      </c>
      <c r="K5976" s="12" t="inlineStr">
        <is>
          <t>LV|3/C+G|3/0</t>
        </is>
      </c>
      <c r="L5976" s="12" t="inlineStr">
        <is>
          <t>3/C+G</t>
        </is>
      </c>
      <c r="M5976" s="12" t="inlineStr">
        <is>
          <t>3/0</t>
        </is>
      </c>
      <c r="N5976" s="12" t="n">
        <v>1</v>
      </c>
      <c r="O5976" s="12" t="n">
        <v>1</v>
      </c>
      <c r="P5976" s="12" t="n">
        <v>480</v>
      </c>
      <c r="Q5976" s="12" t="n">
        <v>30</v>
      </c>
      <c r="R5976" s="12" t="n">
        <v>42.5</v>
      </c>
      <c r="S5976" s="12" t="inlineStr">
        <is>
          <t>Tray</t>
        </is>
      </c>
      <c r="T5976" s="16" t="n">
        <v>1744</v>
      </c>
      <c r="U5976" s="16" t="n">
        <v>161</v>
      </c>
      <c r="V5976" s="16">
        <f>ROUNDUP((T5976+U5976+2*'Read Me'!$B$13)*(1+'Read Me'!$B$12),-1)</f>
        <v/>
      </c>
      <c r="W5976" s="16">
        <f>V5976*N5976*O5976</f>
        <v/>
      </c>
      <c r="X5976" s="12">
        <f>IF(LEFT(I5976,2)="MV",2*N5976*IF(L5976="1/C",O5976,1),0)</f>
        <v/>
      </c>
      <c r="Y5976" s="12">
        <f>IF(OR(LEFT(K5976,4)="LVAX",LEFT(K5976,6)="MV15AX",LEFT(K5976,4)="CTAX",LEFT(K5976,2)="W|"),2*N5976*O5976,0)</f>
        <v/>
      </c>
      <c r="Z5976" s="12" t="inlineStr">
        <is>
          <t>VD 2.5 %</t>
        </is>
      </c>
      <c r="AA5976" s="12">
        <f>N5976*O5976</f>
        <v/>
      </c>
    </row>
    <row r="5977">
      <c r="A5977" s="12" t="inlineStr">
        <is>
          <t>C-P-0014</t>
        </is>
      </c>
      <c r="B5977" s="12" t="inlineStr">
        <is>
          <t>C</t>
        </is>
      </c>
      <c r="C5977" s="12" t="inlineStr">
        <is>
          <t>Grid interface</t>
        </is>
      </c>
      <c r="D5977" s="12" t="inlineStr">
        <is>
          <t>Motor 9 of 10, 30 kW</t>
        </is>
      </c>
      <c r="E5977" s="12" t="inlineStr">
        <is>
          <t>MCC-C1</t>
        </is>
      </c>
      <c r="F5977" s="12" t="inlineStr">
        <is>
          <t>R1 MCC-C1</t>
        </is>
      </c>
      <c r="G5977" s="12" t="inlineStr"/>
      <c r="H5977" s="12" t="inlineStr">
        <is>
          <t xml:space="preserve">CO2 compression 3 x ~19 MW + dehydration: rooftop HVAC, exhaust fans, </t>
        </is>
      </c>
      <c r="I5977" s="12" t="inlineStr">
        <is>
          <t>LV 600 V</t>
        </is>
      </c>
      <c r="J5977" s="12" t="inlineStr">
        <is>
          <t>Type TC-ER 600 V 3/C Cu XHHW-2 + ground, PVC jacket</t>
        </is>
      </c>
      <c r="K5977" s="12" t="inlineStr">
        <is>
          <t>LV|3/C+G|3/0</t>
        </is>
      </c>
      <c r="L5977" s="12" t="inlineStr">
        <is>
          <t>3/C+G</t>
        </is>
      </c>
      <c r="M5977" s="12" t="inlineStr">
        <is>
          <t>3/0</t>
        </is>
      </c>
      <c r="N5977" s="12" t="n">
        <v>1</v>
      </c>
      <c r="O5977" s="12" t="n">
        <v>1</v>
      </c>
      <c r="P5977" s="12" t="n">
        <v>480</v>
      </c>
      <c r="Q5977" s="12" t="n">
        <v>30</v>
      </c>
      <c r="R5977" s="12" t="n">
        <v>42.5</v>
      </c>
      <c r="S5977" s="12" t="inlineStr">
        <is>
          <t>Tray</t>
        </is>
      </c>
      <c r="T5977" s="16" t="n">
        <v>1744</v>
      </c>
      <c r="U5977" s="16" t="n">
        <v>161</v>
      </c>
      <c r="V5977" s="16">
        <f>ROUNDUP((T5977+U5977+2*'Read Me'!$B$13)*(1+'Read Me'!$B$12),-1)</f>
        <v/>
      </c>
      <c r="W5977" s="16">
        <f>V5977*N5977*O5977</f>
        <v/>
      </c>
      <c r="X5977" s="12">
        <f>IF(LEFT(I5977,2)="MV",2*N5977*IF(L5977="1/C",O5977,1),0)</f>
        <v/>
      </c>
      <c r="Y5977" s="12">
        <f>IF(OR(LEFT(K5977,4)="LVAX",LEFT(K5977,6)="MV15AX",LEFT(K5977,4)="CTAX",LEFT(K5977,2)="W|"),2*N5977*O5977,0)</f>
        <v/>
      </c>
      <c r="Z5977" s="12" t="inlineStr">
        <is>
          <t>VD 2.5 %</t>
        </is>
      </c>
      <c r="AA5977" s="12">
        <f>N5977*O5977</f>
        <v/>
      </c>
    </row>
    <row r="5978">
      <c r="A5978" s="12" t="inlineStr">
        <is>
          <t>C-P-0015</t>
        </is>
      </c>
      <c r="B5978" s="12" t="inlineStr">
        <is>
          <t>C</t>
        </is>
      </c>
      <c r="C5978" s="12" t="inlineStr">
        <is>
          <t>Grid interface</t>
        </is>
      </c>
      <c r="D5978" s="12" t="inlineStr">
        <is>
          <t>Motor 10 of 10, 30 kW</t>
        </is>
      </c>
      <c r="E5978" s="12" t="inlineStr">
        <is>
          <t>MCC-C1</t>
        </is>
      </c>
      <c r="F5978" s="12" t="inlineStr">
        <is>
          <t>R1 MCC-C1</t>
        </is>
      </c>
      <c r="G5978" s="12" t="inlineStr"/>
      <c r="H5978" s="12" t="inlineStr">
        <is>
          <t xml:space="preserve">CO2 compression 3 x ~19 MW + dehydration: rooftop HVAC, exhaust fans, </t>
        </is>
      </c>
      <c r="I5978" s="12" t="inlineStr">
        <is>
          <t>LV 600 V</t>
        </is>
      </c>
      <c r="J5978" s="12" t="inlineStr">
        <is>
          <t>Type TC-ER 600 V 3/C Cu XHHW-2 + ground, PVC jacket</t>
        </is>
      </c>
      <c r="K5978" s="12" t="inlineStr">
        <is>
          <t>LV|3/C+G|3/0</t>
        </is>
      </c>
      <c r="L5978" s="12" t="inlineStr">
        <is>
          <t>3/C+G</t>
        </is>
      </c>
      <c r="M5978" s="12" t="inlineStr">
        <is>
          <t>3/0</t>
        </is>
      </c>
      <c r="N5978" s="12" t="n">
        <v>1</v>
      </c>
      <c r="O5978" s="12" t="n">
        <v>1</v>
      </c>
      <c r="P5978" s="12" t="n">
        <v>480</v>
      </c>
      <c r="Q5978" s="12" t="n">
        <v>30</v>
      </c>
      <c r="R5978" s="12" t="n">
        <v>42.5</v>
      </c>
      <c r="S5978" s="12" t="inlineStr">
        <is>
          <t>Tray</t>
        </is>
      </c>
      <c r="T5978" s="16" t="n">
        <v>1744</v>
      </c>
      <c r="U5978" s="16" t="n">
        <v>161</v>
      </c>
      <c r="V5978" s="16">
        <f>ROUNDUP((T5978+U5978+2*'Read Me'!$B$13)*(1+'Read Me'!$B$12),-1)</f>
        <v/>
      </c>
      <c r="W5978" s="16">
        <f>V5978*N5978*O5978</f>
        <v/>
      </c>
      <c r="X5978" s="12">
        <f>IF(LEFT(I5978,2)="MV",2*N5978*IF(L5978="1/C",O5978,1),0)</f>
        <v/>
      </c>
      <c r="Y5978" s="12">
        <f>IF(OR(LEFT(K5978,4)="LVAX",LEFT(K5978,6)="MV15AX",LEFT(K5978,4)="CTAX",LEFT(K5978,2)="W|"),2*N5978*O5978,0)</f>
        <v/>
      </c>
      <c r="Z5978" s="12" t="inlineStr">
        <is>
          <t>VD 2.5 %</t>
        </is>
      </c>
      <c r="AA5978" s="12">
        <f>N5978*O5978</f>
        <v/>
      </c>
    </row>
    <row r="5979">
      <c r="A5979" s="12" t="inlineStr">
        <is>
          <t>C-P-0016</t>
        </is>
      </c>
      <c r="B5979" s="12" t="inlineStr">
        <is>
          <t>C</t>
        </is>
      </c>
      <c r="C5979" s="12" t="inlineStr">
        <is>
          <t>Grid interface</t>
        </is>
      </c>
      <c r="D5979" s="12" t="inlineStr">
        <is>
          <t>480 V welding receptacle 1</t>
        </is>
      </c>
      <c r="E5979" s="12" t="inlineStr">
        <is>
          <t>MCC-C1</t>
        </is>
      </c>
      <c r="F5979" s="12" t="inlineStr">
        <is>
          <t>R1 MCC-C1</t>
        </is>
      </c>
      <c r="G5979" s="12" t="inlineStr"/>
      <c r="H5979" s="12" t="inlineStr">
        <is>
          <t xml:space="preserve">CO2 compression 3 x ~19 MW + dehydration: rooftop HVAC, exhaust fans, </t>
        </is>
      </c>
      <c r="I5979" s="12" t="inlineStr">
        <is>
          <t>LV 600 V</t>
        </is>
      </c>
      <c r="J5979" s="12" t="inlineStr">
        <is>
          <t>Type TC-ER 600 V 3/C Cu XHHW-2 + ground, PVC jacket</t>
        </is>
      </c>
      <c r="K5979" s="12" t="inlineStr">
        <is>
          <t>LV|3/C+G|250</t>
        </is>
      </c>
      <c r="L5979" s="12" t="inlineStr">
        <is>
          <t>3/C+G</t>
        </is>
      </c>
      <c r="M5979" s="12" t="inlineStr">
        <is>
          <t>250 kcmil</t>
        </is>
      </c>
      <c r="N5979" s="12" t="n">
        <v>1</v>
      </c>
      <c r="O5979" s="12" t="n">
        <v>1</v>
      </c>
      <c r="P5979" s="12" t="n">
        <v>480</v>
      </c>
      <c r="Q5979" s="12" t="n">
        <v>60</v>
      </c>
      <c r="R5979" s="12" t="n">
        <v>76</v>
      </c>
      <c r="S5979" s="12" t="inlineStr">
        <is>
          <t>Tray</t>
        </is>
      </c>
      <c r="T5979" s="16" t="n">
        <v>1744</v>
      </c>
      <c r="U5979" s="16" t="n">
        <v>161</v>
      </c>
      <c r="V5979" s="16">
        <f>ROUNDUP((T5979+U5979+2*'Read Me'!$B$13)*(1+'Read Me'!$B$12),-1)</f>
        <v/>
      </c>
      <c r="W5979" s="16">
        <f>V5979*N5979*O5979</f>
        <v/>
      </c>
      <c r="X5979" s="12">
        <f>IF(LEFT(I5979,2)="MV",2*N5979*IF(L5979="1/C",O5979,1),0)</f>
        <v/>
      </c>
      <c r="Y5979" s="12">
        <f>IF(OR(LEFT(K5979,4)="LVAX",LEFT(K5979,6)="MV15AX",LEFT(K5979,4)="CTAX",LEFT(K5979,2)="W|"),2*N5979*O5979,0)</f>
        <v/>
      </c>
      <c r="Z5979" s="12" t="inlineStr">
        <is>
          <t>VD 3.0 %</t>
        </is>
      </c>
      <c r="AA5979" s="12">
        <f>N5979*O5979</f>
        <v/>
      </c>
    </row>
    <row r="5980">
      <c r="A5980" s="12" t="inlineStr">
        <is>
          <t>C-P-0017</t>
        </is>
      </c>
      <c r="B5980" s="12" t="inlineStr">
        <is>
          <t>C</t>
        </is>
      </c>
      <c r="C5980" s="12" t="inlineStr">
        <is>
          <t>Grid interface</t>
        </is>
      </c>
      <c r="D5980" s="12" t="inlineStr">
        <is>
          <t>480 V welding receptacle 2</t>
        </is>
      </c>
      <c r="E5980" s="12" t="inlineStr">
        <is>
          <t>MCC-C1</t>
        </is>
      </c>
      <c r="F5980" s="12" t="inlineStr">
        <is>
          <t>R1 MCC-C1</t>
        </is>
      </c>
      <c r="G5980" s="12" t="inlineStr"/>
      <c r="H5980" s="12" t="inlineStr">
        <is>
          <t xml:space="preserve">CO2 compression 3 x ~19 MW + dehydration: rooftop HVAC, exhaust fans, </t>
        </is>
      </c>
      <c r="I5980" s="12" t="inlineStr">
        <is>
          <t>LV 600 V</t>
        </is>
      </c>
      <c r="J5980" s="12" t="inlineStr">
        <is>
          <t>Type TC-ER 600 V 3/C Cu XHHW-2 + ground, PVC jacket</t>
        </is>
      </c>
      <c r="K5980" s="12" t="inlineStr">
        <is>
          <t>LV|3/C+G|250</t>
        </is>
      </c>
      <c r="L5980" s="12" t="inlineStr">
        <is>
          <t>3/C+G</t>
        </is>
      </c>
      <c r="M5980" s="12" t="inlineStr">
        <is>
          <t>250 kcmil</t>
        </is>
      </c>
      <c r="N5980" s="12" t="n">
        <v>1</v>
      </c>
      <c r="O5980" s="12" t="n">
        <v>1</v>
      </c>
      <c r="P5980" s="12" t="n">
        <v>480</v>
      </c>
      <c r="Q5980" s="12" t="n">
        <v>60</v>
      </c>
      <c r="R5980" s="12" t="n">
        <v>76</v>
      </c>
      <c r="S5980" s="12" t="inlineStr">
        <is>
          <t>Tray</t>
        </is>
      </c>
      <c r="T5980" s="16" t="n">
        <v>1744</v>
      </c>
      <c r="U5980" s="16" t="n">
        <v>161</v>
      </c>
      <c r="V5980" s="16">
        <f>ROUNDUP((T5980+U5980+2*'Read Me'!$B$13)*(1+'Read Me'!$B$12),-1)</f>
        <v/>
      </c>
      <c r="W5980" s="16">
        <f>V5980*N5980*O5980</f>
        <v/>
      </c>
      <c r="X5980" s="12">
        <f>IF(LEFT(I5980,2)="MV",2*N5980*IF(L5980="1/C",O5980,1),0)</f>
        <v/>
      </c>
      <c r="Y5980" s="12">
        <f>IF(OR(LEFT(K5980,4)="LVAX",LEFT(K5980,6)="MV15AX",LEFT(K5980,4)="CTAX",LEFT(K5980,2)="W|"),2*N5980*O5980,0)</f>
        <v/>
      </c>
      <c r="Z5980" s="12" t="inlineStr">
        <is>
          <t>VD 3.0 %</t>
        </is>
      </c>
      <c r="AA5980" s="12">
        <f>N5980*O5980</f>
        <v/>
      </c>
    </row>
    <row r="5981">
      <c r="A5981" s="12" t="inlineStr">
        <is>
          <t>C-P-0018</t>
        </is>
      </c>
      <c r="B5981" s="12" t="inlineStr">
        <is>
          <t>C</t>
        </is>
      </c>
      <c r="C5981" s="12" t="inlineStr">
        <is>
          <t>Grid interface</t>
        </is>
      </c>
      <c r="D5981" s="12" t="inlineStr">
        <is>
          <t>480 V welding receptacle 3</t>
        </is>
      </c>
      <c r="E5981" s="12" t="inlineStr">
        <is>
          <t>MCC-C1</t>
        </is>
      </c>
      <c r="F5981" s="12" t="inlineStr">
        <is>
          <t>R1 MCC-C1</t>
        </is>
      </c>
      <c r="G5981" s="12" t="inlineStr"/>
      <c r="H5981" s="12" t="inlineStr">
        <is>
          <t xml:space="preserve">CO2 compression 3 x ~19 MW + dehydration: rooftop HVAC, exhaust fans, </t>
        </is>
      </c>
      <c r="I5981" s="12" t="inlineStr">
        <is>
          <t>LV 600 V</t>
        </is>
      </c>
      <c r="J5981" s="12" t="inlineStr">
        <is>
          <t>Type TC-ER 600 V 3/C Cu XHHW-2 + ground, PVC jacket</t>
        </is>
      </c>
      <c r="K5981" s="12" t="inlineStr">
        <is>
          <t>LV|3/C+G|250</t>
        </is>
      </c>
      <c r="L5981" s="12" t="inlineStr">
        <is>
          <t>3/C+G</t>
        </is>
      </c>
      <c r="M5981" s="12" t="inlineStr">
        <is>
          <t>250 kcmil</t>
        </is>
      </c>
      <c r="N5981" s="12" t="n">
        <v>1</v>
      </c>
      <c r="O5981" s="12" t="n">
        <v>1</v>
      </c>
      <c r="P5981" s="12" t="n">
        <v>480</v>
      </c>
      <c r="Q5981" s="12" t="n">
        <v>60</v>
      </c>
      <c r="R5981" s="12" t="n">
        <v>76</v>
      </c>
      <c r="S5981" s="12" t="inlineStr">
        <is>
          <t>Tray</t>
        </is>
      </c>
      <c r="T5981" s="16" t="n">
        <v>1744</v>
      </c>
      <c r="U5981" s="16" t="n">
        <v>161</v>
      </c>
      <c r="V5981" s="16">
        <f>ROUNDUP((T5981+U5981+2*'Read Me'!$B$13)*(1+'Read Me'!$B$12),-1)</f>
        <v/>
      </c>
      <c r="W5981" s="16">
        <f>V5981*N5981*O5981</f>
        <v/>
      </c>
      <c r="X5981" s="12">
        <f>IF(LEFT(I5981,2)="MV",2*N5981*IF(L5981="1/C",O5981,1),0)</f>
        <v/>
      </c>
      <c r="Y5981" s="12">
        <f>IF(OR(LEFT(K5981,4)="LVAX",LEFT(K5981,6)="MV15AX",LEFT(K5981,4)="CTAX",LEFT(K5981,2)="W|"),2*N5981*O5981,0)</f>
        <v/>
      </c>
      <c r="Z5981" s="12" t="inlineStr">
        <is>
          <t>VD 3.0 %</t>
        </is>
      </c>
      <c r="AA5981" s="12">
        <f>N5981*O5981</f>
        <v/>
      </c>
    </row>
    <row r="5982">
      <c r="A5982" s="12" t="inlineStr">
        <is>
          <t>C-P-0019</t>
        </is>
      </c>
      <c r="B5982" s="12" t="inlineStr">
        <is>
          <t>C</t>
        </is>
      </c>
      <c r="C5982" s="12" t="inlineStr">
        <is>
          <t>Grid interface</t>
        </is>
      </c>
      <c r="D5982" s="12" t="inlineStr">
        <is>
          <t>480 V welding receptacle 4</t>
        </is>
      </c>
      <c r="E5982" s="12" t="inlineStr">
        <is>
          <t>MCC-C1</t>
        </is>
      </c>
      <c r="F5982" s="12" t="inlineStr">
        <is>
          <t>R1 MCC-C1</t>
        </is>
      </c>
      <c r="G5982" s="12" t="inlineStr"/>
      <c r="H5982" s="12" t="inlineStr">
        <is>
          <t xml:space="preserve">CO2 compression 3 x ~19 MW + dehydration: rooftop HVAC, exhaust fans, </t>
        </is>
      </c>
      <c r="I5982" s="12" t="inlineStr">
        <is>
          <t>LV 600 V</t>
        </is>
      </c>
      <c r="J5982" s="12" t="inlineStr">
        <is>
          <t>Type TC-ER 600 V 3/C Cu XHHW-2 + ground, PVC jacket</t>
        </is>
      </c>
      <c r="K5982" s="12" t="inlineStr">
        <is>
          <t>LV|3/C+G|250</t>
        </is>
      </c>
      <c r="L5982" s="12" t="inlineStr">
        <is>
          <t>3/C+G</t>
        </is>
      </c>
      <c r="M5982" s="12" t="inlineStr">
        <is>
          <t>250 kcmil</t>
        </is>
      </c>
      <c r="N5982" s="12" t="n">
        <v>1</v>
      </c>
      <c r="O5982" s="12" t="n">
        <v>1</v>
      </c>
      <c r="P5982" s="12" t="n">
        <v>480</v>
      </c>
      <c r="Q5982" s="12" t="n">
        <v>60</v>
      </c>
      <c r="R5982" s="12" t="n">
        <v>76</v>
      </c>
      <c r="S5982" s="12" t="inlineStr">
        <is>
          <t>Tray</t>
        </is>
      </c>
      <c r="T5982" s="16" t="n">
        <v>1744</v>
      </c>
      <c r="U5982" s="16" t="n">
        <v>161</v>
      </c>
      <c r="V5982" s="16">
        <f>ROUNDUP((T5982+U5982+2*'Read Me'!$B$13)*(1+'Read Me'!$B$12),-1)</f>
        <v/>
      </c>
      <c r="W5982" s="16">
        <f>V5982*N5982*O5982</f>
        <v/>
      </c>
      <c r="X5982" s="12">
        <f>IF(LEFT(I5982,2)="MV",2*N5982*IF(L5982="1/C",O5982,1),0)</f>
        <v/>
      </c>
      <c r="Y5982" s="12">
        <f>IF(OR(LEFT(K5982,4)="LVAX",LEFT(K5982,6)="MV15AX",LEFT(K5982,4)="CTAX",LEFT(K5982,2)="W|"),2*N5982*O5982,0)</f>
        <v/>
      </c>
      <c r="Z5982" s="12" t="inlineStr">
        <is>
          <t>VD 3.0 %</t>
        </is>
      </c>
      <c r="AA5982" s="12">
        <f>N5982*O5982</f>
        <v/>
      </c>
    </row>
    <row r="5983">
      <c r="A5983" s="12" t="inlineStr">
        <is>
          <t>C-P-0020</t>
        </is>
      </c>
      <c r="B5983" s="12" t="inlineStr">
        <is>
          <t>C</t>
        </is>
      </c>
      <c r="C5983" s="12" t="inlineStr">
        <is>
          <t>Grid interface</t>
        </is>
      </c>
      <c r="D5983" s="12" t="inlineStr">
        <is>
          <t>Motor 1 of 2, 250 kW</t>
        </is>
      </c>
      <c r="E5983" s="12" t="inlineStr">
        <is>
          <t>MCC-C1</t>
        </is>
      </c>
      <c r="F5983" s="12" t="inlineStr">
        <is>
          <t>R1 MCC-C1</t>
        </is>
      </c>
      <c r="G5983" s="12" t="inlineStr"/>
      <c r="H5983" s="12" t="inlineStr">
        <is>
          <t>Small-bore piping: instrument air, service water, nitrogen, HRSG drain</t>
        </is>
      </c>
      <c r="I5983" s="12" t="inlineStr">
        <is>
          <t>LV 600 V</t>
        </is>
      </c>
      <c r="J5983" s="12" t="inlineStr">
        <is>
          <t>Type TC-ER 600 V 3/C Cu XHHW-2 + ground, PVC jacket</t>
        </is>
      </c>
      <c r="K5983" s="12" t="inlineStr">
        <is>
          <t>LV|3/C+G|250</t>
        </is>
      </c>
      <c r="L5983" s="12" t="inlineStr">
        <is>
          <t>3/C+G</t>
        </is>
      </c>
      <c r="M5983" s="12" t="inlineStr">
        <is>
          <t>250 kcmil</t>
        </is>
      </c>
      <c r="N5983" s="12" t="n">
        <v>2</v>
      </c>
      <c r="O5983" s="12" t="n">
        <v>1</v>
      </c>
      <c r="P5983" s="12" t="n">
        <v>480</v>
      </c>
      <c r="Q5983" s="12" t="n">
        <v>250</v>
      </c>
      <c r="R5983" s="12" t="n">
        <v>353.8</v>
      </c>
      <c r="S5983" s="12" t="inlineStr">
        <is>
          <t>Tray</t>
        </is>
      </c>
      <c r="T5983" s="16" t="n">
        <v>614</v>
      </c>
      <c r="U5983" s="16" t="n">
        <v>145</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C-P-0021</t>
        </is>
      </c>
      <c r="B5984" s="12" t="inlineStr">
        <is>
          <t>C</t>
        </is>
      </c>
      <c r="C5984" s="12" t="inlineStr">
        <is>
          <t>Grid interface</t>
        </is>
      </c>
      <c r="D5984" s="12" t="inlineStr">
        <is>
          <t>Motor 2 of 2, 250 kW</t>
        </is>
      </c>
      <c r="E5984" s="12" t="inlineStr">
        <is>
          <t>MCC-C1</t>
        </is>
      </c>
      <c r="F5984" s="12" t="inlineStr">
        <is>
          <t>R1 MCC-C1</t>
        </is>
      </c>
      <c r="G5984" s="12" t="inlineStr"/>
      <c r="H5984" s="12" t="inlineStr">
        <is>
          <t>Small-bore piping: instrument air, service water, nitrogen, HRSG drain</t>
        </is>
      </c>
      <c r="I5984" s="12" t="inlineStr">
        <is>
          <t>LV 600 V</t>
        </is>
      </c>
      <c r="J5984" s="12" t="inlineStr">
        <is>
          <t>Type TC-ER 600 V 3/C Cu XHHW-2 + ground, PVC jacket</t>
        </is>
      </c>
      <c r="K5984" s="12" t="inlineStr">
        <is>
          <t>LV|3/C+G|250</t>
        </is>
      </c>
      <c r="L5984" s="12" t="inlineStr">
        <is>
          <t>3/C+G</t>
        </is>
      </c>
      <c r="M5984" s="12" t="inlineStr">
        <is>
          <t>250 kcmil</t>
        </is>
      </c>
      <c r="N5984" s="12" t="n">
        <v>2</v>
      </c>
      <c r="O5984" s="12" t="n">
        <v>1</v>
      </c>
      <c r="P5984" s="12" t="n">
        <v>480</v>
      </c>
      <c r="Q5984" s="12" t="n">
        <v>250</v>
      </c>
      <c r="R5984" s="12" t="n">
        <v>353.8</v>
      </c>
      <c r="S5984" s="12" t="inlineStr">
        <is>
          <t>Tray</t>
        </is>
      </c>
      <c r="T5984" s="16" t="n">
        <v>614</v>
      </c>
      <c r="U5984" s="16" t="n">
        <v>145</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C-P-0022</t>
        </is>
      </c>
      <c r="B5985" s="12" t="inlineStr">
        <is>
          <t>C</t>
        </is>
      </c>
      <c r="C5985" s="12" t="inlineStr">
        <is>
          <t>Grid interface</t>
        </is>
      </c>
      <c r="D5985" s="12" t="inlineStr">
        <is>
          <t>Motor 1 of 8, 15 kW</t>
        </is>
      </c>
      <c r="E5985" s="12" t="inlineStr">
        <is>
          <t>MCC-C1</t>
        </is>
      </c>
      <c r="F5985" s="12" t="inlineStr">
        <is>
          <t>R1 MCC-C1</t>
        </is>
      </c>
      <c r="G5985" s="12" t="inlineStr"/>
      <c r="H5985" s="12" t="inlineStr">
        <is>
          <t>Wastewater treatment: rooftop HVAC, exhaust fans, vents</t>
        </is>
      </c>
      <c r="I5985" s="12" t="inlineStr">
        <is>
          <t>LV 600 V</t>
        </is>
      </c>
      <c r="J5985" s="12" t="inlineStr">
        <is>
          <t>Type TC-ER 600 V 3/C Cu XHHW-2 + ground, PVC jacket</t>
        </is>
      </c>
      <c r="K5985" s="12" t="inlineStr">
        <is>
          <t>LV|3/C+G|1</t>
        </is>
      </c>
      <c r="L5985" s="12" t="inlineStr">
        <is>
          <t>3/C+G</t>
        </is>
      </c>
      <c r="M5985" s="12" t="inlineStr">
        <is>
          <t>1</t>
        </is>
      </c>
      <c r="N5985" s="12" t="n">
        <v>1</v>
      </c>
      <c r="O5985" s="12" t="n">
        <v>1</v>
      </c>
      <c r="P5985" s="12" t="n">
        <v>480</v>
      </c>
      <c r="Q5985" s="12" t="n">
        <v>15</v>
      </c>
      <c r="R5985" s="12" t="n">
        <v>21.2</v>
      </c>
      <c r="S5985" s="12" t="inlineStr">
        <is>
          <t>Duct bank</t>
        </is>
      </c>
      <c r="T5985" s="16" t="n">
        <v>1859</v>
      </c>
      <c r="U5985" s="16" t="n">
        <v>228</v>
      </c>
      <c r="V5985" s="16">
        <f>ROUNDUP((T5985+U5985+2*'Read Me'!$B$13)*(1+'Read Me'!$B$12),-1)</f>
        <v/>
      </c>
      <c r="W5985" s="16">
        <f>V5985*N5985*O5985</f>
        <v/>
      </c>
      <c r="X5985" s="12">
        <f>IF(LEFT(I5985,2)="MV",2*N5985*IF(L5985="1/C",O5985,1),0)</f>
        <v/>
      </c>
      <c r="Y5985" s="12">
        <f>IF(OR(LEFT(K5985,4)="LVAX",LEFT(K5985,6)="MV15AX",LEFT(K5985,4)="CTAX",LEFT(K5985,2)="W|"),2*N5985*O5985,0)</f>
        <v/>
      </c>
      <c r="Z5985" s="12" t="inlineStr">
        <is>
          <t>VD 2.7 %</t>
        </is>
      </c>
      <c r="AA5985" s="12">
        <f>N5985*O5985</f>
        <v/>
      </c>
    </row>
    <row r="5986">
      <c r="A5986" s="12" t="inlineStr">
        <is>
          <t>C-P-0023</t>
        </is>
      </c>
      <c r="B5986" s="12" t="inlineStr">
        <is>
          <t>C</t>
        </is>
      </c>
      <c r="C5986" s="12" t="inlineStr">
        <is>
          <t>Grid interface</t>
        </is>
      </c>
      <c r="D5986" s="12" t="inlineStr">
        <is>
          <t>Motor 2 of 8, 15 kW</t>
        </is>
      </c>
      <c r="E5986" s="12" t="inlineStr">
        <is>
          <t>MCC-C1</t>
        </is>
      </c>
      <c r="F5986" s="12" t="inlineStr">
        <is>
          <t>R1 MCC-C1</t>
        </is>
      </c>
      <c r="G5986" s="12" t="inlineStr"/>
      <c r="H5986" s="12" t="inlineStr">
        <is>
          <t>Wastewater treatment: rooftop HVAC, exhaust fans, vents</t>
        </is>
      </c>
      <c r="I5986" s="12" t="inlineStr">
        <is>
          <t>LV 600 V</t>
        </is>
      </c>
      <c r="J5986" s="12" t="inlineStr">
        <is>
          <t>Type TC-ER 600 V 3/C Cu XHHW-2 + ground, PVC jacket</t>
        </is>
      </c>
      <c r="K5986" s="12" t="inlineStr">
        <is>
          <t>LV|3/C+G|1</t>
        </is>
      </c>
      <c r="L5986" s="12" t="inlineStr">
        <is>
          <t>3/C+G</t>
        </is>
      </c>
      <c r="M5986" s="12" t="inlineStr">
        <is>
          <t>1</t>
        </is>
      </c>
      <c r="N5986" s="12" t="n">
        <v>1</v>
      </c>
      <c r="O5986" s="12" t="n">
        <v>1</v>
      </c>
      <c r="P5986" s="12" t="n">
        <v>480</v>
      </c>
      <c r="Q5986" s="12" t="n">
        <v>15</v>
      </c>
      <c r="R5986" s="12" t="n">
        <v>21.2</v>
      </c>
      <c r="S5986" s="12" t="inlineStr">
        <is>
          <t>Duct bank</t>
        </is>
      </c>
      <c r="T5986" s="16" t="n">
        <v>1859</v>
      </c>
      <c r="U5986" s="16" t="n">
        <v>228</v>
      </c>
      <c r="V5986" s="16">
        <f>ROUNDUP((T5986+U5986+2*'Read Me'!$B$13)*(1+'Read Me'!$B$12),-1)</f>
        <v/>
      </c>
      <c r="W5986" s="16">
        <f>V5986*N5986*O5986</f>
        <v/>
      </c>
      <c r="X5986" s="12">
        <f>IF(LEFT(I5986,2)="MV",2*N5986*IF(L5986="1/C",O5986,1),0)</f>
        <v/>
      </c>
      <c r="Y5986" s="12">
        <f>IF(OR(LEFT(K5986,4)="LVAX",LEFT(K5986,6)="MV15AX",LEFT(K5986,4)="CTAX",LEFT(K5986,2)="W|"),2*N5986*O5986,0)</f>
        <v/>
      </c>
      <c r="Z5986" s="12" t="inlineStr">
        <is>
          <t>VD 2.7 %</t>
        </is>
      </c>
      <c r="AA5986" s="12">
        <f>N5986*O5986</f>
        <v/>
      </c>
    </row>
    <row r="5987">
      <c r="A5987" s="12" t="inlineStr">
        <is>
          <t>C-P-0024</t>
        </is>
      </c>
      <c r="B5987" s="12" t="inlineStr">
        <is>
          <t>C</t>
        </is>
      </c>
      <c r="C5987" s="12" t="inlineStr">
        <is>
          <t>Grid interface</t>
        </is>
      </c>
      <c r="D5987" s="12" t="inlineStr">
        <is>
          <t>Motor 3 of 8, 15 kW</t>
        </is>
      </c>
      <c r="E5987" s="12" t="inlineStr">
        <is>
          <t>MCC-C1</t>
        </is>
      </c>
      <c r="F5987" s="12" t="inlineStr">
        <is>
          <t>R1 MCC-C1</t>
        </is>
      </c>
      <c r="G5987" s="12" t="inlineStr"/>
      <c r="H5987" s="12" t="inlineStr">
        <is>
          <t>Wastewater treatment: rooftop HVAC, exhaust fans, vents</t>
        </is>
      </c>
      <c r="I5987" s="12" t="inlineStr">
        <is>
          <t>LV 600 V</t>
        </is>
      </c>
      <c r="J5987" s="12" t="inlineStr">
        <is>
          <t>Type TC-ER 600 V 3/C Cu XHHW-2 + ground, PVC jacket</t>
        </is>
      </c>
      <c r="K5987" s="12" t="inlineStr">
        <is>
          <t>LV|3/C+G|1</t>
        </is>
      </c>
      <c r="L5987" s="12" t="inlineStr">
        <is>
          <t>3/C+G</t>
        </is>
      </c>
      <c r="M5987" s="12" t="inlineStr">
        <is>
          <t>1</t>
        </is>
      </c>
      <c r="N5987" s="12" t="n">
        <v>1</v>
      </c>
      <c r="O5987" s="12" t="n">
        <v>1</v>
      </c>
      <c r="P5987" s="12" t="n">
        <v>480</v>
      </c>
      <c r="Q5987" s="12" t="n">
        <v>15</v>
      </c>
      <c r="R5987" s="12" t="n">
        <v>21.2</v>
      </c>
      <c r="S5987" s="12" t="inlineStr">
        <is>
          <t>Duct bank</t>
        </is>
      </c>
      <c r="T5987" s="16" t="n">
        <v>1859</v>
      </c>
      <c r="U5987" s="16" t="n">
        <v>228</v>
      </c>
      <c r="V5987" s="16">
        <f>ROUNDUP((T5987+U5987+2*'Read Me'!$B$13)*(1+'Read Me'!$B$12),-1)</f>
        <v/>
      </c>
      <c r="W5987" s="16">
        <f>V5987*N5987*O5987</f>
        <v/>
      </c>
      <c r="X5987" s="12">
        <f>IF(LEFT(I5987,2)="MV",2*N5987*IF(L5987="1/C",O5987,1),0)</f>
        <v/>
      </c>
      <c r="Y5987" s="12">
        <f>IF(OR(LEFT(K5987,4)="LVAX",LEFT(K5987,6)="MV15AX",LEFT(K5987,4)="CTAX",LEFT(K5987,2)="W|"),2*N5987*O5987,0)</f>
        <v/>
      </c>
      <c r="Z5987" s="12" t="inlineStr">
        <is>
          <t>VD 2.7 %</t>
        </is>
      </c>
      <c r="AA5987" s="12">
        <f>N5987*O5987</f>
        <v/>
      </c>
    </row>
    <row r="5988">
      <c r="A5988" s="12" t="inlineStr">
        <is>
          <t>C-P-0025</t>
        </is>
      </c>
      <c r="B5988" s="12" t="inlineStr">
        <is>
          <t>C</t>
        </is>
      </c>
      <c r="C5988" s="12" t="inlineStr">
        <is>
          <t>Grid interface</t>
        </is>
      </c>
      <c r="D5988" s="12" t="inlineStr">
        <is>
          <t>Motor 4 of 8, 15 kW</t>
        </is>
      </c>
      <c r="E5988" s="12" t="inlineStr">
        <is>
          <t>MCC-C1</t>
        </is>
      </c>
      <c r="F5988" s="12" t="inlineStr">
        <is>
          <t>R1 MCC-C1</t>
        </is>
      </c>
      <c r="G5988" s="12" t="inlineStr"/>
      <c r="H5988" s="12" t="inlineStr">
        <is>
          <t>Wastewater treatment: rooftop HVAC, exhaust fans, vents</t>
        </is>
      </c>
      <c r="I5988" s="12" t="inlineStr">
        <is>
          <t>LV 600 V</t>
        </is>
      </c>
      <c r="J5988" s="12" t="inlineStr">
        <is>
          <t>Type TC-ER 600 V 3/C Cu XHHW-2 + ground, PVC jacket</t>
        </is>
      </c>
      <c r="K5988" s="12" t="inlineStr">
        <is>
          <t>LV|3/C+G|1</t>
        </is>
      </c>
      <c r="L5988" s="12" t="inlineStr">
        <is>
          <t>3/C+G</t>
        </is>
      </c>
      <c r="M5988" s="12" t="inlineStr">
        <is>
          <t>1</t>
        </is>
      </c>
      <c r="N5988" s="12" t="n">
        <v>1</v>
      </c>
      <c r="O5988" s="12" t="n">
        <v>1</v>
      </c>
      <c r="P5988" s="12" t="n">
        <v>480</v>
      </c>
      <c r="Q5988" s="12" t="n">
        <v>15</v>
      </c>
      <c r="R5988" s="12" t="n">
        <v>21.2</v>
      </c>
      <c r="S5988" s="12" t="inlineStr">
        <is>
          <t>Duct bank</t>
        </is>
      </c>
      <c r="T5988" s="16" t="n">
        <v>1859</v>
      </c>
      <c r="U5988" s="16" t="n">
        <v>228</v>
      </c>
      <c r="V5988" s="16">
        <f>ROUNDUP((T5988+U5988+2*'Read Me'!$B$13)*(1+'Read Me'!$B$12),-1)</f>
        <v/>
      </c>
      <c r="W5988" s="16">
        <f>V5988*N5988*O5988</f>
        <v/>
      </c>
      <c r="X5988" s="12">
        <f>IF(LEFT(I5988,2)="MV",2*N5988*IF(L5988="1/C",O5988,1),0)</f>
        <v/>
      </c>
      <c r="Y5988" s="12">
        <f>IF(OR(LEFT(K5988,4)="LVAX",LEFT(K5988,6)="MV15AX",LEFT(K5988,4)="CTAX",LEFT(K5988,2)="W|"),2*N5988*O5988,0)</f>
        <v/>
      </c>
      <c r="Z5988" s="12" t="inlineStr">
        <is>
          <t>VD 2.7 %</t>
        </is>
      </c>
      <c r="AA5988" s="12">
        <f>N5988*O5988</f>
        <v/>
      </c>
    </row>
    <row r="5989">
      <c r="A5989" s="12" t="inlineStr">
        <is>
          <t>C-P-0026</t>
        </is>
      </c>
      <c r="B5989" s="12" t="inlineStr">
        <is>
          <t>C</t>
        </is>
      </c>
      <c r="C5989" s="12" t="inlineStr">
        <is>
          <t>Grid interface</t>
        </is>
      </c>
      <c r="D5989" s="12" t="inlineStr">
        <is>
          <t>Motor 5 of 8, 15 kW</t>
        </is>
      </c>
      <c r="E5989" s="12" t="inlineStr">
        <is>
          <t>MCC-C1</t>
        </is>
      </c>
      <c r="F5989" s="12" t="inlineStr">
        <is>
          <t>R1 MCC-C1</t>
        </is>
      </c>
      <c r="G5989" s="12" t="inlineStr"/>
      <c r="H5989" s="12" t="inlineStr">
        <is>
          <t>Wastewater treatment: rooftop HVAC, exhaust fans, vents</t>
        </is>
      </c>
      <c r="I5989" s="12" t="inlineStr">
        <is>
          <t>LV 600 V</t>
        </is>
      </c>
      <c r="J5989" s="12" t="inlineStr">
        <is>
          <t>Type TC-ER 600 V 3/C Cu XHHW-2 + ground, PVC jacket</t>
        </is>
      </c>
      <c r="K5989" s="12" t="inlineStr">
        <is>
          <t>LV|3/C+G|1</t>
        </is>
      </c>
      <c r="L5989" s="12" t="inlineStr">
        <is>
          <t>3/C+G</t>
        </is>
      </c>
      <c r="M5989" s="12" t="inlineStr">
        <is>
          <t>1</t>
        </is>
      </c>
      <c r="N5989" s="12" t="n">
        <v>1</v>
      </c>
      <c r="O5989" s="12" t="n">
        <v>1</v>
      </c>
      <c r="P5989" s="12" t="n">
        <v>480</v>
      </c>
      <c r="Q5989" s="12" t="n">
        <v>15</v>
      </c>
      <c r="R5989" s="12" t="n">
        <v>21.2</v>
      </c>
      <c r="S5989" s="12" t="inlineStr">
        <is>
          <t>Duct bank</t>
        </is>
      </c>
      <c r="T5989" s="16" t="n">
        <v>1859</v>
      </c>
      <c r="U5989" s="16" t="n">
        <v>228</v>
      </c>
      <c r="V5989" s="16">
        <f>ROUNDUP((T5989+U5989+2*'Read Me'!$B$13)*(1+'Read Me'!$B$12),-1)</f>
        <v/>
      </c>
      <c r="W5989" s="16">
        <f>V5989*N5989*O5989</f>
        <v/>
      </c>
      <c r="X5989" s="12">
        <f>IF(LEFT(I5989,2)="MV",2*N5989*IF(L5989="1/C",O5989,1),0)</f>
        <v/>
      </c>
      <c r="Y5989" s="12">
        <f>IF(OR(LEFT(K5989,4)="LVAX",LEFT(K5989,6)="MV15AX",LEFT(K5989,4)="CTAX",LEFT(K5989,2)="W|"),2*N5989*O5989,0)</f>
        <v/>
      </c>
      <c r="Z5989" s="12" t="inlineStr">
        <is>
          <t>VD 2.7 %</t>
        </is>
      </c>
      <c r="AA5989" s="12">
        <f>N5989*O5989</f>
        <v/>
      </c>
    </row>
    <row r="5990">
      <c r="A5990" s="12" t="inlineStr">
        <is>
          <t>C-P-0027</t>
        </is>
      </c>
      <c r="B5990" s="12" t="inlineStr">
        <is>
          <t>C</t>
        </is>
      </c>
      <c r="C5990" s="12" t="inlineStr">
        <is>
          <t>Grid interface</t>
        </is>
      </c>
      <c r="D5990" s="12" t="inlineStr">
        <is>
          <t>Motor 6 of 8, 15 kW</t>
        </is>
      </c>
      <c r="E5990" s="12" t="inlineStr">
        <is>
          <t>MCC-C1</t>
        </is>
      </c>
      <c r="F5990" s="12" t="inlineStr">
        <is>
          <t>R1 MCC-C1</t>
        </is>
      </c>
      <c r="G5990" s="12" t="inlineStr"/>
      <c r="H5990" s="12" t="inlineStr">
        <is>
          <t>Wastewater treatment: rooftop HVAC, exhaust fans, vents</t>
        </is>
      </c>
      <c r="I5990" s="12" t="inlineStr">
        <is>
          <t>LV 600 V</t>
        </is>
      </c>
      <c r="J5990" s="12" t="inlineStr">
        <is>
          <t>Type TC-ER 600 V 3/C Cu XHHW-2 + ground, PVC jacket</t>
        </is>
      </c>
      <c r="K5990" s="12" t="inlineStr">
        <is>
          <t>LV|3/C+G|1</t>
        </is>
      </c>
      <c r="L5990" s="12" t="inlineStr">
        <is>
          <t>3/C+G</t>
        </is>
      </c>
      <c r="M5990" s="12" t="inlineStr">
        <is>
          <t>1</t>
        </is>
      </c>
      <c r="N5990" s="12" t="n">
        <v>1</v>
      </c>
      <c r="O5990" s="12" t="n">
        <v>1</v>
      </c>
      <c r="P5990" s="12" t="n">
        <v>480</v>
      </c>
      <c r="Q5990" s="12" t="n">
        <v>15</v>
      </c>
      <c r="R5990" s="12" t="n">
        <v>21.2</v>
      </c>
      <c r="S5990" s="12" t="inlineStr">
        <is>
          <t>Duct bank</t>
        </is>
      </c>
      <c r="T5990" s="16" t="n">
        <v>1859</v>
      </c>
      <c r="U5990" s="16" t="n">
        <v>228</v>
      </c>
      <c r="V5990" s="16">
        <f>ROUNDUP((T5990+U5990+2*'Read Me'!$B$13)*(1+'Read Me'!$B$12),-1)</f>
        <v/>
      </c>
      <c r="W5990" s="16">
        <f>V5990*N5990*O5990</f>
        <v/>
      </c>
      <c r="X5990" s="12">
        <f>IF(LEFT(I5990,2)="MV",2*N5990*IF(L5990="1/C",O5990,1),0)</f>
        <v/>
      </c>
      <c r="Y5990" s="12">
        <f>IF(OR(LEFT(K5990,4)="LVAX",LEFT(K5990,6)="MV15AX",LEFT(K5990,4)="CTAX",LEFT(K5990,2)="W|"),2*N5990*O5990,0)</f>
        <v/>
      </c>
      <c r="Z5990" s="12" t="inlineStr">
        <is>
          <t>VD 2.7 %</t>
        </is>
      </c>
      <c r="AA5990" s="12">
        <f>N5990*O5990</f>
        <v/>
      </c>
    </row>
    <row r="5991">
      <c r="A5991" s="12" t="inlineStr">
        <is>
          <t>C-P-0028</t>
        </is>
      </c>
      <c r="B5991" s="12" t="inlineStr">
        <is>
          <t>C</t>
        </is>
      </c>
      <c r="C5991" s="12" t="inlineStr">
        <is>
          <t>Grid interface</t>
        </is>
      </c>
      <c r="D5991" s="12" t="inlineStr">
        <is>
          <t>Motor 7 of 8, 15 kW</t>
        </is>
      </c>
      <c r="E5991" s="12" t="inlineStr">
        <is>
          <t>MCC-C1</t>
        </is>
      </c>
      <c r="F5991" s="12" t="inlineStr">
        <is>
          <t>R1 MCC-C1</t>
        </is>
      </c>
      <c r="G5991" s="12" t="inlineStr"/>
      <c r="H5991" s="12" t="inlineStr">
        <is>
          <t>Wastewater treatment: rooftop HVAC, exhaust fans, vents</t>
        </is>
      </c>
      <c r="I5991" s="12" t="inlineStr">
        <is>
          <t>LV 600 V</t>
        </is>
      </c>
      <c r="J5991" s="12" t="inlineStr">
        <is>
          <t>Type TC-ER 600 V 3/C Cu XHHW-2 + ground, PVC jacket</t>
        </is>
      </c>
      <c r="K5991" s="12" t="inlineStr">
        <is>
          <t>LV|3/C+G|1</t>
        </is>
      </c>
      <c r="L5991" s="12" t="inlineStr">
        <is>
          <t>3/C+G</t>
        </is>
      </c>
      <c r="M5991" s="12" t="inlineStr">
        <is>
          <t>1</t>
        </is>
      </c>
      <c r="N5991" s="12" t="n">
        <v>1</v>
      </c>
      <c r="O5991" s="12" t="n">
        <v>1</v>
      </c>
      <c r="P5991" s="12" t="n">
        <v>480</v>
      </c>
      <c r="Q5991" s="12" t="n">
        <v>15</v>
      </c>
      <c r="R5991" s="12" t="n">
        <v>21.2</v>
      </c>
      <c r="S5991" s="12" t="inlineStr">
        <is>
          <t>Duct bank</t>
        </is>
      </c>
      <c r="T5991" s="16" t="n">
        <v>1859</v>
      </c>
      <c r="U5991" s="16" t="n">
        <v>228</v>
      </c>
      <c r="V5991" s="16">
        <f>ROUNDUP((T5991+U5991+2*'Read Me'!$B$13)*(1+'Read Me'!$B$12),-1)</f>
        <v/>
      </c>
      <c r="W5991" s="16">
        <f>V5991*N5991*O5991</f>
        <v/>
      </c>
      <c r="X5991" s="12">
        <f>IF(LEFT(I5991,2)="MV",2*N5991*IF(L5991="1/C",O5991,1),0)</f>
        <v/>
      </c>
      <c r="Y5991" s="12">
        <f>IF(OR(LEFT(K5991,4)="LVAX",LEFT(K5991,6)="MV15AX",LEFT(K5991,4)="CTAX",LEFT(K5991,2)="W|"),2*N5991*O5991,0)</f>
        <v/>
      </c>
      <c r="Z5991" s="12" t="inlineStr">
        <is>
          <t>VD 2.7 %</t>
        </is>
      </c>
      <c r="AA5991" s="12">
        <f>N5991*O5991</f>
        <v/>
      </c>
    </row>
    <row r="5992">
      <c r="A5992" s="12" t="inlineStr">
        <is>
          <t>C-P-0029</t>
        </is>
      </c>
      <c r="B5992" s="12" t="inlineStr">
        <is>
          <t>C</t>
        </is>
      </c>
      <c r="C5992" s="12" t="inlineStr">
        <is>
          <t>Grid interface</t>
        </is>
      </c>
      <c r="D5992" s="12" t="inlineStr">
        <is>
          <t>Motor 8 of 8, 15 kW</t>
        </is>
      </c>
      <c r="E5992" s="12" t="inlineStr">
        <is>
          <t>MCC-C1</t>
        </is>
      </c>
      <c r="F5992" s="12" t="inlineStr">
        <is>
          <t>R1 MCC-C1</t>
        </is>
      </c>
      <c r="G5992" s="12" t="inlineStr"/>
      <c r="H5992" s="12" t="inlineStr">
        <is>
          <t>Wastewater treatment: rooftop HVAC, exhaust fans, vents</t>
        </is>
      </c>
      <c r="I5992" s="12" t="inlineStr">
        <is>
          <t>LV 600 V</t>
        </is>
      </c>
      <c r="J5992" s="12" t="inlineStr">
        <is>
          <t>Type TC-ER 600 V 3/C Cu XHHW-2 + ground, PVC jacket</t>
        </is>
      </c>
      <c r="K5992" s="12" t="inlineStr">
        <is>
          <t>LV|3/C+G|1</t>
        </is>
      </c>
      <c r="L5992" s="12" t="inlineStr">
        <is>
          <t>3/C+G</t>
        </is>
      </c>
      <c r="M5992" s="12" t="inlineStr">
        <is>
          <t>1</t>
        </is>
      </c>
      <c r="N5992" s="12" t="n">
        <v>1</v>
      </c>
      <c r="O5992" s="12" t="n">
        <v>1</v>
      </c>
      <c r="P5992" s="12" t="n">
        <v>480</v>
      </c>
      <c r="Q5992" s="12" t="n">
        <v>15</v>
      </c>
      <c r="R5992" s="12" t="n">
        <v>21.2</v>
      </c>
      <c r="S5992" s="12" t="inlineStr">
        <is>
          <t>Duct bank</t>
        </is>
      </c>
      <c r="T5992" s="16" t="n">
        <v>1859</v>
      </c>
      <c r="U5992" s="16" t="n">
        <v>228</v>
      </c>
      <c r="V5992" s="16">
        <f>ROUNDUP((T5992+U5992+2*'Read Me'!$B$13)*(1+'Read Me'!$B$12),-1)</f>
        <v/>
      </c>
      <c r="W5992" s="16">
        <f>V5992*N5992*O5992</f>
        <v/>
      </c>
      <c r="X5992" s="12">
        <f>IF(LEFT(I5992,2)="MV",2*N5992*IF(L5992="1/C",O5992,1),0)</f>
        <v/>
      </c>
      <c r="Y5992" s="12">
        <f>IF(OR(LEFT(K5992,4)="LVAX",LEFT(K5992,6)="MV15AX",LEFT(K5992,4)="CTAX",LEFT(K5992,2)="W|"),2*N5992*O5992,0)</f>
        <v/>
      </c>
      <c r="Z5992" s="12" t="inlineStr">
        <is>
          <t>VD 2.7 %</t>
        </is>
      </c>
      <c r="AA5992" s="12">
        <f>N5992*O5992</f>
        <v/>
      </c>
    </row>
    <row r="5993">
      <c r="A5993" s="12" t="inlineStr">
        <is>
          <t>C-P-0030</t>
        </is>
      </c>
      <c r="B5993" s="12" t="inlineStr">
        <is>
          <t>C</t>
        </is>
      </c>
      <c r="C5993" s="12" t="inlineStr">
        <is>
          <t>Grid interface</t>
        </is>
      </c>
      <c r="D5993" s="12" t="inlineStr">
        <is>
          <t>Motor 1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C-P-0031</t>
        </is>
      </c>
      <c r="B5994" s="12" t="inlineStr">
        <is>
          <t>C</t>
        </is>
      </c>
      <c r="C5994" s="12" t="inlineStr">
        <is>
          <t>Grid interface</t>
        </is>
      </c>
      <c r="D5994" s="12" t="inlineStr">
        <is>
          <t>Motor 2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C-P-0032</t>
        </is>
      </c>
      <c r="B5995" s="12" t="inlineStr">
        <is>
          <t>C</t>
        </is>
      </c>
      <c r="C5995" s="12" t="inlineStr">
        <is>
          <t>Grid interface</t>
        </is>
      </c>
      <c r="D5995" s="12" t="inlineStr">
        <is>
          <t>Motor 3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C-P-0033</t>
        </is>
      </c>
      <c r="B5996" s="12" t="inlineStr">
        <is>
          <t>C</t>
        </is>
      </c>
      <c r="C5996" s="12" t="inlineStr">
        <is>
          <t>Grid interface</t>
        </is>
      </c>
      <c r="D5996" s="12" t="inlineStr">
        <is>
          <t>Motor 4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C-P-0034</t>
        </is>
      </c>
      <c r="B5997" s="12" t="inlineStr">
        <is>
          <t>C</t>
        </is>
      </c>
      <c r="C5997" s="12" t="inlineStr">
        <is>
          <t>Grid interface</t>
        </is>
      </c>
      <c r="D5997" s="12" t="inlineStr">
        <is>
          <t>Motor 5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C-P-0035</t>
        </is>
      </c>
      <c r="B5998" s="12" t="inlineStr">
        <is>
          <t>C</t>
        </is>
      </c>
      <c r="C5998" s="12" t="inlineStr">
        <is>
          <t>Grid interface</t>
        </is>
      </c>
      <c r="D5998" s="12" t="inlineStr">
        <is>
          <t>Motor 6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C-P-0036</t>
        </is>
      </c>
      <c r="B5999" s="12" t="inlineStr">
        <is>
          <t>C</t>
        </is>
      </c>
      <c r="C5999" s="12" t="inlineStr">
        <is>
          <t>Grid interface</t>
        </is>
      </c>
      <c r="D5999" s="12" t="inlineStr">
        <is>
          <t>Motor 7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C-P-0037</t>
        </is>
      </c>
      <c r="B6000" s="12" t="inlineStr">
        <is>
          <t>C</t>
        </is>
      </c>
      <c r="C6000" s="12" t="inlineStr">
        <is>
          <t>Grid interface</t>
        </is>
      </c>
      <c r="D6000" s="12" t="inlineStr">
        <is>
          <t>Motor 8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C-P-0038</t>
        </is>
      </c>
      <c r="B6001" s="12" t="inlineStr">
        <is>
          <t>C</t>
        </is>
      </c>
      <c r="C6001" s="12" t="inlineStr">
        <is>
          <t>Grid interface</t>
        </is>
      </c>
      <c r="D6001" s="12" t="inlineStr">
        <is>
          <t>Motor 9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C-P-0039</t>
        </is>
      </c>
      <c r="B6002" s="12" t="inlineStr">
        <is>
          <t>C</t>
        </is>
      </c>
      <c r="C6002" s="12" t="inlineStr">
        <is>
          <t>Grid interface</t>
        </is>
      </c>
      <c r="D6002" s="12" t="inlineStr">
        <is>
          <t>Motor 10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C-P-0040</t>
        </is>
      </c>
      <c r="B6003" s="12" t="inlineStr">
        <is>
          <t>C</t>
        </is>
      </c>
      <c r="C6003" s="12" t="inlineStr">
        <is>
          <t>Grid interface</t>
        </is>
      </c>
      <c r="D6003" s="12" t="inlineStr">
        <is>
          <t>Motor 11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C-P-0041</t>
        </is>
      </c>
      <c r="B6004" s="12" t="inlineStr">
        <is>
          <t>C</t>
        </is>
      </c>
      <c r="C6004" s="12" t="inlineStr">
        <is>
          <t>Grid interface</t>
        </is>
      </c>
      <c r="D6004" s="12" t="inlineStr">
        <is>
          <t>Motor 12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row r="6005">
      <c r="A6005" s="12" t="inlineStr">
        <is>
          <t>C-P-0042</t>
        </is>
      </c>
      <c r="B6005" s="12" t="inlineStr">
        <is>
          <t>C</t>
        </is>
      </c>
      <c r="C6005" s="12" t="inlineStr">
        <is>
          <t>Grid interface</t>
        </is>
      </c>
      <c r="D6005" s="12" t="inlineStr">
        <is>
          <t>Motor 13 of 20, 15 kW</t>
        </is>
      </c>
      <c r="E6005" s="12" t="inlineStr">
        <is>
          <t>MCC-C1</t>
        </is>
      </c>
      <c r="F6005" s="12" t="inlineStr">
        <is>
          <t>R1 MCC-C1</t>
        </is>
      </c>
      <c r="G6005" s="12" t="inlineStr"/>
      <c r="H6005" s="12" t="inlineStr">
        <is>
          <t>Water treatment building: rooftop HVAC, exhaust fans, vents</t>
        </is>
      </c>
      <c r="I6005" s="12" t="inlineStr">
        <is>
          <t>LV 600 V</t>
        </is>
      </c>
      <c r="J6005" s="12" t="inlineStr">
        <is>
          <t>Type TC-ER 600 V 3/C Cu XHHW-2 + ground, PVC jacket</t>
        </is>
      </c>
      <c r="K6005" s="12" t="inlineStr">
        <is>
          <t>LV|3/C+G|2</t>
        </is>
      </c>
      <c r="L6005" s="12" t="inlineStr">
        <is>
          <t>3/C+G</t>
        </is>
      </c>
      <c r="M6005" s="12" t="inlineStr">
        <is>
          <t>2</t>
        </is>
      </c>
      <c r="N6005" s="12" t="n">
        <v>1</v>
      </c>
      <c r="O6005" s="12" t="n">
        <v>1</v>
      </c>
      <c r="P6005" s="12" t="n">
        <v>480</v>
      </c>
      <c r="Q6005" s="12" t="n">
        <v>15</v>
      </c>
      <c r="R6005" s="12" t="n">
        <v>21.2</v>
      </c>
      <c r="S6005" s="12" t="inlineStr">
        <is>
          <t>Duct bank</t>
        </is>
      </c>
      <c r="T6005" s="16" t="n">
        <v>1629</v>
      </c>
      <c r="U6005" s="16" t="n">
        <v>161</v>
      </c>
      <c r="V6005" s="16">
        <f>ROUNDUP((T6005+U6005+2*'Read Me'!$B$13)*(1+'Read Me'!$B$12),-1)</f>
        <v/>
      </c>
      <c r="W6005" s="16">
        <f>V6005*N6005*O6005</f>
        <v/>
      </c>
      <c r="X6005" s="12">
        <f>IF(LEFT(I6005,2)="MV",2*N6005*IF(L6005="1/C",O6005,1),0)</f>
        <v/>
      </c>
      <c r="Y6005" s="12">
        <f>IF(OR(LEFT(K6005,4)="LVAX",LEFT(K6005,6)="MV15AX",LEFT(K6005,4)="CTAX",LEFT(K6005,2)="W|"),2*N6005*O6005,0)</f>
        <v/>
      </c>
      <c r="Z6005" s="12" t="inlineStr">
        <is>
          <t>VD 2.9 %</t>
        </is>
      </c>
      <c r="AA6005" s="12">
        <f>N6005*O6005</f>
        <v/>
      </c>
    </row>
    <row r="6006">
      <c r="A6006" s="12" t="inlineStr">
        <is>
          <t>C-P-0043</t>
        </is>
      </c>
      <c r="B6006" s="12" t="inlineStr">
        <is>
          <t>C</t>
        </is>
      </c>
      <c r="C6006" s="12" t="inlineStr">
        <is>
          <t>Grid interface</t>
        </is>
      </c>
      <c r="D6006" s="12" t="inlineStr">
        <is>
          <t>Motor 14 of 20, 15 kW</t>
        </is>
      </c>
      <c r="E6006" s="12" t="inlineStr">
        <is>
          <t>MCC-C1</t>
        </is>
      </c>
      <c r="F6006" s="12" t="inlineStr">
        <is>
          <t>R1 MCC-C1</t>
        </is>
      </c>
      <c r="G6006" s="12" t="inlineStr"/>
      <c r="H6006" s="12" t="inlineStr">
        <is>
          <t>Water treatment building: rooftop HVAC, exhaust fans, vents</t>
        </is>
      </c>
      <c r="I6006" s="12" t="inlineStr">
        <is>
          <t>LV 600 V</t>
        </is>
      </c>
      <c r="J6006" s="12" t="inlineStr">
        <is>
          <t>Type TC-ER 600 V 3/C Cu XHHW-2 + ground, PVC jacket</t>
        </is>
      </c>
      <c r="K6006" s="12" t="inlineStr">
        <is>
          <t>LV|3/C+G|2</t>
        </is>
      </c>
      <c r="L6006" s="12" t="inlineStr">
        <is>
          <t>3/C+G</t>
        </is>
      </c>
      <c r="M6006" s="12" t="inlineStr">
        <is>
          <t>2</t>
        </is>
      </c>
      <c r="N6006" s="12" t="n">
        <v>1</v>
      </c>
      <c r="O6006" s="12" t="n">
        <v>1</v>
      </c>
      <c r="P6006" s="12" t="n">
        <v>480</v>
      </c>
      <c r="Q6006" s="12" t="n">
        <v>15</v>
      </c>
      <c r="R6006" s="12" t="n">
        <v>21.2</v>
      </c>
      <c r="S6006" s="12" t="inlineStr">
        <is>
          <t>Duct bank</t>
        </is>
      </c>
      <c r="T6006" s="16" t="n">
        <v>1629</v>
      </c>
      <c r="U6006" s="16" t="n">
        <v>161</v>
      </c>
      <c r="V6006" s="16">
        <f>ROUNDUP((T6006+U6006+2*'Read Me'!$B$13)*(1+'Read Me'!$B$12),-1)</f>
        <v/>
      </c>
      <c r="W6006" s="16">
        <f>V6006*N6006*O6006</f>
        <v/>
      </c>
      <c r="X6006" s="12">
        <f>IF(LEFT(I6006,2)="MV",2*N6006*IF(L6006="1/C",O6006,1),0)</f>
        <v/>
      </c>
      <c r="Y6006" s="12">
        <f>IF(OR(LEFT(K6006,4)="LVAX",LEFT(K6006,6)="MV15AX",LEFT(K6006,4)="CTAX",LEFT(K6006,2)="W|"),2*N6006*O6006,0)</f>
        <v/>
      </c>
      <c r="Z6006" s="12" t="inlineStr">
        <is>
          <t>VD 2.9 %</t>
        </is>
      </c>
      <c r="AA6006" s="12">
        <f>N6006*O6006</f>
        <v/>
      </c>
    </row>
    <row r="6007">
      <c r="A6007" s="12" t="inlineStr">
        <is>
          <t>C-P-0044</t>
        </is>
      </c>
      <c r="B6007" s="12" t="inlineStr">
        <is>
          <t>C</t>
        </is>
      </c>
      <c r="C6007" s="12" t="inlineStr">
        <is>
          <t>Grid interface</t>
        </is>
      </c>
      <c r="D6007" s="12" t="inlineStr">
        <is>
          <t>Motor 15 of 20, 15 kW</t>
        </is>
      </c>
      <c r="E6007" s="12" t="inlineStr">
        <is>
          <t>MCC-C1</t>
        </is>
      </c>
      <c r="F6007" s="12" t="inlineStr">
        <is>
          <t>R1 MCC-C1</t>
        </is>
      </c>
      <c r="G6007" s="12" t="inlineStr"/>
      <c r="H6007" s="12" t="inlineStr">
        <is>
          <t>Water treatment building: rooftop HVAC, exhaust fans, vents</t>
        </is>
      </c>
      <c r="I6007" s="12" t="inlineStr">
        <is>
          <t>LV 600 V</t>
        </is>
      </c>
      <c r="J6007" s="12" t="inlineStr">
        <is>
          <t>Type TC-ER 600 V 3/C Cu XHHW-2 + ground, PVC jacket</t>
        </is>
      </c>
      <c r="K6007" s="12" t="inlineStr">
        <is>
          <t>LV|3/C+G|2</t>
        </is>
      </c>
      <c r="L6007" s="12" t="inlineStr">
        <is>
          <t>3/C+G</t>
        </is>
      </c>
      <c r="M6007" s="12" t="inlineStr">
        <is>
          <t>2</t>
        </is>
      </c>
      <c r="N6007" s="12" t="n">
        <v>1</v>
      </c>
      <c r="O6007" s="12" t="n">
        <v>1</v>
      </c>
      <c r="P6007" s="12" t="n">
        <v>480</v>
      </c>
      <c r="Q6007" s="12" t="n">
        <v>15</v>
      </c>
      <c r="R6007" s="12" t="n">
        <v>21.2</v>
      </c>
      <c r="S6007" s="12" t="inlineStr">
        <is>
          <t>Duct bank</t>
        </is>
      </c>
      <c r="T6007" s="16" t="n">
        <v>1629</v>
      </c>
      <c r="U6007" s="16" t="n">
        <v>161</v>
      </c>
      <c r="V6007" s="16">
        <f>ROUNDUP((T6007+U6007+2*'Read Me'!$B$13)*(1+'Read Me'!$B$12),-1)</f>
        <v/>
      </c>
      <c r="W6007" s="16">
        <f>V6007*N6007*O6007</f>
        <v/>
      </c>
      <c r="X6007" s="12">
        <f>IF(LEFT(I6007,2)="MV",2*N6007*IF(L6007="1/C",O6007,1),0)</f>
        <v/>
      </c>
      <c r="Y6007" s="12">
        <f>IF(OR(LEFT(K6007,4)="LVAX",LEFT(K6007,6)="MV15AX",LEFT(K6007,4)="CTAX",LEFT(K6007,2)="W|"),2*N6007*O6007,0)</f>
        <v/>
      </c>
      <c r="Z6007" s="12" t="inlineStr">
        <is>
          <t>VD 2.9 %</t>
        </is>
      </c>
      <c r="AA6007" s="12">
        <f>N6007*O6007</f>
        <v/>
      </c>
    </row>
    <row r="6008">
      <c r="A6008" s="12" t="inlineStr">
        <is>
          <t>C-P-0045</t>
        </is>
      </c>
      <c r="B6008" s="12" t="inlineStr">
        <is>
          <t>C</t>
        </is>
      </c>
      <c r="C6008" s="12" t="inlineStr">
        <is>
          <t>Grid interface</t>
        </is>
      </c>
      <c r="D6008" s="12" t="inlineStr">
        <is>
          <t>Motor 16 of 20, 15 kW</t>
        </is>
      </c>
      <c r="E6008" s="12" t="inlineStr">
        <is>
          <t>MCC-C1</t>
        </is>
      </c>
      <c r="F6008" s="12" t="inlineStr">
        <is>
          <t>R1 MCC-C1</t>
        </is>
      </c>
      <c r="G6008" s="12" t="inlineStr"/>
      <c r="H6008" s="12" t="inlineStr">
        <is>
          <t>Water treatment building: rooftop HVAC, exhaust fans, vents</t>
        </is>
      </c>
      <c r="I6008" s="12" t="inlineStr">
        <is>
          <t>LV 600 V</t>
        </is>
      </c>
      <c r="J6008" s="12" t="inlineStr">
        <is>
          <t>Type TC-ER 600 V 3/C Cu XHHW-2 + ground, PVC jacket</t>
        </is>
      </c>
      <c r="K6008" s="12" t="inlineStr">
        <is>
          <t>LV|3/C+G|2</t>
        </is>
      </c>
      <c r="L6008" s="12" t="inlineStr">
        <is>
          <t>3/C+G</t>
        </is>
      </c>
      <c r="M6008" s="12" t="inlineStr">
        <is>
          <t>2</t>
        </is>
      </c>
      <c r="N6008" s="12" t="n">
        <v>1</v>
      </c>
      <c r="O6008" s="12" t="n">
        <v>1</v>
      </c>
      <c r="P6008" s="12" t="n">
        <v>480</v>
      </c>
      <c r="Q6008" s="12" t="n">
        <v>15</v>
      </c>
      <c r="R6008" s="12" t="n">
        <v>21.2</v>
      </c>
      <c r="S6008" s="12" t="inlineStr">
        <is>
          <t>Duct bank</t>
        </is>
      </c>
      <c r="T6008" s="16" t="n">
        <v>1629</v>
      </c>
      <c r="U6008" s="16" t="n">
        <v>161</v>
      </c>
      <c r="V6008" s="16">
        <f>ROUNDUP((T6008+U6008+2*'Read Me'!$B$13)*(1+'Read Me'!$B$12),-1)</f>
        <v/>
      </c>
      <c r="W6008" s="16">
        <f>V6008*N6008*O6008</f>
        <v/>
      </c>
      <c r="X6008" s="12">
        <f>IF(LEFT(I6008,2)="MV",2*N6008*IF(L6008="1/C",O6008,1),0)</f>
        <v/>
      </c>
      <c r="Y6008" s="12">
        <f>IF(OR(LEFT(K6008,4)="LVAX",LEFT(K6008,6)="MV15AX",LEFT(K6008,4)="CTAX",LEFT(K6008,2)="W|"),2*N6008*O6008,0)</f>
        <v/>
      </c>
      <c r="Z6008" s="12" t="inlineStr">
        <is>
          <t>VD 2.9 %</t>
        </is>
      </c>
      <c r="AA6008" s="12">
        <f>N6008*O6008</f>
        <v/>
      </c>
    </row>
    <row r="6009">
      <c r="A6009" s="12" t="inlineStr">
        <is>
          <t>C-P-0046</t>
        </is>
      </c>
      <c r="B6009" s="12" t="inlineStr">
        <is>
          <t>C</t>
        </is>
      </c>
      <c r="C6009" s="12" t="inlineStr">
        <is>
          <t>Grid interface</t>
        </is>
      </c>
      <c r="D6009" s="12" t="inlineStr">
        <is>
          <t>Motor 17 of 20, 15 kW</t>
        </is>
      </c>
      <c r="E6009" s="12" t="inlineStr">
        <is>
          <t>MCC-C1</t>
        </is>
      </c>
      <c r="F6009" s="12" t="inlineStr">
        <is>
          <t>R1 MCC-C1</t>
        </is>
      </c>
      <c r="G6009" s="12" t="inlineStr"/>
      <c r="H6009" s="12" t="inlineStr">
        <is>
          <t>Water treatment building: rooftop HVAC, exhaust fans, vents</t>
        </is>
      </c>
      <c r="I6009" s="12" t="inlineStr">
        <is>
          <t>LV 600 V</t>
        </is>
      </c>
      <c r="J6009" s="12" t="inlineStr">
        <is>
          <t>Type TC-ER 600 V 3/C Cu XHHW-2 + ground, PVC jacket</t>
        </is>
      </c>
      <c r="K6009" s="12" t="inlineStr">
        <is>
          <t>LV|3/C+G|2</t>
        </is>
      </c>
      <c r="L6009" s="12" t="inlineStr">
        <is>
          <t>3/C+G</t>
        </is>
      </c>
      <c r="M6009" s="12" t="inlineStr">
        <is>
          <t>2</t>
        </is>
      </c>
      <c r="N6009" s="12" t="n">
        <v>1</v>
      </c>
      <c r="O6009" s="12" t="n">
        <v>1</v>
      </c>
      <c r="P6009" s="12" t="n">
        <v>480</v>
      </c>
      <c r="Q6009" s="12" t="n">
        <v>15</v>
      </c>
      <c r="R6009" s="12" t="n">
        <v>21.2</v>
      </c>
      <c r="S6009" s="12" t="inlineStr">
        <is>
          <t>Duct bank</t>
        </is>
      </c>
      <c r="T6009" s="16" t="n">
        <v>1629</v>
      </c>
      <c r="U6009" s="16" t="n">
        <v>161</v>
      </c>
      <c r="V6009" s="16">
        <f>ROUNDUP((T6009+U6009+2*'Read Me'!$B$13)*(1+'Read Me'!$B$12),-1)</f>
        <v/>
      </c>
      <c r="W6009" s="16">
        <f>V6009*N6009*O6009</f>
        <v/>
      </c>
      <c r="X6009" s="12">
        <f>IF(LEFT(I6009,2)="MV",2*N6009*IF(L6009="1/C",O6009,1),0)</f>
        <v/>
      </c>
      <c r="Y6009" s="12">
        <f>IF(OR(LEFT(K6009,4)="LVAX",LEFT(K6009,6)="MV15AX",LEFT(K6009,4)="CTAX",LEFT(K6009,2)="W|"),2*N6009*O6009,0)</f>
        <v/>
      </c>
      <c r="Z6009" s="12" t="inlineStr">
        <is>
          <t>VD 2.9 %</t>
        </is>
      </c>
      <c r="AA6009" s="12">
        <f>N6009*O6009</f>
        <v/>
      </c>
    </row>
    <row r="6010">
      <c r="A6010" s="12" t="inlineStr">
        <is>
          <t>C-P-0047</t>
        </is>
      </c>
      <c r="B6010" s="12" t="inlineStr">
        <is>
          <t>C</t>
        </is>
      </c>
      <c r="C6010" s="12" t="inlineStr">
        <is>
          <t>Grid interface</t>
        </is>
      </c>
      <c r="D6010" s="12" t="inlineStr">
        <is>
          <t>Motor 18 of 20, 15 kW</t>
        </is>
      </c>
      <c r="E6010" s="12" t="inlineStr">
        <is>
          <t>MCC-C1</t>
        </is>
      </c>
      <c r="F6010" s="12" t="inlineStr">
        <is>
          <t>R1 MCC-C1</t>
        </is>
      </c>
      <c r="G6010" s="12" t="inlineStr"/>
      <c r="H6010" s="12" t="inlineStr">
        <is>
          <t>Water treatment building: rooftop HVAC, exhaust fans, vents</t>
        </is>
      </c>
      <c r="I6010" s="12" t="inlineStr">
        <is>
          <t>LV 600 V</t>
        </is>
      </c>
      <c r="J6010" s="12" t="inlineStr">
        <is>
          <t>Type TC-ER 600 V 3/C Cu XHHW-2 + ground, PVC jacket</t>
        </is>
      </c>
      <c r="K6010" s="12" t="inlineStr">
        <is>
          <t>LV|3/C+G|2</t>
        </is>
      </c>
      <c r="L6010" s="12" t="inlineStr">
        <is>
          <t>3/C+G</t>
        </is>
      </c>
      <c r="M6010" s="12" t="inlineStr">
        <is>
          <t>2</t>
        </is>
      </c>
      <c r="N6010" s="12" t="n">
        <v>1</v>
      </c>
      <c r="O6010" s="12" t="n">
        <v>1</v>
      </c>
      <c r="P6010" s="12" t="n">
        <v>480</v>
      </c>
      <c r="Q6010" s="12" t="n">
        <v>15</v>
      </c>
      <c r="R6010" s="12" t="n">
        <v>21.2</v>
      </c>
      <c r="S6010" s="12" t="inlineStr">
        <is>
          <t>Duct bank</t>
        </is>
      </c>
      <c r="T6010" s="16" t="n">
        <v>1629</v>
      </c>
      <c r="U6010" s="16" t="n">
        <v>161</v>
      </c>
      <c r="V6010" s="16">
        <f>ROUNDUP((T6010+U6010+2*'Read Me'!$B$13)*(1+'Read Me'!$B$12),-1)</f>
        <v/>
      </c>
      <c r="W6010" s="16">
        <f>V6010*N6010*O6010</f>
        <v/>
      </c>
      <c r="X6010" s="12">
        <f>IF(LEFT(I6010,2)="MV",2*N6010*IF(L6010="1/C",O6010,1),0)</f>
        <v/>
      </c>
      <c r="Y6010" s="12">
        <f>IF(OR(LEFT(K6010,4)="LVAX",LEFT(K6010,6)="MV15AX",LEFT(K6010,4)="CTAX",LEFT(K6010,2)="W|"),2*N6010*O6010,0)</f>
        <v/>
      </c>
      <c r="Z6010" s="12" t="inlineStr">
        <is>
          <t>VD 2.9 %</t>
        </is>
      </c>
      <c r="AA6010" s="12">
        <f>N6010*O6010</f>
        <v/>
      </c>
    </row>
    <row r="6011">
      <c r="A6011" s="12" t="inlineStr">
        <is>
          <t>C-P-0048</t>
        </is>
      </c>
      <c r="B6011" s="12" t="inlineStr">
        <is>
          <t>C</t>
        </is>
      </c>
      <c r="C6011" s="12" t="inlineStr">
        <is>
          <t>Grid interface</t>
        </is>
      </c>
      <c r="D6011" s="12" t="inlineStr">
        <is>
          <t>Motor 19 of 20, 15 kW</t>
        </is>
      </c>
      <c r="E6011" s="12" t="inlineStr">
        <is>
          <t>MCC-C1</t>
        </is>
      </c>
      <c r="F6011" s="12" t="inlineStr">
        <is>
          <t>R1 MCC-C1</t>
        </is>
      </c>
      <c r="G6011" s="12" t="inlineStr"/>
      <c r="H6011" s="12" t="inlineStr">
        <is>
          <t>Water treatment building: rooftop HVAC, exhaust fans, vents</t>
        </is>
      </c>
      <c r="I6011" s="12" t="inlineStr">
        <is>
          <t>LV 600 V</t>
        </is>
      </c>
      <c r="J6011" s="12" t="inlineStr">
        <is>
          <t>Type TC-ER 600 V 3/C Cu XHHW-2 + ground, PVC jacket</t>
        </is>
      </c>
      <c r="K6011" s="12" t="inlineStr">
        <is>
          <t>LV|3/C+G|2</t>
        </is>
      </c>
      <c r="L6011" s="12" t="inlineStr">
        <is>
          <t>3/C+G</t>
        </is>
      </c>
      <c r="M6011" s="12" t="inlineStr">
        <is>
          <t>2</t>
        </is>
      </c>
      <c r="N6011" s="12" t="n">
        <v>1</v>
      </c>
      <c r="O6011" s="12" t="n">
        <v>1</v>
      </c>
      <c r="P6011" s="12" t="n">
        <v>480</v>
      </c>
      <c r="Q6011" s="12" t="n">
        <v>15</v>
      </c>
      <c r="R6011" s="12" t="n">
        <v>21.2</v>
      </c>
      <c r="S6011" s="12" t="inlineStr">
        <is>
          <t>Duct bank</t>
        </is>
      </c>
      <c r="T6011" s="16" t="n">
        <v>1629</v>
      </c>
      <c r="U6011" s="16" t="n">
        <v>161</v>
      </c>
      <c r="V6011" s="16">
        <f>ROUNDUP((T6011+U6011+2*'Read Me'!$B$13)*(1+'Read Me'!$B$12),-1)</f>
        <v/>
      </c>
      <c r="W6011" s="16">
        <f>V6011*N6011*O6011</f>
        <v/>
      </c>
      <c r="X6011" s="12">
        <f>IF(LEFT(I6011,2)="MV",2*N6011*IF(L6011="1/C",O6011,1),0)</f>
        <v/>
      </c>
      <c r="Y6011" s="12">
        <f>IF(OR(LEFT(K6011,4)="LVAX",LEFT(K6011,6)="MV15AX",LEFT(K6011,4)="CTAX",LEFT(K6011,2)="W|"),2*N6011*O6011,0)</f>
        <v/>
      </c>
      <c r="Z6011" s="12" t="inlineStr">
        <is>
          <t>VD 2.9 %</t>
        </is>
      </c>
      <c r="AA6011" s="12">
        <f>N6011*O6011</f>
        <v/>
      </c>
    </row>
    <row r="6012">
      <c r="A6012" s="12" t="inlineStr">
        <is>
          <t>C-P-0049</t>
        </is>
      </c>
      <c r="B6012" s="12" t="inlineStr">
        <is>
          <t>C</t>
        </is>
      </c>
      <c r="C6012" s="12" t="inlineStr">
        <is>
          <t>Grid interface</t>
        </is>
      </c>
      <c r="D6012" s="12" t="inlineStr">
        <is>
          <t>Motor 20 of 20, 15 kW</t>
        </is>
      </c>
      <c r="E6012" s="12" t="inlineStr">
        <is>
          <t>MCC-C1</t>
        </is>
      </c>
      <c r="F6012" s="12" t="inlineStr">
        <is>
          <t>R1 MCC-C1</t>
        </is>
      </c>
      <c r="G6012" s="12" t="inlineStr"/>
      <c r="H6012" s="12" t="inlineStr">
        <is>
          <t>Water treatment building: rooftop HVAC, exhaust fans, vents</t>
        </is>
      </c>
      <c r="I6012" s="12" t="inlineStr">
        <is>
          <t>LV 600 V</t>
        </is>
      </c>
      <c r="J6012" s="12" t="inlineStr">
        <is>
          <t>Type TC-ER 600 V 3/C Cu XHHW-2 + ground, PVC jacket</t>
        </is>
      </c>
      <c r="K6012" s="12" t="inlineStr">
        <is>
          <t>LV|3/C+G|2</t>
        </is>
      </c>
      <c r="L6012" s="12" t="inlineStr">
        <is>
          <t>3/C+G</t>
        </is>
      </c>
      <c r="M6012" s="12" t="inlineStr">
        <is>
          <t>2</t>
        </is>
      </c>
      <c r="N6012" s="12" t="n">
        <v>1</v>
      </c>
      <c r="O6012" s="12" t="n">
        <v>1</v>
      </c>
      <c r="P6012" s="12" t="n">
        <v>480</v>
      </c>
      <c r="Q6012" s="12" t="n">
        <v>15</v>
      </c>
      <c r="R6012" s="12" t="n">
        <v>21.2</v>
      </c>
      <c r="S6012" s="12" t="inlineStr">
        <is>
          <t>Duct bank</t>
        </is>
      </c>
      <c r="T6012" s="16" t="n">
        <v>1629</v>
      </c>
      <c r="U6012" s="16" t="n">
        <v>161</v>
      </c>
      <c r="V6012" s="16">
        <f>ROUNDUP((T6012+U6012+2*'Read Me'!$B$13)*(1+'Read Me'!$B$12),-1)</f>
        <v/>
      </c>
      <c r="W6012" s="16">
        <f>V6012*N6012*O6012</f>
        <v/>
      </c>
      <c r="X6012" s="12">
        <f>IF(LEFT(I6012,2)="MV",2*N6012*IF(L6012="1/C",O6012,1),0)</f>
        <v/>
      </c>
      <c r="Y6012" s="12">
        <f>IF(OR(LEFT(K6012,4)="LVAX",LEFT(K6012,6)="MV15AX",LEFT(K6012,4)="CTAX",LEFT(K6012,2)="W|"),2*N6012*O6012,0)</f>
        <v/>
      </c>
      <c r="Z6012" s="12" t="inlineStr">
        <is>
          <t>VD 2.9 %</t>
        </is>
      </c>
      <c r="AA6012" s="12">
        <f>N6012*O6012</f>
        <v/>
      </c>
    </row>
  </sheetData>
  <autoFilter ref="A1:AA60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Schedule'!$AA$2:$AA$6012,'Cable Schedule'!$K$2:$K$6012,A2)</f>
        <v/>
      </c>
      <c r="G2" s="18">
        <f>SUMIFS('Cable Schedule'!$W$2:$W$6012,'Cable Schedule'!$K$2:$K$6012,A2)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Schedule'!$AA$2:$AA$6012,'Cable Schedule'!$K$2:$K$6012,A3)</f>
        <v/>
      </c>
      <c r="G3" s="18">
        <f>SUMIFS('Cable Schedule'!$W$2:$W$6012,'Cable Schedule'!$K$2:$K$6012,A3)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Schedule'!$AA$2:$AA$6012,'Cable Schedule'!$K$2:$K$6012,A4)</f>
        <v/>
      </c>
      <c r="G4" s="18">
        <f>SUMIFS('Cable Schedule'!$W$2:$W$6012,'Cable Schedule'!$K$2:$K$6012,A4)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Schedule'!$AA$2:$AA$6012,'Cable Schedule'!$K$2:$K$6012,A5)</f>
        <v/>
      </c>
      <c r="G5" s="18">
        <f>SUMIFS('Cable Schedule'!$W$2:$W$6012,'Cable Schedule'!$K$2:$K$6012,A5)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Schedule'!$AA$2:$AA$6012,'Cable Schedule'!$K$2:$K$6012,A6)</f>
        <v/>
      </c>
      <c r="G6" s="18">
        <f>SUMIFS('Cable Schedule'!$W$2:$W$6012,'Cable Schedule'!$K$2:$K$6012,A6)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Schedule'!$AA$2:$AA$6012,'Cable Schedule'!$K$2:$K$6012,A7)</f>
        <v/>
      </c>
      <c r="G7" s="18">
        <f>SUMIFS('Cable Schedule'!$W$2:$W$6012,'Cable Schedule'!$K$2:$K$6012,A7)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Schedule'!$AA$2:$AA$6012,'Cable Schedule'!$K$2:$K$6012,A8)</f>
        <v/>
      </c>
      <c r="G8" s="18">
        <f>SUMIFS('Cable Schedule'!$W$2:$W$6012,'Cable Schedule'!$K$2:$K$6012,A8)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Schedule'!$AA$2:$AA$6012,'Cable Schedule'!$K$2:$K$6012,A9)</f>
        <v/>
      </c>
      <c r="G9" s="18">
        <f>SUMIFS('Cable Schedule'!$W$2:$W$6012,'Cable Schedule'!$K$2:$K$6012,A9)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Schedule'!$AA$2:$AA$6012,'Cable Schedule'!$K$2:$K$6012,A10)</f>
        <v/>
      </c>
      <c r="G10" s="18">
        <f>SUMIFS('Cable Schedule'!$W$2:$W$6012,'Cable Schedule'!$K$2:$K$6012,A10)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Schedule'!$AA$2:$AA$6012,'Cable Schedule'!$K$2:$K$6012,A11)</f>
        <v/>
      </c>
      <c r="G11" s="18">
        <f>SUMIFS('Cable Schedule'!$W$2:$W$6012,'Cable Schedule'!$K$2:$K$6012,A11)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Schedule'!$AA$2:$AA$6012,'Cable Schedule'!$K$2:$K$6012,A12)</f>
        <v/>
      </c>
      <c r="G12" s="18">
        <f>SUMIFS('Cable Schedule'!$W$2:$W$6012,'Cable Schedule'!$K$2:$K$6012,A12)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Schedule'!$AA$2:$AA$6012,'Cable Schedule'!$K$2:$K$6012,A13)</f>
        <v/>
      </c>
      <c r="G13" s="18">
        <f>SUMIFS('Cable Schedule'!$W$2:$W$6012,'Cable Schedule'!$K$2:$K$6012,A13)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Schedule'!$AA$2:$AA$6012,'Cable Schedule'!$K$2:$K$6012,A14)</f>
        <v/>
      </c>
      <c r="G14" s="18">
        <f>SUMIFS('Cable Schedule'!$W$2:$W$6012,'Cable Schedule'!$K$2:$K$6012,A14)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Schedule'!$AA$2:$AA$6012,'Cable Schedule'!$K$2:$K$6012,A15)</f>
        <v/>
      </c>
      <c r="G15" s="18">
        <f>SUMIFS('Cable Schedule'!$W$2:$W$6012,'Cable Schedule'!$K$2:$K$6012,A15)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Schedule'!$AA$2:$AA$6012,'Cable Schedule'!$K$2:$K$6012,A16)</f>
        <v/>
      </c>
      <c r="G16" s="18">
        <f>SUMIFS('Cable Schedule'!$W$2:$W$6012,'Cable Schedule'!$K$2:$K$6012,A16)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Schedule'!$AA$2:$AA$6012,'Cable Schedule'!$K$2:$K$6012,A17)</f>
        <v/>
      </c>
      <c r="G17" s="18">
        <f>SUMIFS('Cable Schedule'!$W$2:$W$6012,'Cable Schedule'!$K$2:$K$6012,A17)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Schedule'!$AA$2:$AA$6012,'Cable Schedule'!$K$2:$K$6012,A18)</f>
        <v/>
      </c>
      <c r="G18" s="18">
        <f>SUMIFS('Cable Schedule'!$W$2:$W$6012,'Cable Schedule'!$K$2:$K$6012,A18)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Schedule'!$AA$2:$AA$6012,'Cable Schedule'!$K$2:$K$6012,A19)</f>
        <v/>
      </c>
      <c r="G19" s="18">
        <f>SUMIFS('Cable Schedule'!$W$2:$W$6012,'Cable Schedule'!$K$2:$K$6012,A19)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Schedule'!$AA$2:$AA$6012,'Cable Schedule'!$K$2:$K$6012,A20)</f>
        <v/>
      </c>
      <c r="G20" s="18">
        <f>SUMIFS('Cable Schedule'!$W$2:$W$6012,'Cable Schedule'!$K$2:$K$6012,A20)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Schedule'!$AA$2:$AA$6012,'Cable Schedule'!$K$2:$K$6012,A21)</f>
        <v/>
      </c>
      <c r="G21" s="18">
        <f>SUMIFS('Cable Schedule'!$W$2:$W$6012,'Cable Schedule'!$K$2:$K$6012,A21)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Schedule'!$AA$2:$AA$6012,'Cable Schedule'!$K$2:$K$6012,A22)</f>
        <v/>
      </c>
      <c r="G22" s="18">
        <f>SUMIFS('Cable Schedule'!$W$2:$W$6012,'Cable Schedule'!$K$2:$K$6012,A22)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Schedule'!$AA$2:$AA$6012,'Cable Schedule'!$K$2:$K$6012,A23)</f>
        <v/>
      </c>
      <c r="G23" s="18">
        <f>SUMIFS('Cable Schedule'!$W$2:$W$6012,'Cable Schedule'!$K$2:$K$6012,A23)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Schedule'!$AA$2:$AA$6012,'Cable Schedule'!$K$2:$K$6012,A24)</f>
        <v/>
      </c>
      <c r="G24" s="18">
        <f>SUMIFS('Cable Schedule'!$W$2:$W$6012,'Cable Schedule'!$K$2:$K$6012,A24)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Schedule'!$AA$2:$AA$6012,'Cable Schedule'!$K$2:$K$6012,A25)</f>
        <v/>
      </c>
      <c r="G25" s="18">
        <f>SUMIFS('Cable Schedule'!$W$2:$W$6012,'Cable Schedule'!$K$2:$K$6012,A25)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Schedule'!$AA$2:$AA$6012,'Cable Schedule'!$K$2:$K$6012,A26)</f>
        <v/>
      </c>
      <c r="G26" s="18">
        <f>SUMIFS('Cable Schedule'!$W$2:$W$6012,'Cable Schedule'!$K$2:$K$6012,A26)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Schedule'!$AA$2:$AA$6012,'Cable Schedule'!$K$2:$K$6012,A27)</f>
        <v/>
      </c>
      <c r="G27" s="18">
        <f>SUMIFS('Cable Schedule'!$W$2:$W$6012,'Cable Schedule'!$K$2:$K$6012,A27)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Schedule'!$AA$2:$AA$6012,'Cable Schedule'!$K$2:$K$6012,A28)</f>
        <v/>
      </c>
      <c r="G28" s="18">
        <f>SUMIFS('Cable Schedule'!$W$2:$W$6012,'Cable Schedule'!$K$2:$K$6012,A28)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Schedule'!$AA$2:$AA$6012,'Cable Schedule'!$K$2:$K$6012,A29)</f>
        <v/>
      </c>
      <c r="G29" s="18">
        <f>SUMIFS('Cable Schedule'!$W$2:$W$6012,'Cable Schedule'!$K$2:$K$6012,A29)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Schedule'!$AA$2:$AA$6012,'Cable Schedule'!$K$2:$K$6012,A30)</f>
        <v/>
      </c>
      <c r="G30" s="18">
        <f>SUMIFS('Cable Schedule'!$W$2:$W$6012,'Cable Schedule'!$K$2:$K$6012,A30)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Schedule'!$AA$2:$AA$6012,'Cable Schedule'!$K$2:$K$6012,A31)</f>
        <v/>
      </c>
      <c r="G31" s="18">
        <f>SUMIFS('Cable Schedule'!$W$2:$W$6012,'Cable Schedule'!$K$2:$K$6012,A31)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Schedule'!$AA$2:$AA$6012,'Cable Schedule'!$K$2:$K$6012,A32)</f>
        <v/>
      </c>
      <c r="G32" s="18">
        <f>SUMIFS('Cable Schedule'!$W$2:$W$6012,'Cable Schedule'!$K$2:$K$6012,A32)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Schedule'!$AA$2:$AA$6012,'Cable Schedule'!$K$2:$K$6012,A33)</f>
        <v/>
      </c>
      <c r="G33" s="18">
        <f>SUMIFS('Cable Schedule'!$W$2:$W$6012,'Cable Schedule'!$K$2:$K$6012,A33)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Schedule'!$AA$2:$AA$6012,'Cable Schedule'!$K$2:$K$6012,A34)</f>
        <v/>
      </c>
      <c r="G34" s="18">
        <f>SUMIFS('Cable Schedule'!$W$2:$W$6012,'Cable Schedule'!$K$2:$K$6012,A34)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Schedule'!$AA$2:$AA$6012,'Cable Schedule'!$K$2:$K$6012,A35)</f>
        <v/>
      </c>
      <c r="G35" s="18">
        <f>SUMIFS('Cable Schedule'!$W$2:$W$6012,'Cable Schedule'!$K$2:$K$6012,A35)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Schedule'!$AA$2:$AA$6012,'Cable Schedule'!$K$2:$K$6012,A36)</f>
        <v/>
      </c>
      <c r="G36" s="18">
        <f>SUMIFS('Cable Schedule'!$W$2:$W$6012,'Cable Schedule'!$K$2:$K$6012,A36)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Schedule'!$AA$2:$AA$6012,'Cable Schedule'!$K$2:$K$6012,A37)</f>
        <v/>
      </c>
      <c r="G37" s="18">
        <f>SUMIFS('Cable Schedule'!$W$2:$W$6012,'Cable Schedule'!$K$2:$K$6012,A37)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Schedule'!$AA$2:$AA$6012,'Cable Schedule'!$K$2:$K$6012,A38)</f>
        <v/>
      </c>
      <c r="G38" s="18">
        <f>SUMIFS('Cable Schedule'!$W$2:$W$6012,'Cable Schedule'!$K$2:$K$6012,A38)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Schedule'!$AA$2:$AA$6012,'Cable Schedule'!$K$2:$K$6012,A39)</f>
        <v/>
      </c>
      <c r="G39" s="18">
        <f>SUMIFS('Cable Schedule'!$W$2:$W$6012,'Cable Schedule'!$K$2:$K$6012,A39)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Schedule'!$AA$2:$AA$6012,'Cable Schedule'!$K$2:$K$6012,A40)</f>
        <v/>
      </c>
      <c r="G40" s="18">
        <f>SUMIFS('Cable Schedule'!$W$2:$W$6012,'Cable Schedule'!$K$2:$K$6012,A40)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Schedule'!$AA$2:$AA$6012,'Cable Schedule'!$K$2:$K$6012,A41)</f>
        <v/>
      </c>
      <c r="G41" s="18">
        <f>SUMIFS('Cable Schedule'!$W$2:$W$6012,'Cable Schedule'!$K$2:$K$6012,A41)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Schedule'!$AA$2:$AA$6012,'Cable Schedule'!$K$2:$K$6012,A42)</f>
        <v/>
      </c>
      <c r="G42" s="18">
        <f>SUMIFS('Cable Schedule'!$W$2:$W$6012,'Cable Schedule'!$K$2:$K$6012,A42)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Schedule'!$AA$2:$AA$6012,'Cable Schedule'!$K$2:$K$6012,A43)</f>
        <v/>
      </c>
      <c r="G43" s="18">
        <f>SUMIFS('Cable Schedule'!$W$2:$W$6012,'Cable Schedule'!$K$2:$K$6012,A43)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Schedule'!$AA$2:$AA$6012,'Cable Schedule'!$K$2:$K$6012,A44)</f>
        <v/>
      </c>
      <c r="G44" s="18">
        <f>SUMIFS('Cable Schedule'!$W$2:$W$6012,'Cable Schedule'!$K$2:$K$6012,A44)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Schedule'!$AA$2:$AA$6012,'Cable Schedule'!$K$2:$K$6012,A45)</f>
        <v/>
      </c>
      <c r="G45" s="18">
        <f>SUMIFS('Cable Schedule'!$W$2:$W$6012,'Cable Schedule'!$K$2:$K$6012,A45)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Schedule'!$AA$2:$AA$6012,'Cable Schedule'!$K$2:$K$6012,A46)</f>
        <v/>
      </c>
      <c r="G46" s="18">
        <f>SUMIFS('Cable Schedule'!$W$2:$W$6012,'Cable Schedule'!$K$2:$K$6012,A46)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Schedule'!$AA$2:$AA$6012,'Cable Schedule'!$K$2:$K$6012,A47)</f>
        <v/>
      </c>
      <c r="G47" s="18">
        <f>SUMIFS('Cable Schedule'!$W$2:$W$6012,'Cable Schedule'!$K$2:$K$6012,A47)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Schedule'!$AA$2:$AA$6012,'Cable Schedule'!$K$2:$K$6012,A48)</f>
        <v/>
      </c>
      <c r="G48" s="18">
        <f>SUMIFS('Cable Schedule'!$W$2:$W$6012,'Cable Schedule'!$K$2:$K$6012,A48)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Schedule'!$AA$2:$AA$6012,'Cable Schedule'!$K$2:$K$6012,A49)</f>
        <v/>
      </c>
      <c r="G49" s="18">
        <f>SUMIFS('Cable Schedule'!$W$2:$W$6012,'Cable Schedule'!$K$2:$K$6012,A49)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Schedule'!$AA$2:$AA$6012,'Cable Schedule'!$K$2:$K$6012,A50)</f>
        <v/>
      </c>
      <c r="G50" s="18">
        <f>SUMIFS('Cable Schedule'!$W$2:$W$6012,'Cable Schedule'!$K$2:$K$6012,A50)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Schedule'!$AA$2:$AA$6012,'Cable Schedule'!$K$2:$K$6012,A51)</f>
        <v/>
      </c>
      <c r="G51" s="18">
        <f>SUMIFS('Cable Schedule'!$W$2:$W$6012,'Cable Schedule'!$K$2:$K$6012,A51)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Schedule'!$AA$2:$AA$6012,'Cable Schedule'!$K$2:$K$6012,A52)</f>
        <v/>
      </c>
      <c r="G52" s="18">
        <f>SUMIFS('Cable Schedule'!$W$2:$W$6012,'Cable Schedule'!$K$2:$K$6012,A52)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Schedule'!$AA$2:$AA$6012,'Cable Schedule'!$K$2:$K$6012,A53)</f>
        <v/>
      </c>
      <c r="G53" s="18">
        <f>SUMIFS('Cable Schedule'!$W$2:$W$6012,'Cable Schedule'!$K$2:$K$6012,A53)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Schedule'!$AA$2:$AA$6012,'Cable Schedule'!$K$2:$K$6012,A54)</f>
        <v/>
      </c>
      <c r="G54" s="18">
        <f>SUMIFS('Cable Schedule'!$W$2:$W$6012,'Cable Schedule'!$K$2:$K$6012,A54)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Schedule'!$AA$2:$AA$6012,'Cable Schedule'!$K$2:$K$6012,A55)</f>
        <v/>
      </c>
      <c r="G55" s="18">
        <f>SUMIFS('Cable Schedule'!$W$2:$W$6012,'Cable Schedule'!$K$2:$K$6012,A55)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Schedule'!$AA$2:$AA$6012,'Cable Schedule'!$K$2:$K$6012,A56)</f>
        <v/>
      </c>
      <c r="G56" s="18">
        <f>SUMIFS('Cable Schedule'!$W$2:$W$6012,'Cable Schedule'!$K$2:$K$6012,A56)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Schedule'!$AA$2:$AA$6012,'Cable Schedule'!$K$2:$K$6012,A57)</f>
        <v/>
      </c>
      <c r="G57" s="18">
        <f>SUMIFS('Cable Schedule'!$W$2:$W$6012,'Cable Schedule'!$K$2:$K$6012,A57)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Schedule'!$AA$2:$AA$6012,'Cable Schedule'!$K$2:$K$6012,A58)</f>
        <v/>
      </c>
      <c r="G58" s="18">
        <f>SUMIFS('Cable Schedule'!$W$2:$W$6012,'Cable Schedule'!$K$2:$K$6012,A58)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Schedule'!$AA$2:$AA$6012,'Cable Schedule'!$K$2:$K$6012,A59)</f>
        <v/>
      </c>
      <c r="G59" s="18">
        <f>SUMIFS('Cable Schedule'!$W$2:$W$6012,'Cable Schedule'!$K$2:$K$6012,A59)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Schedule'!$AA$2:$AA$6012,'Cable Schedule'!$K$2:$K$6012,A60)</f>
        <v/>
      </c>
      <c r="G60" s="18">
        <f>SUMIFS('Cable Schedule'!$W$2:$W$6012,'Cable Schedule'!$K$2:$K$6012,A60)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Schedule'!$AA$2:$AA$6012,'Cable Schedule'!$K$2:$K$6012,A61)</f>
        <v/>
      </c>
      <c r="G61" s="18">
        <f>SUMIFS('Cable Schedule'!$W$2:$W$6012,'Cable Schedule'!$K$2:$K$6012,A61)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Schedule'!$AA$2:$AA$6012,'Cable Schedule'!$K$2:$K$6012,A62)</f>
        <v/>
      </c>
      <c r="G62" s="18">
        <f>SUMIFS('Cable Schedule'!$W$2:$W$6012,'Cable Schedule'!$K$2:$K$6012,A62)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Schedule'!$AA$2:$AA$6012,'Cable Schedule'!$K$2:$K$6012,A63)</f>
        <v/>
      </c>
      <c r="G63" s="18">
        <f>SUMIFS('Cable Schedule'!$W$2:$W$6012,'Cable Schedule'!$K$2:$K$6012,A63)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Schedule'!$AA$2:$AA$6012,'Cable Schedule'!$K$2:$K$6012,A64)</f>
        <v/>
      </c>
      <c r="G64" s="18">
        <f>SUMIFS('Cable Schedule'!$W$2:$W$6012,'Cable Schedule'!$K$2:$K$6012,A64)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Schedule'!$AA$2:$AA$6012,'Cable Schedule'!$K$2:$K$6012,A65)</f>
        <v/>
      </c>
      <c r="G65" s="18">
        <f>SUMIFS('Cable Schedule'!$W$2:$W$6012,'Cable Schedule'!$K$2:$K$6012,A65)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Schedule'!$AA$2:$AA$6012,'Cable Schedule'!$K$2:$K$6012,A66)</f>
        <v/>
      </c>
      <c r="G66" s="18">
        <f>SUMIFS('Cable Schedule'!$W$2:$W$6012,'Cable Schedule'!$K$2:$K$6012,A66)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Schedule'!$AA$2:$AA$6012,'Cable Schedule'!$K$2:$K$6012,A67)</f>
        <v/>
      </c>
      <c r="G67" s="18">
        <f>SUMIFS('Cable Schedule'!$W$2:$W$6012,'Cable Schedule'!$K$2:$K$6012,A67)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Schedule'!$AA$2:$AA$6012,'Cable Schedule'!$K$2:$K$6012,A68)</f>
        <v/>
      </c>
      <c r="G68" s="18">
        <f>SUMIFS('Cable Schedule'!$W$2:$W$6012,'Cable Schedule'!$K$2:$K$6012,A68)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Schedule'!$AA$2:$AA$6012,'Cable Schedule'!$K$2:$K$6012,A69)</f>
        <v/>
      </c>
      <c r="G69" s="18">
        <f>SUMIFS('Cable Schedule'!$W$2:$W$6012,'Cable Schedule'!$K$2:$K$6012,A69)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Schedule'!$AA$2:$AA$6012,'Cable Schedule'!$K$2:$K$6012,A70)</f>
        <v/>
      </c>
      <c r="G70" s="18">
        <f>SUMIFS('Cable Schedule'!$W$2:$W$6012,'Cable Schedule'!$K$2:$K$6012,A70)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Schedule'!$AA$2:$AA$6012,'Cable Schedule'!$K$2:$K$6012,A71)</f>
        <v/>
      </c>
      <c r="G71" s="18">
        <f>SUMIFS('Cable Schedule'!$W$2:$W$6012,'Cable Schedule'!$K$2:$K$6012,A71)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Schedule'!$AA$2:$AA$6012,'Cable Schedule'!$K$2:$K$6012,A72)</f>
        <v/>
      </c>
      <c r="G72" s="18">
        <f>SUMIFS('Cable Schedule'!$W$2:$W$6012,'Cable Schedule'!$K$2:$K$6012,A72)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Schedule'!$AA$2:$AA$6012,'Cable Schedule'!$K$2:$K$6012,A73)</f>
        <v/>
      </c>
      <c r="G73" s="18">
        <f>SUMIFS('Cable Schedule'!$W$2:$W$6012,'Cable Schedule'!$K$2:$K$6012,A73)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Schedule'!$AA$2:$AA$6012,'Cable Schedule'!$K$2:$K$6012,A74)</f>
        <v/>
      </c>
      <c r="G74" s="18">
        <f>SUMIFS('Cable Schedule'!$W$2:$W$6012,'Cable Schedule'!$K$2:$K$6012,A74)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Schedule'!$AA$2:$AA$6012,'Cable Schedule'!$K$2:$K$6012,A75)</f>
        <v/>
      </c>
      <c r="G75" s="18">
        <f>SUMIFS('Cable Schedule'!$W$2:$W$6012,'Cable Schedule'!$K$2:$K$6012,A75)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Schedule'!$AA$2:$AA$6012,'Cable Schedule'!$K$2:$K$6012,A76)</f>
        <v/>
      </c>
      <c r="G76" s="18">
        <f>SUMIFS('Cable Schedule'!$W$2:$W$6012,'Cable Schedule'!$K$2:$K$6012,A76)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Schedule'!$AA$2:$AA$6012,'Cable Schedule'!$K$2:$K$6012,A77)</f>
        <v/>
      </c>
      <c r="G77" s="18">
        <f>SUMIFS('Cable Schedule'!$W$2:$W$6012,'Cable Schedule'!$K$2:$K$6012,A77)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Schedule'!$AA$2:$AA$6012,'Cable Schedule'!$K$2:$K$6012,A78)</f>
        <v/>
      </c>
      <c r="G78" s="18">
        <f>SUMIFS('Cable Schedule'!$W$2:$W$6012,'Cable Schedule'!$K$2:$K$6012,A78)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Schedule'!$AA$2:$AA$6012,'Cable Schedule'!$K$2:$K$6012,A79)</f>
        <v/>
      </c>
      <c r="G79" s="18">
        <f>SUMIFS('Cable Schedule'!$W$2:$W$6012,'Cable Schedule'!$K$2:$K$6012,A79)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Schedule'!$AA$2:$AA$6012,'Cable Schedule'!$K$2:$K$6012,A80)</f>
        <v/>
      </c>
      <c r="G80" s="18">
        <f>SUMIFS('Cable Schedule'!$W$2:$W$6012,'Cable Schedule'!$K$2:$K$6012,A80)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Schedule'!$AA$2:$AA$6012,'Cable Schedule'!$K$2:$K$6012,A81)</f>
        <v/>
      </c>
      <c r="G81" s="18">
        <f>SUMIFS('Cable Schedule'!$W$2:$W$6012,'Cable Schedule'!$K$2:$K$6012,A81)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Schedule'!$AA$2:$AA$6012,'Cable Schedule'!$K$2:$K$6012,A82)</f>
        <v/>
      </c>
      <c r="G82" s="18">
        <f>SUMIFS('Cable Schedule'!$W$2:$W$6012,'Cable Schedule'!$K$2:$K$6012,A82)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Schedule'!$AA$2:$AA$6012,'Cable Schedule'!$K$2:$K$6012,A83)</f>
        <v/>
      </c>
      <c r="G83" s="18">
        <f>SUMIFS('Cable Schedule'!$W$2:$W$6012,'Cable Schedule'!$K$2:$K$6012,A83)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Schedule'!$AA$2:$AA$6012,'Cable Schedule'!$K$2:$K$6012,A84)</f>
        <v/>
      </c>
      <c r="G84" s="18">
        <f>SUMIFS('Cable Schedule'!$W$2:$W$6012,'Cable Schedule'!$K$2:$K$6012,A84)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Schedule'!$AA$2:$AA$6012,'Cable Schedule'!$K$2:$K$6012,A85)</f>
        <v/>
      </c>
      <c r="G85" s="18">
        <f>SUMIFS('Cable Schedule'!$W$2:$W$6012,'Cable Schedule'!$K$2:$K$6012,A85)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Schedule'!$AA$2:$AA$6012,'Cable Schedule'!$K$2:$K$6012,A86)</f>
        <v/>
      </c>
      <c r="G86" s="18">
        <f>SUMIFS('Cable Schedule'!$W$2:$W$6012,'Cable Schedule'!$K$2:$K$6012,A86)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Schedule'!$AA$2:$AA$6012,'Cable Schedule'!$K$2:$K$6012,A87)</f>
        <v/>
      </c>
      <c r="G87" s="18">
        <f>SUMIFS('Cable Schedule'!$W$2:$W$6012,'Cable Schedule'!$K$2:$K$6012,A87)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Schedule'!$AA$2:$AA$6012,'Cable Schedule'!$K$2:$K$6012,A88)</f>
        <v/>
      </c>
      <c r="G88" s="18">
        <f>SUMIFS('Cable Schedule'!$W$2:$W$6012,'Cable Schedule'!$K$2:$K$6012,A88)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Schedule'!$AA$2:$AA$6012,'Cable Schedule'!$K$2:$K$6012,A89)</f>
        <v/>
      </c>
      <c r="G89" s="18">
        <f>SUMIFS('Cable Schedule'!$W$2:$W$6012,'Cable Schedule'!$K$2:$K$6012,A89)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Schedule'!$AA$2:$AA$6012,'Cable Schedule'!$K$2:$K$6012,A90)</f>
        <v/>
      </c>
      <c r="G90" s="18">
        <f>SUMIFS('Cable Schedule'!$W$2:$W$6012,'Cable Schedule'!$K$2:$K$6012,A90)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Schedule'!$AA$2:$AA$6012,'Cable Schedule'!$K$2:$K$6012,A91)</f>
        <v/>
      </c>
      <c r="G91" s="18">
        <f>SUMIFS('Cable Schedule'!$W$2:$W$6012,'Cable Schedule'!$K$2:$K$6012,A91)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Schedule'!$AA$2:$AA$6012,'Cable Schedule'!$K$2:$K$6012,A92)</f>
        <v/>
      </c>
      <c r="G92" s="18">
        <f>SUMIFS('Cable Schedule'!$W$2:$W$6012,'Cable Schedule'!$K$2:$K$6012,A92)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Schedule'!$AA$2:$AA$6012,'Cable Schedule'!$K$2:$K$6012,A93)</f>
        <v/>
      </c>
      <c r="G93" s="18">
        <f>SUMIFS('Cable Schedule'!$W$2:$W$6012,'Cable Schedule'!$K$2:$K$6012,A93)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Schedule'!$AA$2:$AA$6012,'Cable Schedule'!$K$2:$K$6012,A94)</f>
        <v/>
      </c>
      <c r="G94" s="18">
        <f>SUMIFS('Cable Schedule'!$W$2:$W$6012,'Cable Schedule'!$K$2:$K$6012,A94)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Schedule'!$AA$2:$AA$6012,'Cable Schedule'!$K$2:$K$6012,A95)</f>
        <v/>
      </c>
      <c r="G95" s="18">
        <f>SUMIFS('Cable Schedule'!$W$2:$W$6012,'Cable Schedule'!$K$2:$K$6012,A95)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Schedule'!$AA$2:$AA$6012,'Cable Schedule'!$K$2:$K$6012,A96)</f>
        <v/>
      </c>
      <c r="G96" s="18">
        <f>SUMIFS('Cable Schedule'!$W$2:$W$6012,'Cable Schedule'!$K$2:$K$6012,A96)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Schedule'!X2:X6012)</f>
        <v/>
      </c>
    </row>
    <row r="3">
      <c r="A3" s="12" t="inlineStr">
        <is>
          <t>ARMOR-X / Type W connectors and glands</t>
        </is>
      </c>
      <c r="B3" s="18">
        <f>SUM('Cable Schedule'!Y2:Y6012)</f>
        <v/>
      </c>
    </row>
    <row r="4">
      <c r="A4" s="12" t="inlineStr">
        <is>
          <t>MV splice kits (allowance: 1 per 2,500 ft of MV 1/C)</t>
        </is>
      </c>
      <c r="B4" s="18">
        <f>ROUNDUP(SUMIFS('Cable Schedule'!W2:W6012,'Cable Schedule'!I2:I6012,"MV*",'Cable Schedule'!L2:L6012,"1/C")/2500,0)</f>
        <v/>
      </c>
    </row>
    <row r="5">
      <c r="A5" s="12" t="inlineStr">
        <is>
          <t>230 kV outdoor terminations</t>
        </is>
      </c>
      <c r="B5" s="18">
        <f>2*SUMIFS('Cable Schedule'!O2:O6012,'Cable Schedule'!I2:I6012,"HV 230 kV")</f>
        <v/>
      </c>
    </row>
    <row r="6">
      <c r="A6" s="12" t="inlineStr">
        <is>
          <t>600 V compression lugs (power, 4 per end)</t>
        </is>
      </c>
      <c r="B6" s="18">
        <f>2*4*SUMIFS('Cable Schedule'!N2:N6012,'Cable Schedule'!I2:I6012,"LV 600 V")</f>
        <v/>
      </c>
    </row>
    <row r="7">
      <c r="A7" s="12" t="inlineStr">
        <is>
          <t>Instrument / control cable glands (2 per run)</t>
        </is>
      </c>
      <c r="B7" s="18">
        <f>2*(COUNTIF('Cable Schedule'!I2:I6012,"Control")+COUNTIF('Cable Schedule'!I2:I6012,"Instrumentation"))</f>
        <v/>
      </c>
    </row>
    <row r="8">
      <c r="A8" s="12" t="inlineStr">
        <is>
          <t>Fibre patch / termination (2 per link)</t>
        </is>
      </c>
      <c r="B8" s="18">
        <f>2*COUNTIF('Cable Schedule'!I2:I6012,"Fibre / data")</f>
        <v/>
      </c>
    </row>
    <row r="9">
      <c r="A9" s="12" t="inlineStr">
        <is>
          <t>Ground connections: exothermic welds (allowance 1 per 25 ft of grid)</t>
        </is>
      </c>
      <c r="B9" s="18">
        <f>ROUNDUP(SUMIFS('Cable Schedule'!W2:W6012,'Cable Schedule'!I2:I6012,"Grounding")/25,0)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Schedule'!$W$2:$W$6012,'Cable Schedule'!$B$2:$B$6012,"A",'Cable Schedule'!$I$2:$I$6012,"MV 15 kV")</f>
        <v/>
      </c>
      <c r="C3" s="18">
        <f>SUMIFS('Cable Schedule'!$W$2:$W$6012,'Cable Schedule'!$B$2:$B$6012,"A",'Cable Schedule'!$I$2:$I$6012,"MV 5 kV")</f>
        <v/>
      </c>
      <c r="D3" s="18">
        <f>SUMIFS('Cable Schedule'!$W$2:$W$6012,'Cable Schedule'!$B$2:$B$6012,"A",'Cable Schedule'!$I$2:$I$6012,"MV 25 kV")</f>
        <v/>
      </c>
      <c r="E3" s="18">
        <f>SUMIFS('Cable Schedule'!$W$2:$W$6012,'Cable Schedule'!$B$2:$B$6012,"A",'Cable Schedule'!$I$2:$I$6012,"MV 35 kV")</f>
        <v/>
      </c>
      <c r="F3" s="18">
        <f>SUMIFS('Cable Schedule'!$W$2:$W$6012,'Cable Schedule'!$B$2:$B$6012,"A",'Cable Schedule'!$I$2:$I$6012,"HV 230 kV")</f>
        <v/>
      </c>
      <c r="G3" s="18">
        <f>SUMIFS('Cable Schedule'!$W$2:$W$6012,'Cable Schedule'!$B$2:$B$6012,"A",'Cable Schedule'!$I$2:$I$6012,"LV 600 V")</f>
        <v/>
      </c>
      <c r="H3" s="18">
        <f>SUMIFS('Cable Schedule'!$W$2:$W$6012,'Cable Schedule'!$B$2:$B$6012,"A",'Cable Schedule'!$I$2:$I$6012,"Control")</f>
        <v/>
      </c>
      <c r="I3" s="18">
        <f>SUMIFS('Cable Schedule'!$W$2:$W$6012,'Cable Schedule'!$B$2:$B$6012,"A",'Cable Schedule'!$I$2:$I$6012,"Instrumentation")</f>
        <v/>
      </c>
      <c r="J3" s="18">
        <f>SUMIFS('Cable Schedule'!$W$2:$W$6012,'Cable Schedule'!$B$2:$B$6012,"A",'Cable Schedule'!$I$2:$I$6012,"Fire alarm")</f>
        <v/>
      </c>
      <c r="K3" s="18">
        <f>SUMIFS('Cable Schedule'!$W$2:$W$6012,'Cable Schedule'!$B$2:$B$6012,"A",'Cable Schedule'!$I$2:$I$6012,"Fibre / data")</f>
        <v/>
      </c>
      <c r="L3" s="18">
        <f>SUMIFS('Cable Schedule'!$W$2:$W$6012,'Cable Schedule'!$B$2:$B$6012,"A",'Cable Schedule'!$I$2:$I$6012,"DC 2 kV")</f>
        <v/>
      </c>
      <c r="M3" s="18">
        <f>SUMIFS('Cable Schedule'!$W$2:$W$6012,'Cable Schedule'!$B$2:$B$6012,"A",'Cable Schedule'!$I$2:$I$6012,"Portable MV")</f>
        <v/>
      </c>
      <c r="N3" s="18">
        <f>SUMIFS('Cable Schedule'!$W$2:$W$6012,'Cable Schedule'!$B$2:$B$6012,"A",'Cable Schedule'!$I$2:$I$6012,"Portable LV")</f>
        <v/>
      </c>
      <c r="O3" s="18">
        <f>SUMIFS('Cable Schedule'!$W$2:$W$6012,'Cable Schedule'!$B$2:$B$6012,"A",'Cable Schedule'!$I$2:$I$6012,"Building wire")</f>
        <v/>
      </c>
      <c r="P3" s="18">
        <f>SUMIFS('Cable Schedule'!$W$2:$W$6012,'Cable Schedule'!$B$2:$B$6012,"A",'Cable Schedule'!$I$2:$I$6012,"Grounding")</f>
        <v/>
      </c>
      <c r="Q3" s="18">
        <f>SUMIFS('Cable Schedule'!$W$2:$W$6012,'Cable Schedule'!$B$2:$B$6012,"A",'Cable Schedule'!$I$2:$I$6012,"Overhead")</f>
        <v/>
      </c>
      <c r="R3" s="28">
        <f>SUM(B3:Q3)</f>
        <v/>
      </c>
    </row>
    <row r="4">
      <c r="A4" s="12" t="inlineStr">
        <is>
          <t>B  ACC</t>
        </is>
      </c>
      <c r="B4" s="18">
        <f>SUMIFS('Cable Schedule'!$W$2:$W$6012,'Cable Schedule'!$B$2:$B$6012,"B",'Cable Schedule'!$I$2:$I$6012,"MV 15 kV")</f>
        <v/>
      </c>
      <c r="C4" s="18">
        <f>SUMIFS('Cable Schedule'!$W$2:$W$6012,'Cable Schedule'!$B$2:$B$6012,"B",'Cable Schedule'!$I$2:$I$6012,"MV 5 kV")</f>
        <v/>
      </c>
      <c r="D4" s="18">
        <f>SUMIFS('Cable Schedule'!$W$2:$W$6012,'Cable Schedule'!$B$2:$B$6012,"B",'Cable Schedule'!$I$2:$I$6012,"MV 25 kV")</f>
        <v/>
      </c>
      <c r="E4" s="18">
        <f>SUMIFS('Cable Schedule'!$W$2:$W$6012,'Cable Schedule'!$B$2:$B$6012,"B",'Cable Schedule'!$I$2:$I$6012,"MV 35 kV")</f>
        <v/>
      </c>
      <c r="F4" s="18">
        <f>SUMIFS('Cable Schedule'!$W$2:$W$6012,'Cable Schedule'!$B$2:$B$6012,"B",'Cable Schedule'!$I$2:$I$6012,"HV 230 kV")</f>
        <v/>
      </c>
      <c r="G4" s="18">
        <f>SUMIFS('Cable Schedule'!$W$2:$W$6012,'Cable Schedule'!$B$2:$B$6012,"B",'Cable Schedule'!$I$2:$I$6012,"LV 600 V")</f>
        <v/>
      </c>
      <c r="H4" s="18">
        <f>SUMIFS('Cable Schedule'!$W$2:$W$6012,'Cable Schedule'!$B$2:$B$6012,"B",'Cable Schedule'!$I$2:$I$6012,"Control")</f>
        <v/>
      </c>
      <c r="I4" s="18">
        <f>SUMIFS('Cable Schedule'!$W$2:$W$6012,'Cable Schedule'!$B$2:$B$6012,"B",'Cable Schedule'!$I$2:$I$6012,"Instrumentation")</f>
        <v/>
      </c>
      <c r="J4" s="18">
        <f>SUMIFS('Cable Schedule'!$W$2:$W$6012,'Cable Schedule'!$B$2:$B$6012,"B",'Cable Schedule'!$I$2:$I$6012,"Fire alarm")</f>
        <v/>
      </c>
      <c r="K4" s="18">
        <f>SUMIFS('Cable Schedule'!$W$2:$W$6012,'Cable Schedule'!$B$2:$B$6012,"B",'Cable Schedule'!$I$2:$I$6012,"Fibre / data")</f>
        <v/>
      </c>
      <c r="L4" s="18">
        <f>SUMIFS('Cable Schedule'!$W$2:$W$6012,'Cable Schedule'!$B$2:$B$6012,"B",'Cable Schedule'!$I$2:$I$6012,"DC 2 kV")</f>
        <v/>
      </c>
      <c r="M4" s="18">
        <f>SUMIFS('Cable Schedule'!$W$2:$W$6012,'Cable Schedule'!$B$2:$B$6012,"B",'Cable Schedule'!$I$2:$I$6012,"Portable MV")</f>
        <v/>
      </c>
      <c r="N4" s="18">
        <f>SUMIFS('Cable Schedule'!$W$2:$W$6012,'Cable Schedule'!$B$2:$B$6012,"B",'Cable Schedule'!$I$2:$I$6012,"Portable LV")</f>
        <v/>
      </c>
      <c r="O4" s="18">
        <f>SUMIFS('Cable Schedule'!$W$2:$W$6012,'Cable Schedule'!$B$2:$B$6012,"B",'Cable Schedule'!$I$2:$I$6012,"Building wire")</f>
        <v/>
      </c>
      <c r="P4" s="18">
        <f>SUMIFS('Cable Schedule'!$W$2:$W$6012,'Cable Schedule'!$B$2:$B$6012,"B",'Cable Schedule'!$I$2:$I$6012,"Grounding")</f>
        <v/>
      </c>
      <c r="Q4" s="18">
        <f>SUMIFS('Cable Schedule'!$W$2:$W$6012,'Cable Schedule'!$B$2:$B$6012,"B",'Cable Schedule'!$I$2:$I$6012,"Overhead")</f>
        <v/>
      </c>
      <c r="R4" s="28">
        <f>SUM(B4:Q4)</f>
        <v/>
      </c>
    </row>
    <row r="5">
      <c r="A5" s="12" t="inlineStr">
        <is>
          <t>C  Grid interface</t>
        </is>
      </c>
      <c r="B5" s="18">
        <f>SUMIFS('Cable Schedule'!$W$2:$W$6012,'Cable Schedule'!$B$2:$B$6012,"C",'Cable Schedule'!$I$2:$I$6012,"MV 15 kV")</f>
        <v/>
      </c>
      <c r="C5" s="18">
        <f>SUMIFS('Cable Schedule'!$W$2:$W$6012,'Cable Schedule'!$B$2:$B$6012,"C",'Cable Schedule'!$I$2:$I$6012,"MV 5 kV")</f>
        <v/>
      </c>
      <c r="D5" s="18">
        <f>SUMIFS('Cable Schedule'!$W$2:$W$6012,'Cable Schedule'!$B$2:$B$6012,"C",'Cable Schedule'!$I$2:$I$6012,"MV 25 kV")</f>
        <v/>
      </c>
      <c r="E5" s="18">
        <f>SUMIFS('Cable Schedule'!$W$2:$W$6012,'Cable Schedule'!$B$2:$B$6012,"C",'Cable Schedule'!$I$2:$I$6012,"MV 35 kV")</f>
        <v/>
      </c>
      <c r="F5" s="18">
        <f>SUMIFS('Cable Schedule'!$W$2:$W$6012,'Cable Schedule'!$B$2:$B$6012,"C",'Cable Schedule'!$I$2:$I$6012,"HV 230 kV")</f>
        <v/>
      </c>
      <c r="G5" s="18">
        <f>SUMIFS('Cable Schedule'!$W$2:$W$6012,'Cable Schedule'!$B$2:$B$6012,"C",'Cable Schedule'!$I$2:$I$6012,"LV 600 V")</f>
        <v/>
      </c>
      <c r="H5" s="18">
        <f>SUMIFS('Cable Schedule'!$W$2:$W$6012,'Cable Schedule'!$B$2:$B$6012,"C",'Cable Schedule'!$I$2:$I$6012,"Control")</f>
        <v/>
      </c>
      <c r="I5" s="18">
        <f>SUMIFS('Cable Schedule'!$W$2:$W$6012,'Cable Schedule'!$B$2:$B$6012,"C",'Cable Schedule'!$I$2:$I$6012,"Instrumentation")</f>
        <v/>
      </c>
      <c r="J5" s="18">
        <f>SUMIFS('Cable Schedule'!$W$2:$W$6012,'Cable Schedule'!$B$2:$B$6012,"C",'Cable Schedule'!$I$2:$I$6012,"Fire alarm")</f>
        <v/>
      </c>
      <c r="K5" s="18">
        <f>SUMIFS('Cable Schedule'!$W$2:$W$6012,'Cable Schedule'!$B$2:$B$6012,"C",'Cable Schedule'!$I$2:$I$6012,"Fibre / data")</f>
        <v/>
      </c>
      <c r="L5" s="18">
        <f>SUMIFS('Cable Schedule'!$W$2:$W$6012,'Cable Schedule'!$B$2:$B$6012,"C",'Cable Schedule'!$I$2:$I$6012,"DC 2 kV")</f>
        <v/>
      </c>
      <c r="M5" s="18">
        <f>SUMIFS('Cable Schedule'!$W$2:$W$6012,'Cable Schedule'!$B$2:$B$6012,"C",'Cable Schedule'!$I$2:$I$6012,"Portable MV")</f>
        <v/>
      </c>
      <c r="N5" s="18">
        <f>SUMIFS('Cable Schedule'!$W$2:$W$6012,'Cable Schedule'!$B$2:$B$6012,"C",'Cable Schedule'!$I$2:$I$6012,"Portable LV")</f>
        <v/>
      </c>
      <c r="O5" s="18">
        <f>SUMIFS('Cable Schedule'!$W$2:$W$6012,'Cable Schedule'!$B$2:$B$6012,"C",'Cable Schedule'!$I$2:$I$6012,"Building wire")</f>
        <v/>
      </c>
      <c r="P5" s="18">
        <f>SUMIFS('Cable Schedule'!$W$2:$W$6012,'Cable Schedule'!$B$2:$B$6012,"C",'Cable Schedule'!$I$2:$I$6012,"Grounding")</f>
        <v/>
      </c>
      <c r="Q5" s="18">
        <f>SUMIFS('Cable Schedule'!$W$2:$W$6012,'Cable Schedule'!$B$2:$B$6012,"C",'Cable Schedule'!$I$2:$I$6012,"Overhead")</f>
        <v/>
      </c>
      <c r="R5" s="28">
        <f>SUM(B5:Q5)</f>
        <v/>
      </c>
    </row>
    <row r="6">
      <c r="A6" s="12" t="inlineStr">
        <is>
          <t>D  Fuel gas</t>
        </is>
      </c>
      <c r="B6" s="18">
        <f>SUMIFS('Cable Schedule'!$W$2:$W$6012,'Cable Schedule'!$B$2:$B$6012,"D",'Cable Schedule'!$I$2:$I$6012,"MV 15 kV")</f>
        <v/>
      </c>
      <c r="C6" s="18">
        <f>SUMIFS('Cable Schedule'!$W$2:$W$6012,'Cable Schedule'!$B$2:$B$6012,"D",'Cable Schedule'!$I$2:$I$6012,"MV 5 kV")</f>
        <v/>
      </c>
      <c r="D6" s="18">
        <f>SUMIFS('Cable Schedule'!$W$2:$W$6012,'Cable Schedule'!$B$2:$B$6012,"D",'Cable Schedule'!$I$2:$I$6012,"MV 25 kV")</f>
        <v/>
      </c>
      <c r="E6" s="18">
        <f>SUMIFS('Cable Schedule'!$W$2:$W$6012,'Cable Schedule'!$B$2:$B$6012,"D",'Cable Schedule'!$I$2:$I$6012,"MV 35 kV")</f>
        <v/>
      </c>
      <c r="F6" s="18">
        <f>SUMIFS('Cable Schedule'!$W$2:$W$6012,'Cable Schedule'!$B$2:$B$6012,"D",'Cable Schedule'!$I$2:$I$6012,"HV 230 kV")</f>
        <v/>
      </c>
      <c r="G6" s="18">
        <f>SUMIFS('Cable Schedule'!$W$2:$W$6012,'Cable Schedule'!$B$2:$B$6012,"D",'Cable Schedule'!$I$2:$I$6012,"LV 600 V")</f>
        <v/>
      </c>
      <c r="H6" s="18">
        <f>SUMIFS('Cable Schedule'!$W$2:$W$6012,'Cable Schedule'!$B$2:$B$6012,"D",'Cable Schedule'!$I$2:$I$6012,"Control")</f>
        <v/>
      </c>
      <c r="I6" s="18">
        <f>SUMIFS('Cable Schedule'!$W$2:$W$6012,'Cable Schedule'!$B$2:$B$6012,"D",'Cable Schedule'!$I$2:$I$6012,"Instrumentation")</f>
        <v/>
      </c>
      <c r="J6" s="18">
        <f>SUMIFS('Cable Schedule'!$W$2:$W$6012,'Cable Schedule'!$B$2:$B$6012,"D",'Cable Schedule'!$I$2:$I$6012,"Fire alarm")</f>
        <v/>
      </c>
      <c r="K6" s="18">
        <f>SUMIFS('Cable Schedule'!$W$2:$W$6012,'Cable Schedule'!$B$2:$B$6012,"D",'Cable Schedule'!$I$2:$I$6012,"Fibre / data")</f>
        <v/>
      </c>
      <c r="L6" s="18">
        <f>SUMIFS('Cable Schedule'!$W$2:$W$6012,'Cable Schedule'!$B$2:$B$6012,"D",'Cable Schedule'!$I$2:$I$6012,"DC 2 kV")</f>
        <v/>
      </c>
      <c r="M6" s="18">
        <f>SUMIFS('Cable Schedule'!$W$2:$W$6012,'Cable Schedule'!$B$2:$B$6012,"D",'Cable Schedule'!$I$2:$I$6012,"Portable MV")</f>
        <v/>
      </c>
      <c r="N6" s="18">
        <f>SUMIFS('Cable Schedule'!$W$2:$W$6012,'Cable Schedule'!$B$2:$B$6012,"D",'Cable Schedule'!$I$2:$I$6012,"Portable LV")</f>
        <v/>
      </c>
      <c r="O6" s="18">
        <f>SUMIFS('Cable Schedule'!$W$2:$W$6012,'Cable Schedule'!$B$2:$B$6012,"D",'Cable Schedule'!$I$2:$I$6012,"Building wire")</f>
        <v/>
      </c>
      <c r="P6" s="18">
        <f>SUMIFS('Cable Schedule'!$W$2:$W$6012,'Cable Schedule'!$B$2:$B$6012,"D",'Cable Schedule'!$I$2:$I$6012,"Grounding")</f>
        <v/>
      </c>
      <c r="Q6" s="18">
        <f>SUMIFS('Cable Schedule'!$W$2:$W$6012,'Cable Schedule'!$B$2:$B$6012,"D",'Cable Schedule'!$I$2:$I$6012,"Overhead")</f>
        <v/>
      </c>
      <c r="R6" s="28">
        <f>SUM(B6:Q6)</f>
        <v/>
      </c>
    </row>
    <row r="7">
      <c r="A7" s="12" t="inlineStr">
        <is>
          <t>E  Water / utilities</t>
        </is>
      </c>
      <c r="B7" s="18">
        <f>SUMIFS('Cable Schedule'!$W$2:$W$6012,'Cable Schedule'!$B$2:$B$6012,"E",'Cable Schedule'!$I$2:$I$6012,"MV 15 kV")</f>
        <v/>
      </c>
      <c r="C7" s="18">
        <f>SUMIFS('Cable Schedule'!$W$2:$W$6012,'Cable Schedule'!$B$2:$B$6012,"E",'Cable Schedule'!$I$2:$I$6012,"MV 5 kV")</f>
        <v/>
      </c>
      <c r="D7" s="18">
        <f>SUMIFS('Cable Schedule'!$W$2:$W$6012,'Cable Schedule'!$B$2:$B$6012,"E",'Cable Schedule'!$I$2:$I$6012,"MV 25 kV")</f>
        <v/>
      </c>
      <c r="E7" s="18">
        <f>SUMIFS('Cable Schedule'!$W$2:$W$6012,'Cable Schedule'!$B$2:$B$6012,"E",'Cable Schedule'!$I$2:$I$6012,"MV 35 kV")</f>
        <v/>
      </c>
      <c r="F7" s="18">
        <f>SUMIFS('Cable Schedule'!$W$2:$W$6012,'Cable Schedule'!$B$2:$B$6012,"E",'Cable Schedule'!$I$2:$I$6012,"HV 230 kV")</f>
        <v/>
      </c>
      <c r="G7" s="18">
        <f>SUMIFS('Cable Schedule'!$W$2:$W$6012,'Cable Schedule'!$B$2:$B$6012,"E",'Cable Schedule'!$I$2:$I$6012,"LV 600 V")</f>
        <v/>
      </c>
      <c r="H7" s="18">
        <f>SUMIFS('Cable Schedule'!$W$2:$W$6012,'Cable Schedule'!$B$2:$B$6012,"E",'Cable Schedule'!$I$2:$I$6012,"Control")</f>
        <v/>
      </c>
      <c r="I7" s="18">
        <f>SUMIFS('Cable Schedule'!$W$2:$W$6012,'Cable Schedule'!$B$2:$B$6012,"E",'Cable Schedule'!$I$2:$I$6012,"Instrumentation")</f>
        <v/>
      </c>
      <c r="J7" s="18">
        <f>SUMIFS('Cable Schedule'!$W$2:$W$6012,'Cable Schedule'!$B$2:$B$6012,"E",'Cable Schedule'!$I$2:$I$6012,"Fire alarm")</f>
        <v/>
      </c>
      <c r="K7" s="18">
        <f>SUMIFS('Cable Schedule'!$W$2:$W$6012,'Cable Schedule'!$B$2:$B$6012,"E",'Cable Schedule'!$I$2:$I$6012,"Fibre / data")</f>
        <v/>
      </c>
      <c r="L7" s="18">
        <f>SUMIFS('Cable Schedule'!$W$2:$W$6012,'Cable Schedule'!$B$2:$B$6012,"E",'Cable Schedule'!$I$2:$I$6012,"DC 2 kV")</f>
        <v/>
      </c>
      <c r="M7" s="18">
        <f>SUMIFS('Cable Schedule'!$W$2:$W$6012,'Cable Schedule'!$B$2:$B$6012,"E",'Cable Schedule'!$I$2:$I$6012,"Portable MV")</f>
        <v/>
      </c>
      <c r="N7" s="18">
        <f>SUMIFS('Cable Schedule'!$W$2:$W$6012,'Cable Schedule'!$B$2:$B$6012,"E",'Cable Schedule'!$I$2:$I$6012,"Portable LV")</f>
        <v/>
      </c>
      <c r="O7" s="18">
        <f>SUMIFS('Cable Schedule'!$W$2:$W$6012,'Cable Schedule'!$B$2:$B$6012,"E",'Cable Schedule'!$I$2:$I$6012,"Building wire")</f>
        <v/>
      </c>
      <c r="P7" s="18">
        <f>SUMIFS('Cable Schedule'!$W$2:$W$6012,'Cable Schedule'!$B$2:$B$6012,"E",'Cable Schedule'!$I$2:$I$6012,"Grounding")</f>
        <v/>
      </c>
      <c r="Q7" s="18">
        <f>SUMIFS('Cable Schedule'!$W$2:$W$6012,'Cable Schedule'!$B$2:$B$6012,"E",'Cable Schedule'!$I$2:$I$6012,"Overhead")</f>
        <v/>
      </c>
      <c r="R7" s="28">
        <f>SUM(B7:Q7)</f>
        <v/>
      </c>
    </row>
    <row r="8">
      <c r="A8" s="12" t="inlineStr">
        <is>
          <t>F  Controls / service</t>
        </is>
      </c>
      <c r="B8" s="18">
        <f>SUMIFS('Cable Schedule'!$W$2:$W$6012,'Cable Schedule'!$B$2:$B$6012,"F",'Cable Schedule'!$I$2:$I$6012,"MV 15 kV")</f>
        <v/>
      </c>
      <c r="C8" s="18">
        <f>SUMIFS('Cable Schedule'!$W$2:$W$6012,'Cable Schedule'!$B$2:$B$6012,"F",'Cable Schedule'!$I$2:$I$6012,"MV 5 kV")</f>
        <v/>
      </c>
      <c r="D8" s="18">
        <f>SUMIFS('Cable Schedule'!$W$2:$W$6012,'Cable Schedule'!$B$2:$B$6012,"F",'Cable Schedule'!$I$2:$I$6012,"MV 25 kV")</f>
        <v/>
      </c>
      <c r="E8" s="18">
        <f>SUMIFS('Cable Schedule'!$W$2:$W$6012,'Cable Schedule'!$B$2:$B$6012,"F",'Cable Schedule'!$I$2:$I$6012,"MV 35 kV")</f>
        <v/>
      </c>
      <c r="F8" s="18">
        <f>SUMIFS('Cable Schedule'!$W$2:$W$6012,'Cable Schedule'!$B$2:$B$6012,"F",'Cable Schedule'!$I$2:$I$6012,"HV 230 kV")</f>
        <v/>
      </c>
      <c r="G8" s="18">
        <f>SUMIFS('Cable Schedule'!$W$2:$W$6012,'Cable Schedule'!$B$2:$B$6012,"F",'Cable Schedule'!$I$2:$I$6012,"LV 600 V")</f>
        <v/>
      </c>
      <c r="H8" s="18">
        <f>SUMIFS('Cable Schedule'!$W$2:$W$6012,'Cable Schedule'!$B$2:$B$6012,"F",'Cable Schedule'!$I$2:$I$6012,"Control")</f>
        <v/>
      </c>
      <c r="I8" s="18">
        <f>SUMIFS('Cable Schedule'!$W$2:$W$6012,'Cable Schedule'!$B$2:$B$6012,"F",'Cable Schedule'!$I$2:$I$6012,"Instrumentation")</f>
        <v/>
      </c>
      <c r="J8" s="18">
        <f>SUMIFS('Cable Schedule'!$W$2:$W$6012,'Cable Schedule'!$B$2:$B$6012,"F",'Cable Schedule'!$I$2:$I$6012,"Fire alarm")</f>
        <v/>
      </c>
      <c r="K8" s="18">
        <f>SUMIFS('Cable Schedule'!$W$2:$W$6012,'Cable Schedule'!$B$2:$B$6012,"F",'Cable Schedule'!$I$2:$I$6012,"Fibre / data")</f>
        <v/>
      </c>
      <c r="L8" s="18">
        <f>SUMIFS('Cable Schedule'!$W$2:$W$6012,'Cable Schedule'!$B$2:$B$6012,"F",'Cable Schedule'!$I$2:$I$6012,"DC 2 kV")</f>
        <v/>
      </c>
      <c r="M8" s="18">
        <f>SUMIFS('Cable Schedule'!$W$2:$W$6012,'Cable Schedule'!$B$2:$B$6012,"F",'Cable Schedule'!$I$2:$I$6012,"Portable MV")</f>
        <v/>
      </c>
      <c r="N8" s="18">
        <f>SUMIFS('Cable Schedule'!$W$2:$W$6012,'Cable Schedule'!$B$2:$B$6012,"F",'Cable Schedule'!$I$2:$I$6012,"Portable LV")</f>
        <v/>
      </c>
      <c r="O8" s="18">
        <f>SUMIFS('Cable Schedule'!$W$2:$W$6012,'Cable Schedule'!$B$2:$B$6012,"F",'Cable Schedule'!$I$2:$I$6012,"Building wire")</f>
        <v/>
      </c>
      <c r="P8" s="18">
        <f>SUMIFS('Cable Schedule'!$W$2:$W$6012,'Cable Schedule'!$B$2:$B$6012,"F",'Cable Schedule'!$I$2:$I$6012,"Grounding")</f>
        <v/>
      </c>
      <c r="Q8" s="18">
        <f>SUMIFS('Cable Schedule'!$W$2:$W$6012,'Cable Schedule'!$B$2:$B$6012,"F",'Cable Schedule'!$I$2:$I$6012,"Overhead")</f>
        <v/>
      </c>
      <c r="R8" s="28">
        <f>SUM(B8:Q8)</f>
        <v/>
      </c>
    </row>
    <row r="9">
      <c r="A9" s="12" t="inlineStr">
        <is>
          <t>G  Carbon capture</t>
        </is>
      </c>
      <c r="B9" s="18">
        <f>SUMIFS('Cable Schedule'!$W$2:$W$6012,'Cable Schedule'!$B$2:$B$6012,"G",'Cable Schedule'!$I$2:$I$6012,"MV 15 kV")</f>
        <v/>
      </c>
      <c r="C9" s="18">
        <f>SUMIFS('Cable Schedule'!$W$2:$W$6012,'Cable Schedule'!$B$2:$B$6012,"G",'Cable Schedule'!$I$2:$I$6012,"MV 5 kV")</f>
        <v/>
      </c>
      <c r="D9" s="18">
        <f>SUMIFS('Cable Schedule'!$W$2:$W$6012,'Cable Schedule'!$B$2:$B$6012,"G",'Cable Schedule'!$I$2:$I$6012,"MV 25 kV")</f>
        <v/>
      </c>
      <c r="E9" s="18">
        <f>SUMIFS('Cable Schedule'!$W$2:$W$6012,'Cable Schedule'!$B$2:$B$6012,"G",'Cable Schedule'!$I$2:$I$6012,"MV 35 kV")</f>
        <v/>
      </c>
      <c r="F9" s="18">
        <f>SUMIFS('Cable Schedule'!$W$2:$W$6012,'Cable Schedule'!$B$2:$B$6012,"G",'Cable Schedule'!$I$2:$I$6012,"HV 230 kV")</f>
        <v/>
      </c>
      <c r="G9" s="18">
        <f>SUMIFS('Cable Schedule'!$W$2:$W$6012,'Cable Schedule'!$B$2:$B$6012,"G",'Cable Schedule'!$I$2:$I$6012,"LV 600 V")</f>
        <v/>
      </c>
      <c r="H9" s="18">
        <f>SUMIFS('Cable Schedule'!$W$2:$W$6012,'Cable Schedule'!$B$2:$B$6012,"G",'Cable Schedule'!$I$2:$I$6012,"Control")</f>
        <v/>
      </c>
      <c r="I9" s="18">
        <f>SUMIFS('Cable Schedule'!$W$2:$W$6012,'Cable Schedule'!$B$2:$B$6012,"G",'Cable Schedule'!$I$2:$I$6012,"Instrumentation")</f>
        <v/>
      </c>
      <c r="J9" s="18">
        <f>SUMIFS('Cable Schedule'!$W$2:$W$6012,'Cable Schedule'!$B$2:$B$6012,"G",'Cable Schedule'!$I$2:$I$6012,"Fire alarm")</f>
        <v/>
      </c>
      <c r="K9" s="18">
        <f>SUMIFS('Cable Schedule'!$W$2:$W$6012,'Cable Schedule'!$B$2:$B$6012,"G",'Cable Schedule'!$I$2:$I$6012,"Fibre / data")</f>
        <v/>
      </c>
      <c r="L9" s="18">
        <f>SUMIFS('Cable Schedule'!$W$2:$W$6012,'Cable Schedule'!$B$2:$B$6012,"G",'Cable Schedule'!$I$2:$I$6012,"DC 2 kV")</f>
        <v/>
      </c>
      <c r="M9" s="18">
        <f>SUMIFS('Cable Schedule'!$W$2:$W$6012,'Cable Schedule'!$B$2:$B$6012,"G",'Cable Schedule'!$I$2:$I$6012,"Portable MV")</f>
        <v/>
      </c>
      <c r="N9" s="18">
        <f>SUMIFS('Cable Schedule'!$W$2:$W$6012,'Cable Schedule'!$B$2:$B$6012,"G",'Cable Schedule'!$I$2:$I$6012,"Portable LV")</f>
        <v/>
      </c>
      <c r="O9" s="18">
        <f>SUMIFS('Cable Schedule'!$W$2:$W$6012,'Cable Schedule'!$B$2:$B$6012,"G",'Cable Schedule'!$I$2:$I$6012,"Building wire")</f>
        <v/>
      </c>
      <c r="P9" s="18">
        <f>SUMIFS('Cable Schedule'!$W$2:$W$6012,'Cable Schedule'!$B$2:$B$6012,"G",'Cable Schedule'!$I$2:$I$6012,"Grounding")</f>
        <v/>
      </c>
      <c r="Q9" s="18">
        <f>SUMIFS('Cable Schedule'!$W$2:$W$6012,'Cable Schedule'!$B$2:$B$6012,"G",'Cable Schedule'!$I$2:$I$6012,"Overhead")</f>
        <v/>
      </c>
      <c r="R9" s="28">
        <f>SUM(B9:Q9)</f>
        <v/>
      </c>
    </row>
    <row r="10">
      <c r="A10" s="12" t="inlineStr">
        <is>
          <t>H  BESS</t>
        </is>
      </c>
      <c r="B10" s="18">
        <f>SUMIFS('Cable Schedule'!$W$2:$W$6012,'Cable Schedule'!$B$2:$B$6012,"H",'Cable Schedule'!$I$2:$I$6012,"MV 15 kV")</f>
        <v/>
      </c>
      <c r="C10" s="18">
        <f>SUMIFS('Cable Schedule'!$W$2:$W$6012,'Cable Schedule'!$B$2:$B$6012,"H",'Cable Schedule'!$I$2:$I$6012,"MV 5 kV")</f>
        <v/>
      </c>
      <c r="D10" s="18">
        <f>SUMIFS('Cable Schedule'!$W$2:$W$6012,'Cable Schedule'!$B$2:$B$6012,"H",'Cable Schedule'!$I$2:$I$6012,"MV 25 kV")</f>
        <v/>
      </c>
      <c r="E10" s="18">
        <f>SUMIFS('Cable Schedule'!$W$2:$W$6012,'Cable Schedule'!$B$2:$B$6012,"H",'Cable Schedule'!$I$2:$I$6012,"MV 35 kV")</f>
        <v/>
      </c>
      <c r="F10" s="18">
        <f>SUMIFS('Cable Schedule'!$W$2:$W$6012,'Cable Schedule'!$B$2:$B$6012,"H",'Cable Schedule'!$I$2:$I$6012,"HV 230 kV")</f>
        <v/>
      </c>
      <c r="G10" s="18">
        <f>SUMIFS('Cable Schedule'!$W$2:$W$6012,'Cable Schedule'!$B$2:$B$6012,"H",'Cable Schedule'!$I$2:$I$6012,"LV 600 V")</f>
        <v/>
      </c>
      <c r="H10" s="18">
        <f>SUMIFS('Cable Schedule'!$W$2:$W$6012,'Cable Schedule'!$B$2:$B$6012,"H",'Cable Schedule'!$I$2:$I$6012,"Control")</f>
        <v/>
      </c>
      <c r="I10" s="18">
        <f>SUMIFS('Cable Schedule'!$W$2:$W$6012,'Cable Schedule'!$B$2:$B$6012,"H",'Cable Schedule'!$I$2:$I$6012,"Instrumentation")</f>
        <v/>
      </c>
      <c r="J10" s="18">
        <f>SUMIFS('Cable Schedule'!$W$2:$W$6012,'Cable Schedule'!$B$2:$B$6012,"H",'Cable Schedule'!$I$2:$I$6012,"Fire alarm")</f>
        <v/>
      </c>
      <c r="K10" s="18">
        <f>SUMIFS('Cable Schedule'!$W$2:$W$6012,'Cable Schedule'!$B$2:$B$6012,"H",'Cable Schedule'!$I$2:$I$6012,"Fibre / data")</f>
        <v/>
      </c>
      <c r="L10" s="18">
        <f>SUMIFS('Cable Schedule'!$W$2:$W$6012,'Cable Schedule'!$B$2:$B$6012,"H",'Cable Schedule'!$I$2:$I$6012,"DC 2 kV")</f>
        <v/>
      </c>
      <c r="M10" s="18">
        <f>SUMIFS('Cable Schedule'!$W$2:$W$6012,'Cable Schedule'!$B$2:$B$6012,"H",'Cable Schedule'!$I$2:$I$6012,"Portable MV")</f>
        <v/>
      </c>
      <c r="N10" s="18">
        <f>SUMIFS('Cable Schedule'!$W$2:$W$6012,'Cable Schedule'!$B$2:$B$6012,"H",'Cable Schedule'!$I$2:$I$6012,"Portable LV")</f>
        <v/>
      </c>
      <c r="O10" s="18">
        <f>SUMIFS('Cable Schedule'!$W$2:$W$6012,'Cable Schedule'!$B$2:$B$6012,"H",'Cable Schedule'!$I$2:$I$6012,"Building wire")</f>
        <v/>
      </c>
      <c r="P10" s="18">
        <f>SUMIFS('Cable Schedule'!$W$2:$W$6012,'Cable Schedule'!$B$2:$B$6012,"H",'Cable Schedule'!$I$2:$I$6012,"Grounding")</f>
        <v/>
      </c>
      <c r="Q10" s="18">
        <f>SUMIFS('Cable Schedule'!$W$2:$W$6012,'Cable Schedule'!$B$2:$B$6012,"H",'Cable Schedule'!$I$2:$I$6012,"Overhead")</f>
        <v/>
      </c>
      <c r="R10" s="28">
        <f>SUM(B10:Q10)</f>
        <v/>
      </c>
    </row>
    <row r="11">
      <c r="A11" s="12" t="inlineStr">
        <is>
          <t>I  Modular / portable power</t>
        </is>
      </c>
      <c r="B11" s="18">
        <f>SUMIFS('Cable Schedule'!$W$2:$W$6012,'Cable Schedule'!$B$2:$B$6012,"I",'Cable Schedule'!$I$2:$I$6012,"MV 15 kV")</f>
        <v/>
      </c>
      <c r="C11" s="18">
        <f>SUMIFS('Cable Schedule'!$W$2:$W$6012,'Cable Schedule'!$B$2:$B$6012,"I",'Cable Schedule'!$I$2:$I$6012,"MV 5 kV")</f>
        <v/>
      </c>
      <c r="D11" s="18">
        <f>SUMIFS('Cable Schedule'!$W$2:$W$6012,'Cable Schedule'!$B$2:$B$6012,"I",'Cable Schedule'!$I$2:$I$6012,"MV 25 kV")</f>
        <v/>
      </c>
      <c r="E11" s="18">
        <f>SUMIFS('Cable Schedule'!$W$2:$W$6012,'Cable Schedule'!$B$2:$B$6012,"I",'Cable Schedule'!$I$2:$I$6012,"MV 35 kV")</f>
        <v/>
      </c>
      <c r="F11" s="18">
        <f>SUMIFS('Cable Schedule'!$W$2:$W$6012,'Cable Schedule'!$B$2:$B$6012,"I",'Cable Schedule'!$I$2:$I$6012,"HV 230 kV")</f>
        <v/>
      </c>
      <c r="G11" s="18">
        <f>SUMIFS('Cable Schedule'!$W$2:$W$6012,'Cable Schedule'!$B$2:$B$6012,"I",'Cable Schedule'!$I$2:$I$6012,"LV 600 V")</f>
        <v/>
      </c>
      <c r="H11" s="18">
        <f>SUMIFS('Cable Schedule'!$W$2:$W$6012,'Cable Schedule'!$B$2:$B$6012,"I",'Cable Schedule'!$I$2:$I$6012,"Control")</f>
        <v/>
      </c>
      <c r="I11" s="18">
        <f>SUMIFS('Cable Schedule'!$W$2:$W$6012,'Cable Schedule'!$B$2:$B$6012,"I",'Cable Schedule'!$I$2:$I$6012,"Instrumentation")</f>
        <v/>
      </c>
      <c r="J11" s="18">
        <f>SUMIFS('Cable Schedule'!$W$2:$W$6012,'Cable Schedule'!$B$2:$B$6012,"I",'Cable Schedule'!$I$2:$I$6012,"Fire alarm")</f>
        <v/>
      </c>
      <c r="K11" s="18">
        <f>SUMIFS('Cable Schedule'!$W$2:$W$6012,'Cable Schedule'!$B$2:$B$6012,"I",'Cable Schedule'!$I$2:$I$6012,"Fibre / data")</f>
        <v/>
      </c>
      <c r="L11" s="18">
        <f>SUMIFS('Cable Schedule'!$W$2:$W$6012,'Cable Schedule'!$B$2:$B$6012,"I",'Cable Schedule'!$I$2:$I$6012,"DC 2 kV")</f>
        <v/>
      </c>
      <c r="M11" s="18">
        <f>SUMIFS('Cable Schedule'!$W$2:$W$6012,'Cable Schedule'!$B$2:$B$6012,"I",'Cable Schedule'!$I$2:$I$6012,"Portable MV")</f>
        <v/>
      </c>
      <c r="N11" s="18">
        <f>SUMIFS('Cable Schedule'!$W$2:$W$6012,'Cable Schedule'!$B$2:$B$6012,"I",'Cable Schedule'!$I$2:$I$6012,"Portable LV")</f>
        <v/>
      </c>
      <c r="O11" s="18">
        <f>SUMIFS('Cable Schedule'!$W$2:$W$6012,'Cable Schedule'!$B$2:$B$6012,"I",'Cable Schedule'!$I$2:$I$6012,"Building wire")</f>
        <v/>
      </c>
      <c r="P11" s="18">
        <f>SUMIFS('Cable Schedule'!$W$2:$W$6012,'Cable Schedule'!$B$2:$B$6012,"I",'Cable Schedule'!$I$2:$I$6012,"Grounding")</f>
        <v/>
      </c>
      <c r="Q11" s="18">
        <f>SUMIFS('Cable Schedule'!$W$2:$W$6012,'Cable Schedule'!$B$2:$B$6012,"I",'Cable Schedule'!$I$2:$I$6012,"Overhead")</f>
        <v/>
      </c>
      <c r="R11" s="28">
        <f>SUM(B11:Q11)</f>
        <v/>
      </c>
    </row>
    <row r="12">
      <c r="A12" s="12" t="inlineStr">
        <is>
          <t>J  GT inlet chilling</t>
        </is>
      </c>
      <c r="B12" s="18">
        <f>SUMIFS('Cable Schedule'!$W$2:$W$6012,'Cable Schedule'!$B$2:$B$6012,"J",'Cable Schedule'!$I$2:$I$6012,"MV 15 kV")</f>
        <v/>
      </c>
      <c r="C12" s="18">
        <f>SUMIFS('Cable Schedule'!$W$2:$W$6012,'Cable Schedule'!$B$2:$B$6012,"J",'Cable Schedule'!$I$2:$I$6012,"MV 5 kV")</f>
        <v/>
      </c>
      <c r="D12" s="18">
        <f>SUMIFS('Cable Schedule'!$W$2:$W$6012,'Cable Schedule'!$B$2:$B$6012,"J",'Cable Schedule'!$I$2:$I$6012,"MV 25 kV")</f>
        <v/>
      </c>
      <c r="E12" s="18">
        <f>SUMIFS('Cable Schedule'!$W$2:$W$6012,'Cable Schedule'!$B$2:$B$6012,"J",'Cable Schedule'!$I$2:$I$6012,"MV 35 kV")</f>
        <v/>
      </c>
      <c r="F12" s="18">
        <f>SUMIFS('Cable Schedule'!$W$2:$W$6012,'Cable Schedule'!$B$2:$B$6012,"J",'Cable Schedule'!$I$2:$I$6012,"HV 230 kV")</f>
        <v/>
      </c>
      <c r="G12" s="18">
        <f>SUMIFS('Cable Schedule'!$W$2:$W$6012,'Cable Schedule'!$B$2:$B$6012,"J",'Cable Schedule'!$I$2:$I$6012,"LV 600 V")</f>
        <v/>
      </c>
      <c r="H12" s="18">
        <f>SUMIFS('Cable Schedule'!$W$2:$W$6012,'Cable Schedule'!$B$2:$B$6012,"J",'Cable Schedule'!$I$2:$I$6012,"Control")</f>
        <v/>
      </c>
      <c r="I12" s="18">
        <f>SUMIFS('Cable Schedule'!$W$2:$W$6012,'Cable Schedule'!$B$2:$B$6012,"J",'Cable Schedule'!$I$2:$I$6012,"Instrumentation")</f>
        <v/>
      </c>
      <c r="J12" s="18">
        <f>SUMIFS('Cable Schedule'!$W$2:$W$6012,'Cable Schedule'!$B$2:$B$6012,"J",'Cable Schedule'!$I$2:$I$6012,"Fire alarm")</f>
        <v/>
      </c>
      <c r="K12" s="18">
        <f>SUMIFS('Cable Schedule'!$W$2:$W$6012,'Cable Schedule'!$B$2:$B$6012,"J",'Cable Schedule'!$I$2:$I$6012,"Fibre / data")</f>
        <v/>
      </c>
      <c r="L12" s="18">
        <f>SUMIFS('Cable Schedule'!$W$2:$W$6012,'Cable Schedule'!$B$2:$B$6012,"J",'Cable Schedule'!$I$2:$I$6012,"DC 2 kV")</f>
        <v/>
      </c>
      <c r="M12" s="18">
        <f>SUMIFS('Cable Schedule'!$W$2:$W$6012,'Cable Schedule'!$B$2:$B$6012,"J",'Cable Schedule'!$I$2:$I$6012,"Portable MV")</f>
        <v/>
      </c>
      <c r="N12" s="18">
        <f>SUMIFS('Cable Schedule'!$W$2:$W$6012,'Cable Schedule'!$B$2:$B$6012,"J",'Cable Schedule'!$I$2:$I$6012,"Portable LV")</f>
        <v/>
      </c>
      <c r="O12" s="18">
        <f>SUMIFS('Cable Schedule'!$W$2:$W$6012,'Cable Schedule'!$B$2:$B$6012,"J",'Cable Schedule'!$I$2:$I$6012,"Building wire")</f>
        <v/>
      </c>
      <c r="P12" s="18">
        <f>SUMIFS('Cable Schedule'!$W$2:$W$6012,'Cable Schedule'!$B$2:$B$6012,"J",'Cable Schedule'!$I$2:$I$6012,"Grounding")</f>
        <v/>
      </c>
      <c r="Q12" s="18">
        <f>SUMIFS('Cable Schedule'!$W$2:$W$6012,'Cable Schedule'!$B$2:$B$6012,"J",'Cable Schedule'!$I$2:$I$6012,"Overhead")</f>
        <v/>
      </c>
      <c r="R12" s="28">
        <f>SUM(B12:Q12)</f>
        <v/>
      </c>
    </row>
    <row r="13">
      <c r="A13" s="12" t="inlineStr">
        <is>
          <t>K  Fuel supply (adjacent market)</t>
        </is>
      </c>
      <c r="B13" s="18">
        <f>SUMIFS('Cable Schedule'!$W$2:$W$6012,'Cable Schedule'!$B$2:$B$6012,"K",'Cable Schedule'!$I$2:$I$6012,"MV 15 kV")</f>
        <v/>
      </c>
      <c r="C13" s="18">
        <f>SUMIFS('Cable Schedule'!$W$2:$W$6012,'Cable Schedule'!$B$2:$B$6012,"K",'Cable Schedule'!$I$2:$I$6012,"MV 5 kV")</f>
        <v/>
      </c>
      <c r="D13" s="18">
        <f>SUMIFS('Cable Schedule'!$W$2:$W$6012,'Cable Schedule'!$B$2:$B$6012,"K",'Cable Schedule'!$I$2:$I$6012,"MV 25 kV")</f>
        <v/>
      </c>
      <c r="E13" s="18">
        <f>SUMIFS('Cable Schedule'!$W$2:$W$6012,'Cable Schedule'!$B$2:$B$6012,"K",'Cable Schedule'!$I$2:$I$6012,"MV 35 kV")</f>
        <v/>
      </c>
      <c r="F13" s="18">
        <f>SUMIFS('Cable Schedule'!$W$2:$W$6012,'Cable Schedule'!$B$2:$B$6012,"K",'Cable Schedule'!$I$2:$I$6012,"HV 230 kV")</f>
        <v/>
      </c>
      <c r="G13" s="18">
        <f>SUMIFS('Cable Schedule'!$W$2:$W$6012,'Cable Schedule'!$B$2:$B$6012,"K",'Cable Schedule'!$I$2:$I$6012,"LV 600 V")</f>
        <v/>
      </c>
      <c r="H13" s="18">
        <f>SUMIFS('Cable Schedule'!$W$2:$W$6012,'Cable Schedule'!$B$2:$B$6012,"K",'Cable Schedule'!$I$2:$I$6012,"Control")</f>
        <v/>
      </c>
      <c r="I13" s="18">
        <f>SUMIFS('Cable Schedule'!$W$2:$W$6012,'Cable Schedule'!$B$2:$B$6012,"K",'Cable Schedule'!$I$2:$I$6012,"Instrumentation")</f>
        <v/>
      </c>
      <c r="J13" s="18">
        <f>SUMIFS('Cable Schedule'!$W$2:$W$6012,'Cable Schedule'!$B$2:$B$6012,"K",'Cable Schedule'!$I$2:$I$6012,"Fire alarm")</f>
        <v/>
      </c>
      <c r="K13" s="18">
        <f>SUMIFS('Cable Schedule'!$W$2:$W$6012,'Cable Schedule'!$B$2:$B$6012,"K",'Cable Schedule'!$I$2:$I$6012,"Fibre / data")</f>
        <v/>
      </c>
      <c r="L13" s="18">
        <f>SUMIFS('Cable Schedule'!$W$2:$W$6012,'Cable Schedule'!$B$2:$B$6012,"K",'Cable Schedule'!$I$2:$I$6012,"DC 2 kV")</f>
        <v/>
      </c>
      <c r="M13" s="18">
        <f>SUMIFS('Cable Schedule'!$W$2:$W$6012,'Cable Schedule'!$B$2:$B$6012,"K",'Cable Schedule'!$I$2:$I$6012,"Portable MV")</f>
        <v/>
      </c>
      <c r="N13" s="18">
        <f>SUMIFS('Cable Schedule'!$W$2:$W$6012,'Cable Schedule'!$B$2:$B$6012,"K",'Cable Schedule'!$I$2:$I$6012,"Portable LV")</f>
        <v/>
      </c>
      <c r="O13" s="18">
        <f>SUMIFS('Cable Schedule'!$W$2:$W$6012,'Cable Schedule'!$B$2:$B$6012,"K",'Cable Schedule'!$I$2:$I$6012,"Building wire")</f>
        <v/>
      </c>
      <c r="P13" s="18">
        <f>SUMIFS('Cable Schedule'!$W$2:$W$6012,'Cable Schedule'!$B$2:$B$6012,"K",'Cable Schedule'!$I$2:$I$6012,"Grounding")</f>
        <v/>
      </c>
      <c r="Q13" s="18">
        <f>SUMIFS('Cable Schedule'!$W$2:$W$6012,'Cable Schedule'!$B$2:$B$6012,"K",'Cable Schedule'!$I$2:$I$6012,"Overhead")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Schedule'!B2:B6012,"?")</f>
        <v/>
      </c>
    </row>
    <row r="18">
      <c r="A18" s="22" t="inlineStr">
        <is>
          <t>Cables (count)</t>
        </is>
      </c>
      <c r="B18" s="18">
        <f>SUM('Cable Schedule'!AA2:AA6012)</f>
        <v/>
      </c>
    </row>
    <row r="20">
      <c r="A20" s="22" t="inlineStr">
        <is>
          <t>Device count behind the schedule (typical for each equipment class)</t>
        </is>
      </c>
    </row>
    <row r="21">
      <c r="A21" s="12" t="inlineStr">
        <is>
          <t>Analog instruments</t>
        </is>
      </c>
      <c r="B21" s="30" t="n">
        <v>6302</v>
      </c>
    </row>
    <row r="22">
      <c r="A22" s="12" t="inlineStr">
        <is>
          <t>Discrete devices</t>
        </is>
      </c>
      <c r="B22" s="30" t="n">
        <v>6616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778</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2"/>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500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500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500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CEMS shelter, AB-1</t>
        </is>
      </c>
      <c r="B819" s="12" t="inlineStr"/>
      <c r="C819" s="12" t="inlineStr">
        <is>
          <t>E</t>
        </is>
      </c>
      <c r="D819" s="12" t="inlineStr">
        <is>
          <t>Motor 1 of 2, 5 kW</t>
        </is>
      </c>
      <c r="E819" s="12" t="n">
        <v>480</v>
      </c>
      <c r="F819" s="12" t="n">
        <v>5</v>
      </c>
      <c r="G819" s="12" t="n">
        <v>7.1</v>
      </c>
      <c r="H819" s="12" t="inlineStr">
        <is>
          <t>R1 MCC-C2</t>
        </is>
      </c>
      <c r="I819" s="12" t="inlineStr">
        <is>
          <t>LV 600 V</t>
        </is>
      </c>
      <c r="J819" s="12" t="inlineStr">
        <is>
          <t>4</t>
        </is>
      </c>
      <c r="K819" s="12" t="n">
        <v>1</v>
      </c>
    </row>
    <row r="820">
      <c r="A820" s="12" t="inlineStr">
        <is>
          <t>CEMS shelter, AB-1</t>
        </is>
      </c>
      <c r="B820" s="12" t="inlineStr"/>
      <c r="C820" s="12" t="inlineStr">
        <is>
          <t>E</t>
        </is>
      </c>
      <c r="D820" s="12" t="inlineStr">
        <is>
          <t>Motor 2 of 2, 5 kW</t>
        </is>
      </c>
      <c r="E820" s="12" t="n">
        <v>480</v>
      </c>
      <c r="F820" s="12" t="n">
        <v>5</v>
      </c>
      <c r="G820" s="12" t="n">
        <v>7.1</v>
      </c>
      <c r="H820" s="12" t="inlineStr">
        <is>
          <t>R1 MCC-C2</t>
        </is>
      </c>
      <c r="I820" s="12" t="inlineStr">
        <is>
          <t>LV 600 V</t>
        </is>
      </c>
      <c r="J820" s="12" t="inlineStr">
        <is>
          <t>4</t>
        </is>
      </c>
      <c r="K820" s="12" t="n">
        <v>1</v>
      </c>
    </row>
    <row r="821">
      <c r="A821" s="12" t="inlineStr">
        <is>
          <t>CPR-2: cathodic-protection rectifier</t>
        </is>
      </c>
      <c r="B821" s="12" t="inlineStr">
        <is>
          <t>CPR-2</t>
        </is>
      </c>
      <c r="C821" s="12" t="inlineStr">
        <is>
          <t>E</t>
        </is>
      </c>
      <c r="D821" s="12" t="inlineStr">
        <is>
          <t>Cathodic-protection rectifier supply</t>
        </is>
      </c>
      <c r="E821" s="12" t="n">
        <v>480</v>
      </c>
      <c r="F821" s="12" t="n">
        <v>10</v>
      </c>
      <c r="G821" s="12" t="n">
        <v>12.7</v>
      </c>
      <c r="H821" s="12" t="inlineStr">
        <is>
          <t>R1 MCC-C2</t>
        </is>
      </c>
      <c r="I821" s="12" t="inlineStr">
        <is>
          <t>LV 600 V</t>
        </is>
      </c>
      <c r="J821" s="12" t="inlineStr">
        <is>
          <t>2</t>
        </is>
      </c>
      <c r="K821" s="12" t="n">
        <v>1</v>
      </c>
    </row>
    <row r="822">
      <c r="A822" s="12" t="inlineStr">
        <is>
          <t>Demineralised water tank</t>
        </is>
      </c>
      <c r="B822" s="12" t="inlineStr"/>
      <c r="C822" s="12" t="inlineStr">
        <is>
          <t>E</t>
        </is>
      </c>
      <c r="D822" s="12" t="inlineStr">
        <is>
          <t>LV power feeder</t>
        </is>
      </c>
      <c r="E822" s="12" t="n">
        <v>480</v>
      </c>
      <c r="F822" s="12" t="n">
        <v>10</v>
      </c>
      <c r="G822" s="12" t="n">
        <v>14.2</v>
      </c>
      <c r="H822" s="12" t="inlineStr">
        <is>
          <t>R1 MCC-C2</t>
        </is>
      </c>
      <c r="I822" s="12" t="inlineStr">
        <is>
          <t>LV 600 V</t>
        </is>
      </c>
      <c r="J822" s="12" t="inlineStr">
        <is>
          <t>2</t>
        </is>
      </c>
      <c r="K822" s="12" t="n">
        <v>1</v>
      </c>
    </row>
    <row r="823">
      <c r="A823" s="12" t="inlineStr">
        <is>
          <t>Fire / service water tank</t>
        </is>
      </c>
      <c r="B823" s="12" t="inlineStr"/>
      <c r="C823" s="12" t="inlineStr">
        <is>
          <t>E</t>
        </is>
      </c>
      <c r="D823" s="12" t="inlineStr">
        <is>
          <t>LV power feeder</t>
        </is>
      </c>
      <c r="E823" s="12" t="n">
        <v>480</v>
      </c>
      <c r="F823" s="12" t="n">
        <v>10</v>
      </c>
      <c r="G823" s="12" t="n">
        <v>14.2</v>
      </c>
      <c r="H823" s="12" t="inlineStr">
        <is>
          <t>R1 MCC-C2</t>
        </is>
      </c>
      <c r="I823" s="12" t="inlineStr">
        <is>
          <t>LV 600 V</t>
        </is>
      </c>
      <c r="J823" s="12" t="inlineStr">
        <is>
          <t>2</t>
        </is>
      </c>
      <c r="K823" s="12" t="n">
        <v>1</v>
      </c>
    </row>
    <row r="824">
      <c r="A824" s="12" t="inlineStr">
        <is>
          <t>Fire pump house</t>
        </is>
      </c>
      <c r="B824" s="12" t="inlineStr"/>
      <c r="C824" s="12" t="inlineStr">
        <is>
          <t>E</t>
        </is>
      </c>
      <c r="D824" s="12" t="inlineStr">
        <is>
          <t>Motor 1 of 1, 250 kW</t>
        </is>
      </c>
      <c r="E824" s="12" t="n">
        <v>480</v>
      </c>
      <c r="F824" s="12" t="n">
        <v>250</v>
      </c>
      <c r="G824" s="12" t="n">
        <v>353.8</v>
      </c>
      <c r="H824" s="12" t="inlineStr">
        <is>
          <t>R1 MCC-C2</t>
        </is>
      </c>
      <c r="I824" s="12" t="inlineStr">
        <is>
          <t>LV 600 V</t>
        </is>
      </c>
      <c r="J824" s="12" t="inlineStr">
        <is>
          <t>500 kcmil</t>
        </is>
      </c>
      <c r="K824" s="12" t="n">
        <v>3</v>
      </c>
    </row>
    <row r="825">
      <c r="A825" s="12" t="inlineStr">
        <is>
          <t>Fire pump house</t>
        </is>
      </c>
      <c r="B825" s="12" t="inlineStr"/>
      <c r="C825" s="12" t="inlineStr">
        <is>
          <t>E</t>
        </is>
      </c>
      <c r="D825" s="12" t="inlineStr">
        <is>
          <t>Motor 1 of 1, 15 kW</t>
        </is>
      </c>
      <c r="E825" s="12" t="n">
        <v>480</v>
      </c>
      <c r="F825" s="12" t="n">
        <v>15</v>
      </c>
      <c r="G825" s="12" t="n">
        <v>21.2</v>
      </c>
      <c r="H825" s="12" t="inlineStr">
        <is>
          <t>R1 MCC-C2</t>
        </is>
      </c>
      <c r="I825" s="12" t="inlineStr">
        <is>
          <t>LV 600 V</t>
        </is>
      </c>
      <c r="J825" s="12" t="inlineStr">
        <is>
          <t>1</t>
        </is>
      </c>
      <c r="K825" s="12" t="n">
        <v>1</v>
      </c>
    </row>
    <row r="826">
      <c r="A826" s="12" t="inlineStr">
        <is>
          <t>H2 / CO2 storage (generator gas)</t>
        </is>
      </c>
      <c r="B826" s="12" t="inlineStr"/>
      <c r="C826" s="12" t="inlineStr">
        <is>
          <t>E</t>
        </is>
      </c>
      <c r="D826" s="12" t="inlineStr">
        <is>
          <t>LV power feeder</t>
        </is>
      </c>
      <c r="E826" s="12" t="n">
        <v>480</v>
      </c>
      <c r="F826" s="12" t="n">
        <v>15</v>
      </c>
      <c r="G826" s="12" t="n">
        <v>21.2</v>
      </c>
      <c r="H826" s="12" t="inlineStr">
        <is>
          <t>R1 MCC-C2</t>
        </is>
      </c>
      <c r="I826" s="12" t="inlineStr">
        <is>
          <t>LV 600 V</t>
        </is>
      </c>
      <c r="J826" s="12" t="inlineStr">
        <is>
          <t>1/0</t>
        </is>
      </c>
      <c r="K826" s="12" t="n">
        <v>1</v>
      </c>
    </row>
    <row r="827">
      <c r="A827" s="12" t="inlineStr">
        <is>
          <t>HTP-2: heat-trace panel (NH3)</t>
        </is>
      </c>
      <c r="B827" s="12" t="inlineStr">
        <is>
          <t>HTP-2</t>
        </is>
      </c>
      <c r="C827" s="12" t="inlineStr">
        <is>
          <t>E</t>
        </is>
      </c>
      <c r="D827" s="12" t="inlineStr">
        <is>
          <t>LV power feeder</t>
        </is>
      </c>
      <c r="E827" s="12" t="n">
        <v>480</v>
      </c>
      <c r="F827" s="12" t="n">
        <v>120</v>
      </c>
      <c r="G827" s="12" t="n">
        <v>169.8</v>
      </c>
      <c r="H827" s="12" t="inlineStr">
        <is>
          <t>R1 MCC-C2</t>
        </is>
      </c>
      <c r="I827" s="12" t="inlineStr">
        <is>
          <t>LV 600 V</t>
        </is>
      </c>
      <c r="J827" s="12" t="inlineStr">
        <is>
          <t>350 kcmil</t>
        </is>
      </c>
      <c r="K827" s="12" t="n">
        <v>2</v>
      </c>
    </row>
    <row r="828">
      <c r="A828" s="12" t="inlineStr">
        <is>
          <t>HTP-2: heat-trace panel (NH3)</t>
        </is>
      </c>
      <c r="B828" s="12" t="inlineStr">
        <is>
          <t>HTP-2</t>
        </is>
      </c>
      <c r="C828" s="12" t="inlineStr">
        <is>
          <t>E</t>
        </is>
      </c>
      <c r="D828" s="12" t="inlineStr">
        <is>
          <t>Heat-trace circuit 1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2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3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4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5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6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7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8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9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10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11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12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13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14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15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16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17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18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19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20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21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22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23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24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HTP-3: heat-trace panel (tanks)</t>
        </is>
      </c>
      <c r="B852" s="12" t="inlineStr">
        <is>
          <t>HTP-3</t>
        </is>
      </c>
      <c r="C852" s="12" t="inlineStr">
        <is>
          <t>E</t>
        </is>
      </c>
      <c r="D852" s="12" t="inlineStr">
        <is>
          <t>LV power feeder</t>
        </is>
      </c>
      <c r="E852" s="12" t="n">
        <v>480</v>
      </c>
      <c r="F852" s="12" t="n">
        <v>10</v>
      </c>
      <c r="G852" s="12" t="n">
        <v>14.2</v>
      </c>
      <c r="H852" s="12" t="inlineStr">
        <is>
          <t>R1 MCC-C2</t>
        </is>
      </c>
      <c r="I852" s="12" t="inlineStr">
        <is>
          <t>LV 600 V</t>
        </is>
      </c>
      <c r="J852" s="12" t="inlineStr">
        <is>
          <t>2</t>
        </is>
      </c>
      <c r="K852" s="12" t="n">
        <v>1</v>
      </c>
    </row>
    <row r="853">
      <c r="A853" s="12" t="inlineStr">
        <is>
          <t>HTP-3: heat-trace panel (tanks)</t>
        </is>
      </c>
      <c r="B853" s="12" t="inlineStr">
        <is>
          <t>HTP-3</t>
        </is>
      </c>
      <c r="C853" s="12" t="inlineStr">
        <is>
          <t>E</t>
        </is>
      </c>
      <c r="D853" s="12" t="inlineStr">
        <is>
          <t>Heat-trace circuit 1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2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3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4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5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6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7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8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9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10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11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12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13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14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15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16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17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18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19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20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21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22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23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24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Oil-water separator</t>
        </is>
      </c>
      <c r="B877" s="12" t="inlineStr"/>
      <c r="C877" s="12" t="inlineStr">
        <is>
          <t>E</t>
        </is>
      </c>
      <c r="D877" s="12" t="inlineStr">
        <is>
          <t>Motor 1 of 2, 7 kW</t>
        </is>
      </c>
      <c r="E877" s="12" t="n">
        <v>480</v>
      </c>
      <c r="F877" s="12" t="n">
        <v>7</v>
      </c>
      <c r="G877" s="12" t="n">
        <v>9.9</v>
      </c>
      <c r="H877" s="12" t="inlineStr">
        <is>
          <t>R1 MCC-C2</t>
        </is>
      </c>
      <c r="I877" s="12" t="inlineStr">
        <is>
          <t>LV 600 V</t>
        </is>
      </c>
      <c r="J877" s="12" t="inlineStr">
        <is>
          <t>4</t>
        </is>
      </c>
      <c r="K877" s="12" t="n">
        <v>1</v>
      </c>
    </row>
    <row r="878">
      <c r="A878" s="12" t="inlineStr">
        <is>
          <t>Oil-water separator</t>
        </is>
      </c>
      <c r="B878" s="12" t="inlineStr"/>
      <c r="C878" s="12" t="inlineStr">
        <is>
          <t>E</t>
        </is>
      </c>
      <c r="D878" s="12" t="inlineStr">
        <is>
          <t>Motor 2 of 2, 7 kW</t>
        </is>
      </c>
      <c r="E878" s="12" t="n">
        <v>480</v>
      </c>
      <c r="F878" s="12" t="n">
        <v>7</v>
      </c>
      <c r="G878" s="12" t="n">
        <v>9.9</v>
      </c>
      <c r="H878" s="12" t="inlineStr">
        <is>
          <t>R1 MCC-C2</t>
        </is>
      </c>
      <c r="I878" s="12" t="inlineStr">
        <is>
          <t>LV 600 V</t>
        </is>
      </c>
      <c r="J878" s="12" t="inlineStr">
        <is>
          <t>4</t>
        </is>
      </c>
      <c r="K878" s="12" t="n">
        <v>1</v>
      </c>
    </row>
    <row r="879">
      <c r="A879" s="12" t="inlineStr">
        <is>
          <t>Raw water tank</t>
        </is>
      </c>
      <c r="B879" s="12" t="inlineStr"/>
      <c r="C879" s="12" t="inlineStr">
        <is>
          <t>E</t>
        </is>
      </c>
      <c r="D879" s="12" t="inlineStr">
        <is>
          <t>LV power feeder</t>
        </is>
      </c>
      <c r="E879" s="12" t="n">
        <v>480</v>
      </c>
      <c r="F879" s="12" t="n">
        <v>10</v>
      </c>
      <c r="G879" s="12" t="n">
        <v>14.2</v>
      </c>
      <c r="H879" s="12" t="inlineStr">
        <is>
          <t>R1 MCC-C2</t>
        </is>
      </c>
      <c r="I879" s="12" t="inlineStr">
        <is>
          <t>LV 600 V</t>
        </is>
      </c>
      <c r="J879" s="12" t="inlineStr">
        <is>
          <t>2</t>
        </is>
      </c>
      <c r="K879" s="12" t="n">
        <v>1</v>
      </c>
    </row>
    <row r="880">
      <c r="A880" s="12" t="inlineStr">
        <is>
          <t>Wastewater treatment</t>
        </is>
      </c>
      <c r="B880" s="12" t="inlineStr"/>
      <c r="C880" s="12" t="inlineStr">
        <is>
          <t>E</t>
        </is>
      </c>
      <c r="D880" s="12" t="inlineStr">
        <is>
          <t>Motor 1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2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3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4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5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6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7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8 of 8, 15 kW</t>
        </is>
      </c>
      <c r="E887" s="12" t="n">
        <v>480</v>
      </c>
      <c r="F887" s="12" t="n">
        <v>15</v>
      </c>
      <c r="G887" s="12" t="n">
        <v>21.2</v>
      </c>
      <c r="H887" s="12" t="inlineStr">
        <is>
          <t>R1 MCC-C2</t>
        </is>
      </c>
      <c r="I887" s="12" t="inlineStr">
        <is>
          <t>LV 600 V</t>
        </is>
      </c>
      <c r="J887" s="12" t="inlineStr">
        <is>
          <t>1</t>
        </is>
      </c>
      <c r="K887" s="12" t="n">
        <v>1</v>
      </c>
    </row>
    <row r="888">
      <c r="A888" s="12" t="inlineStr">
        <is>
          <t>Water treatment building (incl. R-WT electrical room)</t>
        </is>
      </c>
      <c r="B888" s="12" t="inlineStr">
        <is>
          <t>R-WT</t>
        </is>
      </c>
      <c r="C888" s="12" t="inlineStr">
        <is>
          <t>E</t>
        </is>
      </c>
      <c r="D888" s="12" t="inlineStr">
        <is>
          <t>Motor 1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2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3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4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5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6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7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8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9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10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11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12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13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14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15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16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17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18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19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20 of 20, 15 kW</t>
        </is>
      </c>
      <c r="E907" s="12" t="n">
        <v>480</v>
      </c>
      <c r="F907" s="12" t="n">
        <v>15</v>
      </c>
      <c r="G907" s="12" t="n">
        <v>21.2</v>
      </c>
      <c r="H907" s="12" t="inlineStr">
        <is>
          <t>R1 MCC-C2</t>
        </is>
      </c>
      <c r="I907" s="12" t="inlineStr">
        <is>
          <t>LV 600 V</t>
        </is>
      </c>
      <c r="J907" s="12" t="inlineStr">
        <is>
          <t>2</t>
        </is>
      </c>
      <c r="K907" s="12" t="n">
        <v>1</v>
      </c>
    </row>
    <row r="908">
      <c r="A908" s="12" t="inlineStr">
        <is>
          <t>Control / admin building (main control room)</t>
        </is>
      </c>
      <c r="B908" s="12" t="inlineStr">
        <is>
          <t>CR</t>
        </is>
      </c>
      <c r="C908" s="12" t="inlineStr">
        <is>
          <t>F</t>
        </is>
      </c>
      <c r="D908" s="12" t="inlineStr">
        <is>
          <t>LV panel / distribution feeder</t>
        </is>
      </c>
      <c r="E908" s="12" t="n">
        <v>480</v>
      </c>
      <c r="F908" s="12" t="n">
        <v>145</v>
      </c>
      <c r="G908" s="12" t="n">
        <v>205.2</v>
      </c>
      <c r="H908" s="12" t="inlineStr">
        <is>
          <t>R1 MCC-C2</t>
        </is>
      </c>
      <c r="I908" s="12" t="inlineStr">
        <is>
          <t>LV 600 V</t>
        </is>
      </c>
      <c r="J908" s="12" t="inlineStr">
        <is>
          <t>500 kcmil</t>
        </is>
      </c>
      <c r="K908" s="12" t="n">
        <v>1</v>
      </c>
    </row>
    <row r="909">
      <c r="A909" s="12" t="inlineStr">
        <is>
          <t>Control / admin building: MDP 480 V</t>
        </is>
      </c>
      <c r="B909" s="12" t="inlineStr">
        <is>
          <t>MDP 480 V</t>
        </is>
      </c>
      <c r="C909" s="12" t="inlineStr">
        <is>
          <t>F</t>
        </is>
      </c>
      <c r="D909" s="12" t="inlineStr">
        <is>
          <t>Building service 480 V, 800 A: 3 sets in 4 in PVC</t>
        </is>
      </c>
      <c r="E909" s="12" t="n">
        <v>480</v>
      </c>
      <c r="F909" s="12" t="n">
        <v>480</v>
      </c>
      <c r="G909" s="12" t="n">
        <v>800</v>
      </c>
      <c r="H909" s="12" t="inlineStr">
        <is>
          <t>Control / admin building: service duct bank, north wall x 26</t>
        </is>
      </c>
      <c r="I909" s="12" t="inlineStr">
        <is>
          <t>LV 600 V</t>
        </is>
      </c>
      <c r="J909" s="12" t="inlineStr">
        <is>
          <t>500 kcmil</t>
        </is>
      </c>
      <c r="K909" s="12" t="n">
        <v>3</v>
      </c>
    </row>
    <row r="910">
      <c r="A910" s="12" t="inlineStr">
        <is>
          <t>EDG-1: 3 MW emergency diesel generator (480 V)</t>
        </is>
      </c>
      <c r="B910" s="12" t="inlineStr">
        <is>
          <t>EDG-1</t>
        </is>
      </c>
      <c r="C910" s="12" t="inlineStr">
        <is>
          <t>F</t>
        </is>
      </c>
      <c r="D910" s="12" t="inlineStr">
        <is>
          <t>LV power feeder</t>
        </is>
      </c>
      <c r="E910" s="12" t="n">
        <v>480</v>
      </c>
      <c r="F910" s="12" t="n">
        <v>15</v>
      </c>
      <c r="G910" s="12" t="n">
        <v>21.2</v>
      </c>
      <c r="H910" s="12" t="inlineStr">
        <is>
          <t>R1 MCC-C2</t>
        </is>
      </c>
      <c r="I910" s="12" t="inlineStr">
        <is>
          <t>LV 600 V</t>
        </is>
      </c>
      <c r="J910" s="12" t="inlineStr">
        <is>
          <t>4</t>
        </is>
      </c>
      <c r="K910" s="12" t="n">
        <v>1</v>
      </c>
    </row>
    <row r="911">
      <c r="A911" s="12" t="inlineStr">
        <is>
          <t>EDG-2: 3 MW emergency diesel generator (480 V)</t>
        </is>
      </c>
      <c r="B911" s="12" t="inlineStr">
        <is>
          <t>EDG-2</t>
        </is>
      </c>
      <c r="C911" s="12" t="inlineStr">
        <is>
          <t>F</t>
        </is>
      </c>
      <c r="D911" s="12" t="inlineStr">
        <is>
          <t>LV power feeder</t>
        </is>
      </c>
      <c r="E911" s="12" t="n">
        <v>480</v>
      </c>
      <c r="F911" s="12" t="n">
        <v>15</v>
      </c>
      <c r="G911" s="12" t="n">
        <v>21.2</v>
      </c>
      <c r="H911" s="12" t="inlineStr">
        <is>
          <t>R1 MCC-C2</t>
        </is>
      </c>
      <c r="I911" s="12" t="inlineStr">
        <is>
          <t>LV 600 V</t>
        </is>
      </c>
      <c r="J911" s="12" t="inlineStr">
        <is>
          <t>2</t>
        </is>
      </c>
      <c r="K911" s="12" t="n">
        <v>1</v>
      </c>
    </row>
    <row r="912">
      <c r="A912" s="12" t="inlineStr">
        <is>
          <t>Gatehouse</t>
        </is>
      </c>
      <c r="B912" s="12" t="inlineStr"/>
      <c r="C912" s="12" t="inlineStr">
        <is>
          <t>F</t>
        </is>
      </c>
      <c r="D912" s="12" t="inlineStr">
        <is>
          <t>LV panel / distribution feeder</t>
        </is>
      </c>
      <c r="E912" s="12" t="n">
        <v>480</v>
      </c>
      <c r="F912" s="12" t="n">
        <v>30</v>
      </c>
      <c r="G912" s="12" t="n">
        <v>42.5</v>
      </c>
      <c r="H912" s="12" t="inlineStr">
        <is>
          <t>R1 MCC-C2</t>
        </is>
      </c>
      <c r="I912" s="12" t="inlineStr">
        <is>
          <t>LV 600 V</t>
        </is>
      </c>
      <c r="J912" s="12" t="inlineStr">
        <is>
          <t>1/0</t>
        </is>
      </c>
      <c r="K912" s="12" t="n">
        <v>1</v>
      </c>
    </row>
    <row r="913">
      <c r="A913" s="12" t="inlineStr">
        <is>
          <t>LS-1: sanitary lift station (packaged duplex)</t>
        </is>
      </c>
      <c r="B913" s="12" t="inlineStr">
        <is>
          <t>LS-1</t>
        </is>
      </c>
      <c r="C913" s="12" t="inlineStr">
        <is>
          <t>F</t>
        </is>
      </c>
      <c r="D913" s="12" t="inlineStr">
        <is>
          <t>Motor 1 of 2, 7 kW</t>
        </is>
      </c>
      <c r="E913" s="12" t="n">
        <v>480</v>
      </c>
      <c r="F913" s="12" t="n">
        <v>7</v>
      </c>
      <c r="G913" s="12" t="n">
        <v>9.9</v>
      </c>
      <c r="H913" s="12" t="inlineStr">
        <is>
          <t>R1 MCC-C2</t>
        </is>
      </c>
      <c r="I913" s="12" t="inlineStr">
        <is>
          <t>LV 600 V</t>
        </is>
      </c>
      <c r="J913" s="12" t="inlineStr">
        <is>
          <t>8</t>
        </is>
      </c>
      <c r="K913" s="12" t="n">
        <v>1</v>
      </c>
    </row>
    <row r="914">
      <c r="A914" s="12" t="inlineStr">
        <is>
          <t>LS-1: sanitary lift station (packaged duplex)</t>
        </is>
      </c>
      <c r="B914" s="12" t="inlineStr">
        <is>
          <t>LS-1</t>
        </is>
      </c>
      <c r="C914" s="12" t="inlineStr">
        <is>
          <t>F</t>
        </is>
      </c>
      <c r="D914" s="12" t="inlineStr">
        <is>
          <t>Motor 2 of 2, 7 kW</t>
        </is>
      </c>
      <c r="E914" s="12" t="n">
        <v>480</v>
      </c>
      <c r="F914" s="12" t="n">
        <v>7</v>
      </c>
      <c r="G914" s="12" t="n">
        <v>9.9</v>
      </c>
      <c r="H914" s="12" t="inlineStr">
        <is>
          <t>R1 MCC-C2</t>
        </is>
      </c>
      <c r="I914" s="12" t="inlineStr">
        <is>
          <t>LV 600 V</t>
        </is>
      </c>
      <c r="J914" s="12" t="inlineStr">
        <is>
          <t>8</t>
        </is>
      </c>
      <c r="K914" s="12" t="n">
        <v>1</v>
      </c>
    </row>
    <row r="915">
      <c r="A915" s="12" t="inlineStr">
        <is>
          <t>Maintenance building / workshop</t>
        </is>
      </c>
      <c r="B915" s="12" t="inlineStr"/>
      <c r="C915" s="12" t="inlineStr">
        <is>
          <t>F</t>
        </is>
      </c>
      <c r="D915" s="12" t="inlineStr">
        <is>
          <t>LV panel / distribution feeder</t>
        </is>
      </c>
      <c r="E915" s="12" t="n">
        <v>480</v>
      </c>
      <c r="F915" s="12" t="n">
        <v>60</v>
      </c>
      <c r="G915" s="12" t="n">
        <v>84.90000000000001</v>
      </c>
      <c r="H915" s="12" t="inlineStr">
        <is>
          <t>R1 MCC-C2</t>
        </is>
      </c>
      <c r="I915" s="12" t="inlineStr">
        <is>
          <t>LV 600 V</t>
        </is>
      </c>
      <c r="J915" s="12" t="inlineStr">
        <is>
          <t>2/0</t>
        </is>
      </c>
      <c r="K915" s="12" t="n">
        <v>1</v>
      </c>
    </row>
    <row r="916">
      <c r="A916" s="12" t="inlineStr">
        <is>
          <t>Stormwater pump station (2 x 100% submersible pumps)</t>
        </is>
      </c>
      <c r="B916" s="12" t="inlineStr"/>
      <c r="C916" s="12" t="inlineStr">
        <is>
          <t>F</t>
        </is>
      </c>
      <c r="D916" s="12" t="inlineStr">
        <is>
          <t>Motor 1 of 2, 75 kW</t>
        </is>
      </c>
      <c r="E916" s="12" t="n">
        <v>480</v>
      </c>
      <c r="F916" s="12" t="n">
        <v>75</v>
      </c>
      <c r="G916" s="12" t="n">
        <v>106.1</v>
      </c>
      <c r="H916" s="12" t="inlineStr">
        <is>
          <t>R1 MCC-C2</t>
        </is>
      </c>
      <c r="I916" s="12" t="inlineStr">
        <is>
          <t>LV 600 V</t>
        </is>
      </c>
      <c r="J916" s="12" t="inlineStr">
        <is>
          <t>500 kcmil</t>
        </is>
      </c>
      <c r="K916" s="12" t="n">
        <v>1</v>
      </c>
    </row>
    <row r="917">
      <c r="A917" s="12" t="inlineStr">
        <is>
          <t>Stormwater pump station (2 x 100% submersible pumps)</t>
        </is>
      </c>
      <c r="B917" s="12" t="inlineStr"/>
      <c r="C917" s="12" t="inlineStr">
        <is>
          <t>F</t>
        </is>
      </c>
      <c r="D917" s="12" t="inlineStr">
        <is>
          <t>Motor 2 of 2, 75 kW</t>
        </is>
      </c>
      <c r="E917" s="12" t="n">
        <v>480</v>
      </c>
      <c r="F917" s="12" t="n">
        <v>75</v>
      </c>
      <c r="G917" s="12" t="n">
        <v>106.1</v>
      </c>
      <c r="H917" s="12" t="inlineStr">
        <is>
          <t>R1 MCC-C2</t>
        </is>
      </c>
      <c r="I917" s="12" t="inlineStr">
        <is>
          <t>LV 600 V</t>
        </is>
      </c>
      <c r="J917" s="12" t="inlineStr">
        <is>
          <t>500 kcmil</t>
        </is>
      </c>
      <c r="K917" s="12" t="n">
        <v>1</v>
      </c>
    </row>
    <row r="918">
      <c r="A918" s="12" t="inlineStr">
        <is>
          <t>Warehouse</t>
        </is>
      </c>
      <c r="B918" s="12" t="inlineStr"/>
      <c r="C918" s="12" t="inlineStr">
        <is>
          <t>F</t>
        </is>
      </c>
      <c r="D918" s="12" t="inlineStr">
        <is>
          <t>LV panel / distribution feeder</t>
        </is>
      </c>
      <c r="E918" s="12" t="n">
        <v>480</v>
      </c>
      <c r="F918" s="12" t="n">
        <v>204</v>
      </c>
      <c r="G918" s="12" t="n">
        <v>288.7</v>
      </c>
      <c r="H918" s="12" t="inlineStr">
        <is>
          <t>R1 MCC-C2</t>
        </is>
      </c>
      <c r="I918" s="12" t="inlineStr">
        <is>
          <t>LV 600 V</t>
        </is>
      </c>
      <c r="J918" s="12" t="inlineStr">
        <is>
          <t>500 kcmil</t>
        </is>
      </c>
      <c r="K918" s="12" t="n">
        <v>1</v>
      </c>
    </row>
    <row r="919">
      <c r="A919" s="12" t="inlineStr">
        <is>
          <t>Absorber A (62 ft dia x 262 ft, stack to 313 ft)</t>
        </is>
      </c>
      <c r="B919" s="12" t="inlineStr">
        <is>
          <t>ABS-A</t>
        </is>
      </c>
      <c r="C919" s="12" t="inlineStr">
        <is>
          <t>G</t>
        </is>
      </c>
      <c r="D919" s="12" t="inlineStr">
        <is>
          <t>MOV 1: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2: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3: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4: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5: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6: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7: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8: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9: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10: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LV power feeder</t>
        </is>
      </c>
      <c r="E929" s="12" t="n">
        <v>480</v>
      </c>
      <c r="F929" s="12" t="n">
        <v>40</v>
      </c>
      <c r="G929" s="12" t="n">
        <v>56.6</v>
      </c>
      <c r="H929" s="12" t="inlineStr">
        <is>
          <t>CCS MV switchgear building (VFDs)</t>
        </is>
      </c>
      <c r="I929" s="12" t="inlineStr">
        <is>
          <t>LV 600 V</t>
        </is>
      </c>
      <c r="J929" s="12" t="inlineStr">
        <is>
          <t>2</t>
        </is>
      </c>
      <c r="K929" s="12" t="n">
        <v>1</v>
      </c>
    </row>
    <row r="930">
      <c r="A930" s="12" t="inlineStr">
        <is>
          <t>Absorber A (62 ft dia x 262 ft, stack to 313 ft)</t>
        </is>
      </c>
      <c r="B930" s="12" t="inlineStr">
        <is>
          <t>ABS-A</t>
        </is>
      </c>
      <c r="C930" s="12" t="inlineStr">
        <is>
          <t>G</t>
        </is>
      </c>
      <c r="D930" s="12" t="inlineStr">
        <is>
          <t>Area / platform lighting circuit 1 (12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Area / platform lighting circuit 2 (12 fixtures)</t>
        </is>
      </c>
      <c r="E931" s="12" t="n">
        <v>480</v>
      </c>
      <c r="F931" s="12" t="n">
        <v>3</v>
      </c>
      <c r="G931" s="12" t="n">
        <v>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Area / platform lighting circuit 3 (6 fixtures)</t>
        </is>
      </c>
      <c r="E932" s="12" t="n">
        <v>480</v>
      </c>
      <c r="F932" s="12" t="n">
        <v>3</v>
      </c>
      <c r="G932" s="12" t="n">
        <v>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1</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2</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480 V welding receptacle 3</t>
        </is>
      </c>
      <c r="E935" s="12" t="n">
        <v>480</v>
      </c>
      <c r="F935" s="12" t="n">
        <v>60</v>
      </c>
      <c r="G935" s="12" t="n">
        <v>76</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480 V welding receptacle 4</t>
        </is>
      </c>
      <c r="E936" s="12" t="n">
        <v>480</v>
      </c>
      <c r="F936" s="12" t="n">
        <v>60</v>
      </c>
      <c r="G936" s="12" t="n">
        <v>76</v>
      </c>
      <c r="H936" s="12" t="inlineStr">
        <is>
          <t>CCS MV switchgear building (VFDs)</t>
        </is>
      </c>
      <c r="I936" s="12" t="inlineStr">
        <is>
          <t>LV 600 V</t>
        </is>
      </c>
      <c r="J936" s="12" t="inlineStr">
        <is>
          <t>1/0</t>
        </is>
      </c>
      <c r="K936" s="12" t="n">
        <v>1</v>
      </c>
    </row>
    <row r="937">
      <c r="A937" s="12" t="inlineStr">
        <is>
          <t>Absorber A intercooler (pumps + plate exchanger)</t>
        </is>
      </c>
      <c r="B937" s="12" t="inlineStr"/>
      <c r="C937" s="12" t="inlineStr">
        <is>
          <t>G</t>
        </is>
      </c>
      <c r="D937" s="12" t="inlineStr">
        <is>
          <t>Motor 1 of 2, 150 kW</t>
        </is>
      </c>
      <c r="E937" s="12" t="n">
        <v>480</v>
      </c>
      <c r="F937" s="12" t="n">
        <v>150</v>
      </c>
      <c r="G937" s="12" t="n">
        <v>212.3</v>
      </c>
      <c r="H937" s="12" t="inlineStr">
        <is>
          <t>CCS MV switchgear building (VFDs)</t>
        </is>
      </c>
      <c r="I937" s="12" t="inlineStr">
        <is>
          <t>LV 600 V</t>
        </is>
      </c>
      <c r="J937" s="12" t="inlineStr">
        <is>
          <t>350 kcmil</t>
        </is>
      </c>
      <c r="K937" s="12" t="n">
        <v>1</v>
      </c>
    </row>
    <row r="938">
      <c r="A938" s="12" t="inlineStr">
        <is>
          <t>Absorber A intercooler (pumps + plate exchanger)</t>
        </is>
      </c>
      <c r="B938" s="12" t="inlineStr"/>
      <c r="C938" s="12" t="inlineStr">
        <is>
          <t>G</t>
        </is>
      </c>
      <c r="D938" s="12" t="inlineStr">
        <is>
          <t>Motor 2 of 2, 150 kW</t>
        </is>
      </c>
      <c r="E938" s="12" t="n">
        <v>480</v>
      </c>
      <c r="F938" s="12" t="n">
        <v>150</v>
      </c>
      <c r="G938" s="12" t="n">
        <v>212.3</v>
      </c>
      <c r="H938" s="12" t="inlineStr">
        <is>
          <t>CCS MV switchgear building (VFDs)</t>
        </is>
      </c>
      <c r="I938" s="12" t="inlineStr">
        <is>
          <t>LV 600 V</t>
        </is>
      </c>
      <c r="J938" s="12" t="inlineStr">
        <is>
          <t>350 kcmil</t>
        </is>
      </c>
      <c r="K938" s="12" t="n">
        <v>1</v>
      </c>
    </row>
    <row r="939">
      <c r="A939" s="12" t="inlineStr">
        <is>
          <t>Absorber B (62 ft dia x 262 ft, stack to 313 ft)</t>
        </is>
      </c>
      <c r="B939" s="12" t="inlineStr">
        <is>
          <t>ABS-B</t>
        </is>
      </c>
      <c r="C939" s="12" t="inlineStr">
        <is>
          <t>G</t>
        </is>
      </c>
      <c r="D939" s="12" t="inlineStr">
        <is>
          <t>MOV 1: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2: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3: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4: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5: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6: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7: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8: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9: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10: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LV power feeder</t>
        </is>
      </c>
      <c r="E949" s="12" t="n">
        <v>480</v>
      </c>
      <c r="F949" s="12" t="n">
        <v>40</v>
      </c>
      <c r="G949" s="12" t="n">
        <v>56.6</v>
      </c>
      <c r="H949" s="12" t="inlineStr">
        <is>
          <t>CCS MV switchgear building (VFDs)</t>
        </is>
      </c>
      <c r="I949" s="12" t="inlineStr">
        <is>
          <t>LV 600 V</t>
        </is>
      </c>
      <c r="J949" s="12" t="inlineStr">
        <is>
          <t>2</t>
        </is>
      </c>
      <c r="K949" s="12" t="n">
        <v>1</v>
      </c>
    </row>
    <row r="950">
      <c r="A950" s="12" t="inlineStr">
        <is>
          <t>Absorber B (62 ft dia x 262 ft, stack to 313 ft)</t>
        </is>
      </c>
      <c r="B950" s="12" t="inlineStr">
        <is>
          <t>ABS-B</t>
        </is>
      </c>
      <c r="C950" s="12" t="inlineStr">
        <is>
          <t>G</t>
        </is>
      </c>
      <c r="D950" s="12" t="inlineStr">
        <is>
          <t>Area / platform lighting circuit 1 (12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Area / platform lighting circuit 2 (12 fixtures)</t>
        </is>
      </c>
      <c r="E951" s="12" t="n">
        <v>480</v>
      </c>
      <c r="F951" s="12" t="n">
        <v>3</v>
      </c>
      <c r="G951" s="12" t="n">
        <v>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Area / platform lighting circuit 3 (6 fixtures)</t>
        </is>
      </c>
      <c r="E952" s="12" t="n">
        <v>480</v>
      </c>
      <c r="F952" s="12" t="n">
        <v>3</v>
      </c>
      <c r="G952" s="12" t="n">
        <v>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480 V welding receptacle 1</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2</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(62 ft dia x 262 ft, stack to 313 ft)</t>
        </is>
      </c>
      <c r="B955" s="12" t="inlineStr">
        <is>
          <t>ABS-B</t>
        </is>
      </c>
      <c r="C955" s="12" t="inlineStr">
        <is>
          <t>G</t>
        </is>
      </c>
      <c r="D955" s="12" t="inlineStr">
        <is>
          <t>480 V welding receptacle 3</t>
        </is>
      </c>
      <c r="E955" s="12" t="n">
        <v>480</v>
      </c>
      <c r="F955" s="12" t="n">
        <v>60</v>
      </c>
      <c r="G955" s="12" t="n">
        <v>76</v>
      </c>
      <c r="H955" s="12" t="inlineStr">
        <is>
          <t>CCS MV switchgear building (VFDs)</t>
        </is>
      </c>
      <c r="I955" s="12" t="inlineStr">
        <is>
          <t>LV 600 V</t>
        </is>
      </c>
      <c r="J955" s="12" t="inlineStr">
        <is>
          <t>2</t>
        </is>
      </c>
      <c r="K955" s="12" t="n">
        <v>1</v>
      </c>
    </row>
    <row r="956">
      <c r="A956" s="12" t="inlineStr">
        <is>
          <t>Absorber B (62 ft dia x 262 ft, stack to 313 ft)</t>
        </is>
      </c>
      <c r="B956" s="12" t="inlineStr">
        <is>
          <t>ABS-B</t>
        </is>
      </c>
      <c r="C956" s="12" t="inlineStr">
        <is>
          <t>G</t>
        </is>
      </c>
      <c r="D956" s="12" t="inlineStr">
        <is>
          <t>480 V welding receptacle 4</t>
        </is>
      </c>
      <c r="E956" s="12" t="n">
        <v>480</v>
      </c>
      <c r="F956" s="12" t="n">
        <v>60</v>
      </c>
      <c r="G956" s="12" t="n">
        <v>76</v>
      </c>
      <c r="H956" s="12" t="inlineStr">
        <is>
          <t>CCS MV switchgear building (VFDs)</t>
        </is>
      </c>
      <c r="I956" s="12" t="inlineStr">
        <is>
          <t>LV 600 V</t>
        </is>
      </c>
      <c r="J956" s="12" t="inlineStr">
        <is>
          <t>2</t>
        </is>
      </c>
      <c r="K956" s="12" t="n">
        <v>1</v>
      </c>
    </row>
    <row r="957">
      <c r="A957" s="12" t="inlineStr">
        <is>
          <t>Absorber B intercooler (pumps + plate exchanger)</t>
        </is>
      </c>
      <c r="B957" s="12" t="inlineStr"/>
      <c r="C957" s="12" t="inlineStr">
        <is>
          <t>G</t>
        </is>
      </c>
      <c r="D957" s="12" t="inlineStr">
        <is>
          <t>Motor 1 of 2, 150 kW</t>
        </is>
      </c>
      <c r="E957" s="12" t="n">
        <v>480</v>
      </c>
      <c r="F957" s="12" t="n">
        <v>150</v>
      </c>
      <c r="G957" s="12" t="n">
        <v>212.3</v>
      </c>
      <c r="H957" s="12" t="inlineStr">
        <is>
          <t>CCS MV switchgear building (VFDs)</t>
        </is>
      </c>
      <c r="I957" s="12" t="inlineStr">
        <is>
          <t>LV 600 V</t>
        </is>
      </c>
      <c r="J957" s="12" t="inlineStr">
        <is>
          <t>350 kcmil</t>
        </is>
      </c>
      <c r="K957" s="12" t="n">
        <v>1</v>
      </c>
    </row>
    <row r="958">
      <c r="A958" s="12" t="inlineStr">
        <is>
          <t>Absorber B intercooler (pumps + plate exchanger)</t>
        </is>
      </c>
      <c r="B958" s="12" t="inlineStr"/>
      <c r="C958" s="12" t="inlineStr">
        <is>
          <t>G</t>
        </is>
      </c>
      <c r="D958" s="12" t="inlineStr">
        <is>
          <t>Motor 2 of 2, 150 kW</t>
        </is>
      </c>
      <c r="E958" s="12" t="n">
        <v>480</v>
      </c>
      <c r="F958" s="12" t="n">
        <v>150</v>
      </c>
      <c r="G958" s="12" t="n">
        <v>212.3</v>
      </c>
      <c r="H958" s="12" t="inlineStr">
        <is>
          <t>CCS MV switchgear building (VFDs)</t>
        </is>
      </c>
      <c r="I958" s="12" t="inlineStr">
        <is>
          <t>LV 600 V</t>
        </is>
      </c>
      <c r="J958" s="12" t="inlineStr">
        <is>
          <t>350 kcmil</t>
        </is>
      </c>
      <c r="K958" s="12" t="n">
        <v>1</v>
      </c>
    </row>
    <row r="959">
      <c r="A959" s="12" t="inlineStr">
        <is>
          <t>Absorber C (62 ft dia x 262 ft, stack to 313 ft)</t>
        </is>
      </c>
      <c r="B959" s="12" t="inlineStr">
        <is>
          <t>ABS-C</t>
        </is>
      </c>
      <c r="C959" s="12" t="inlineStr">
        <is>
          <t>G</t>
        </is>
      </c>
      <c r="D959" s="12" t="inlineStr">
        <is>
          <t>MOV 1: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2: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3: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4: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5: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6: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7: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8: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9: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10: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LV power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Absorber C (62 ft dia x 262 ft, stack to 313 ft)</t>
        </is>
      </c>
      <c r="B970" s="12" t="inlineStr">
        <is>
          <t>ABS-C</t>
        </is>
      </c>
      <c r="C970" s="12" t="inlineStr">
        <is>
          <t>G</t>
        </is>
      </c>
      <c r="D970" s="12" t="inlineStr">
        <is>
          <t>Area / platform lighting circuit 1 (12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Area / platform lighting circuit 2 (12 fixtures)</t>
        </is>
      </c>
      <c r="E971" s="12" t="n">
        <v>480</v>
      </c>
      <c r="F971" s="12" t="n">
        <v>3</v>
      </c>
      <c r="G971" s="12" t="n">
        <v>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Area / platform lighting circuit 3 (6 fixtures)</t>
        </is>
      </c>
      <c r="E972" s="12" t="n">
        <v>480</v>
      </c>
      <c r="F972" s="12" t="n">
        <v>3</v>
      </c>
      <c r="G972" s="12" t="n">
        <v>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480 V welding receptacle 1</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2</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(62 ft dia x 262 ft, stack to 313 ft)</t>
        </is>
      </c>
      <c r="B975" s="12" t="inlineStr">
        <is>
          <t>ABS-C</t>
        </is>
      </c>
      <c r="C975" s="12" t="inlineStr">
        <is>
          <t>G</t>
        </is>
      </c>
      <c r="D975" s="12" t="inlineStr">
        <is>
          <t>480 V welding receptacle 3</t>
        </is>
      </c>
      <c r="E975" s="12" t="n">
        <v>480</v>
      </c>
      <c r="F975" s="12" t="n">
        <v>60</v>
      </c>
      <c r="G975" s="12" t="n">
        <v>76</v>
      </c>
      <c r="H975" s="12" t="inlineStr">
        <is>
          <t>CCS MV switchgear building (VFDs)</t>
        </is>
      </c>
      <c r="I975" s="12" t="inlineStr">
        <is>
          <t>LV 600 V</t>
        </is>
      </c>
      <c r="J975" s="12" t="inlineStr">
        <is>
          <t>2</t>
        </is>
      </c>
      <c r="K975" s="12" t="n">
        <v>1</v>
      </c>
    </row>
    <row r="976">
      <c r="A976" s="12" t="inlineStr">
        <is>
          <t>Absorber C (62 ft dia x 262 ft, stack to 313 ft)</t>
        </is>
      </c>
      <c r="B976" s="12" t="inlineStr">
        <is>
          <t>ABS-C</t>
        </is>
      </c>
      <c r="C976" s="12" t="inlineStr">
        <is>
          <t>G</t>
        </is>
      </c>
      <c r="D976" s="12" t="inlineStr">
        <is>
          <t>480 V welding receptacle 4</t>
        </is>
      </c>
      <c r="E976" s="12" t="n">
        <v>480</v>
      </c>
      <c r="F976" s="12" t="n">
        <v>60</v>
      </c>
      <c r="G976" s="12" t="n">
        <v>76</v>
      </c>
      <c r="H976" s="12" t="inlineStr">
        <is>
          <t>CCS MV switchgear building (VFDs)</t>
        </is>
      </c>
      <c r="I976" s="12" t="inlineStr">
        <is>
          <t>LV 600 V</t>
        </is>
      </c>
      <c r="J976" s="12" t="inlineStr">
        <is>
          <t>2</t>
        </is>
      </c>
      <c r="K976" s="12" t="n">
        <v>1</v>
      </c>
    </row>
    <row r="977">
      <c r="A977" s="12" t="inlineStr">
        <is>
          <t>Absorber C intercooler (pumps + plate exchanger)</t>
        </is>
      </c>
      <c r="B977" s="12" t="inlineStr"/>
      <c r="C977" s="12" t="inlineStr">
        <is>
          <t>G</t>
        </is>
      </c>
      <c r="D977" s="12" t="inlineStr">
        <is>
          <t>Motor 1 of 2, 150 kW</t>
        </is>
      </c>
      <c r="E977" s="12" t="n">
        <v>480</v>
      </c>
      <c r="F977" s="12" t="n">
        <v>150</v>
      </c>
      <c r="G977" s="12" t="n">
        <v>212.3</v>
      </c>
      <c r="H977" s="12" t="inlineStr">
        <is>
          <t>CCS MV switchgear building (VFDs)</t>
        </is>
      </c>
      <c r="I977" s="12" t="inlineStr">
        <is>
          <t>LV 600 V</t>
        </is>
      </c>
      <c r="J977" s="12" t="inlineStr">
        <is>
          <t>350 kcmil</t>
        </is>
      </c>
      <c r="K977" s="12" t="n">
        <v>1</v>
      </c>
    </row>
    <row r="978">
      <c r="A978" s="12" t="inlineStr">
        <is>
          <t>Absorber C intercooler (pumps + plate exchanger)</t>
        </is>
      </c>
      <c r="B978" s="12" t="inlineStr"/>
      <c r="C978" s="12" t="inlineStr">
        <is>
          <t>G</t>
        </is>
      </c>
      <c r="D978" s="12" t="inlineStr">
        <is>
          <t>Motor 2 of 2, 150 kW</t>
        </is>
      </c>
      <c r="E978" s="12" t="n">
        <v>480</v>
      </c>
      <c r="F978" s="12" t="n">
        <v>150</v>
      </c>
      <c r="G978" s="12" t="n">
        <v>212.3</v>
      </c>
      <c r="H978" s="12" t="inlineStr">
        <is>
          <t>CCS MV switchgear building (VFDs)</t>
        </is>
      </c>
      <c r="I978" s="12" t="inlineStr">
        <is>
          <t>LV 600 V</t>
        </is>
      </c>
      <c r="J978" s="12" t="inlineStr">
        <is>
          <t>350 kcmil</t>
        </is>
      </c>
      <c r="K978" s="12" t="n">
        <v>1</v>
      </c>
    </row>
    <row r="979">
      <c r="A979" s="12" t="inlineStr">
        <is>
          <t>Activated-carbon filter</t>
        </is>
      </c>
      <c r="B979" s="12" t="inlineStr"/>
      <c r="C979" s="12" t="inlineStr">
        <is>
          <t>G</t>
        </is>
      </c>
      <c r="D979" s="12" t="inlineStr">
        <is>
          <t>LV power feeder</t>
        </is>
      </c>
      <c r="E979" s="12" t="n">
        <v>480</v>
      </c>
      <c r="F979" s="12" t="n">
        <v>15</v>
      </c>
      <c r="G979" s="12" t="n">
        <v>21.2</v>
      </c>
      <c r="H979" s="12" t="inlineStr">
        <is>
          <t>CCS MV switchgear building (VFDs)</t>
        </is>
      </c>
      <c r="I979" s="12" t="inlineStr">
        <is>
          <t>LV 600 V</t>
        </is>
      </c>
      <c r="J979" s="12" t="inlineStr">
        <is>
          <t>8</t>
        </is>
      </c>
      <c r="K979" s="12" t="n">
        <v>1</v>
      </c>
    </row>
    <row r="980">
      <c r="A980" s="12" t="inlineStr">
        <is>
          <t>BF-A: booster fan (~16 MW)</t>
        </is>
      </c>
      <c r="B980" s="12" t="inlineStr">
        <is>
          <t>BF-A</t>
        </is>
      </c>
      <c r="C980" s="12" t="inlineStr">
        <is>
          <t>G</t>
        </is>
      </c>
      <c r="D980" s="12" t="inlineStr">
        <is>
          <t>Motor 1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2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Motor 3 of 4, 15 kW</t>
        </is>
      </c>
      <c r="E982" s="12" t="n">
        <v>480</v>
      </c>
      <c r="F982" s="12" t="n">
        <v>15</v>
      </c>
      <c r="G982" s="12" t="n">
        <v>21.2</v>
      </c>
      <c r="H982" s="12" t="inlineStr">
        <is>
          <t>CCS MV switchgear building (VFDs)</t>
        </is>
      </c>
      <c r="I982" s="12" t="inlineStr">
        <is>
          <t>LV 600 V</t>
        </is>
      </c>
      <c r="J982" s="12" t="inlineStr">
        <is>
          <t>6</t>
        </is>
      </c>
      <c r="K982" s="12" t="n">
        <v>1</v>
      </c>
    </row>
    <row r="983">
      <c r="A983" s="12" t="inlineStr">
        <is>
          <t>BF-A: booster fan (~16 MW)</t>
        </is>
      </c>
      <c r="B983" s="12" t="inlineStr">
        <is>
          <t>BF-A</t>
        </is>
      </c>
      <c r="C983" s="12" t="inlineStr">
        <is>
          <t>G</t>
        </is>
      </c>
      <c r="D983" s="12" t="inlineStr">
        <is>
          <t>Motor 4 of 4, 15 kW</t>
        </is>
      </c>
      <c r="E983" s="12" t="n">
        <v>480</v>
      </c>
      <c r="F983" s="12" t="n">
        <v>15</v>
      </c>
      <c r="G983" s="12" t="n">
        <v>21.2</v>
      </c>
      <c r="H983" s="12" t="inlineStr">
        <is>
          <t>CCS MV switchgear building (VFDs)</t>
        </is>
      </c>
      <c r="I983" s="12" t="inlineStr">
        <is>
          <t>LV 600 V</t>
        </is>
      </c>
      <c r="J983" s="12" t="inlineStr">
        <is>
          <t>6</t>
        </is>
      </c>
      <c r="K983" s="12" t="n">
        <v>1</v>
      </c>
    </row>
    <row r="984">
      <c r="A984" s="12" t="inlineStr">
        <is>
          <t>BF-A: booster fan (~16 MW)</t>
        </is>
      </c>
      <c r="B984" s="12" t="inlineStr">
        <is>
          <t>BF-A</t>
        </is>
      </c>
      <c r="C984" s="12" t="inlineStr">
        <is>
          <t>G</t>
        </is>
      </c>
      <c r="D984" s="12" t="inlineStr">
        <is>
          <t>480 V welding receptacle 1</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2</t>
        </is>
      </c>
      <c r="E985" s="12" t="n">
        <v>480</v>
      </c>
      <c r="F985" s="12" t="n">
        <v>60</v>
      </c>
      <c r="G985" s="12" t="n">
        <v>76</v>
      </c>
      <c r="H985" s="12" t="inlineStr">
        <is>
          <t>CCS MV switchgear building (VFDs)</t>
        </is>
      </c>
      <c r="I985" s="12" t="inlineStr">
        <is>
          <t>LV 600 V</t>
        </is>
      </c>
      <c r="J985" s="12" t="inlineStr">
        <is>
          <t>2</t>
        </is>
      </c>
      <c r="K985" s="12" t="n">
        <v>1</v>
      </c>
    </row>
    <row r="986">
      <c r="A986" s="12" t="inlineStr">
        <is>
          <t>BF-A: booster fan (~16 MW)</t>
        </is>
      </c>
      <c r="B986" s="12" t="inlineStr">
        <is>
          <t>BF-A</t>
        </is>
      </c>
      <c r="C986" s="12" t="inlineStr">
        <is>
          <t>G</t>
        </is>
      </c>
      <c r="D986" s="12" t="inlineStr">
        <is>
          <t>480 V welding receptacle 3</t>
        </is>
      </c>
      <c r="E986" s="12" t="n">
        <v>480</v>
      </c>
      <c r="F986" s="12" t="n">
        <v>60</v>
      </c>
      <c r="G986" s="12" t="n">
        <v>76</v>
      </c>
      <c r="H986" s="12" t="inlineStr">
        <is>
          <t>CCS MV switchgear building (VFDs)</t>
        </is>
      </c>
      <c r="I986" s="12" t="inlineStr">
        <is>
          <t>LV 600 V</t>
        </is>
      </c>
      <c r="J986" s="12" t="inlineStr">
        <is>
          <t>2</t>
        </is>
      </c>
      <c r="K986" s="12" t="n">
        <v>1</v>
      </c>
    </row>
    <row r="987">
      <c r="A987" s="12" t="inlineStr">
        <is>
          <t>BF-A: booster fan (~16 MW)</t>
        </is>
      </c>
      <c r="B987" s="12" t="inlineStr">
        <is>
          <t>BF-A</t>
        </is>
      </c>
      <c r="C987" s="12" t="inlineStr">
        <is>
          <t>G</t>
        </is>
      </c>
      <c r="D987" s="12" t="inlineStr">
        <is>
          <t>480 V welding receptacle 4</t>
        </is>
      </c>
      <c r="E987" s="12" t="n">
        <v>480</v>
      </c>
      <c r="F987" s="12" t="n">
        <v>60</v>
      </c>
      <c r="G987" s="12" t="n">
        <v>76</v>
      </c>
      <c r="H987" s="12" t="inlineStr">
        <is>
          <t>CCS MV switchgear building (VFDs)</t>
        </is>
      </c>
      <c r="I987" s="12" t="inlineStr">
        <is>
          <t>LV 600 V</t>
        </is>
      </c>
      <c r="J987" s="12" t="inlineStr">
        <is>
          <t>2</t>
        </is>
      </c>
      <c r="K987" s="12" t="n">
        <v>1</v>
      </c>
    </row>
    <row r="988">
      <c r="A988" s="12" t="inlineStr">
        <is>
          <t>BF-B: booster fan (~16 MW)</t>
        </is>
      </c>
      <c r="B988" s="12" t="inlineStr">
        <is>
          <t>BF-B</t>
        </is>
      </c>
      <c r="C988" s="12" t="inlineStr">
        <is>
          <t>G</t>
        </is>
      </c>
      <c r="D988" s="12" t="inlineStr">
        <is>
          <t>Motor 1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2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Motor 3 of 4, 15 kW</t>
        </is>
      </c>
      <c r="E990" s="12" t="n">
        <v>480</v>
      </c>
      <c r="F990" s="12" t="n">
        <v>15</v>
      </c>
      <c r="G990" s="12" t="n">
        <v>21.2</v>
      </c>
      <c r="H990" s="12" t="inlineStr">
        <is>
          <t>CCS MV switchgear building (VFDs)</t>
        </is>
      </c>
      <c r="I990" s="12" t="inlineStr">
        <is>
          <t>LV 600 V</t>
        </is>
      </c>
      <c r="J990" s="12" t="inlineStr">
        <is>
          <t>8</t>
        </is>
      </c>
      <c r="K990" s="12" t="n">
        <v>1</v>
      </c>
    </row>
    <row r="991">
      <c r="A991" s="12" t="inlineStr">
        <is>
          <t>BF-B: booster fan (~16 MW)</t>
        </is>
      </c>
      <c r="B991" s="12" t="inlineStr">
        <is>
          <t>BF-B</t>
        </is>
      </c>
      <c r="C991" s="12" t="inlineStr">
        <is>
          <t>G</t>
        </is>
      </c>
      <c r="D991" s="12" t="inlineStr">
        <is>
          <t>Motor 4 of 4, 15 kW</t>
        </is>
      </c>
      <c r="E991" s="12" t="n">
        <v>480</v>
      </c>
      <c r="F991" s="12" t="n">
        <v>15</v>
      </c>
      <c r="G991" s="12" t="n">
        <v>21.2</v>
      </c>
      <c r="H991" s="12" t="inlineStr">
        <is>
          <t>CCS MV switchgear building (VFDs)</t>
        </is>
      </c>
      <c r="I991" s="12" t="inlineStr">
        <is>
          <t>LV 600 V</t>
        </is>
      </c>
      <c r="J991" s="12" t="inlineStr">
        <is>
          <t>8</t>
        </is>
      </c>
      <c r="K991" s="12" t="n">
        <v>1</v>
      </c>
    </row>
    <row r="992">
      <c r="A992" s="12" t="inlineStr">
        <is>
          <t>BF-B: booster fan (~16 MW)</t>
        </is>
      </c>
      <c r="B992" s="12" t="inlineStr">
        <is>
          <t>BF-B</t>
        </is>
      </c>
      <c r="C992" s="12" t="inlineStr">
        <is>
          <t>G</t>
        </is>
      </c>
      <c r="D992" s="12" t="inlineStr">
        <is>
          <t>480 V welding receptacle 1</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2</t>
        </is>
      </c>
      <c r="E993" s="12" t="n">
        <v>480</v>
      </c>
      <c r="F993" s="12" t="n">
        <v>60</v>
      </c>
      <c r="G993" s="12" t="n">
        <v>76</v>
      </c>
      <c r="H993" s="12" t="inlineStr">
        <is>
          <t>CCS MV switchgear building (VFDs)</t>
        </is>
      </c>
      <c r="I993" s="12" t="inlineStr">
        <is>
          <t>LV 600 V</t>
        </is>
      </c>
      <c r="J993" s="12" t="inlineStr">
        <is>
          <t>2</t>
        </is>
      </c>
      <c r="K993" s="12" t="n">
        <v>1</v>
      </c>
    </row>
    <row r="994">
      <c r="A994" s="12" t="inlineStr">
        <is>
          <t>BF-B: booster fan (~16 MW)</t>
        </is>
      </c>
      <c r="B994" s="12" t="inlineStr">
        <is>
          <t>BF-B</t>
        </is>
      </c>
      <c r="C994" s="12" t="inlineStr">
        <is>
          <t>G</t>
        </is>
      </c>
      <c r="D994" s="12" t="inlineStr">
        <is>
          <t>480 V welding receptacle 3</t>
        </is>
      </c>
      <c r="E994" s="12" t="n">
        <v>480</v>
      </c>
      <c r="F994" s="12" t="n">
        <v>60</v>
      </c>
      <c r="G994" s="12" t="n">
        <v>76</v>
      </c>
      <c r="H994" s="12" t="inlineStr">
        <is>
          <t>CCS MV switchgear building (VFDs)</t>
        </is>
      </c>
      <c r="I994" s="12" t="inlineStr">
        <is>
          <t>LV 600 V</t>
        </is>
      </c>
      <c r="J994" s="12" t="inlineStr">
        <is>
          <t>2</t>
        </is>
      </c>
      <c r="K994" s="12" t="n">
        <v>1</v>
      </c>
    </row>
    <row r="995">
      <c r="A995" s="12" t="inlineStr">
        <is>
          <t>BF-B: booster fan (~16 MW)</t>
        </is>
      </c>
      <c r="B995" s="12" t="inlineStr">
        <is>
          <t>BF-B</t>
        </is>
      </c>
      <c r="C995" s="12" t="inlineStr">
        <is>
          <t>G</t>
        </is>
      </c>
      <c r="D995" s="12" t="inlineStr">
        <is>
          <t>480 V welding receptacle 4</t>
        </is>
      </c>
      <c r="E995" s="12" t="n">
        <v>480</v>
      </c>
      <c r="F995" s="12" t="n">
        <v>60</v>
      </c>
      <c r="G995" s="12" t="n">
        <v>76</v>
      </c>
      <c r="H995" s="12" t="inlineStr">
        <is>
          <t>CCS MV switchgear building (VFDs)</t>
        </is>
      </c>
      <c r="I995" s="12" t="inlineStr">
        <is>
          <t>LV 600 V</t>
        </is>
      </c>
      <c r="J995" s="12" t="inlineStr">
        <is>
          <t>2</t>
        </is>
      </c>
      <c r="K995" s="12" t="n">
        <v>1</v>
      </c>
    </row>
    <row r="996">
      <c r="A996" s="12" t="inlineStr">
        <is>
          <t>BF-C: booster fan (~16 MW)</t>
        </is>
      </c>
      <c r="B996" s="12" t="inlineStr">
        <is>
          <t>BF-C</t>
        </is>
      </c>
      <c r="C996" s="12" t="inlineStr">
        <is>
          <t>G</t>
        </is>
      </c>
      <c r="D996" s="12" t="inlineStr">
        <is>
          <t>Motor 1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2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Motor 3 of 4, 15 kW</t>
        </is>
      </c>
      <c r="E998" s="12" t="n">
        <v>480</v>
      </c>
      <c r="F998" s="12" t="n">
        <v>15</v>
      </c>
      <c r="G998" s="12" t="n">
        <v>21.2</v>
      </c>
      <c r="H998" s="12" t="inlineStr">
        <is>
          <t>CCS MV switchgear building (VFDs)</t>
        </is>
      </c>
      <c r="I998" s="12" t="inlineStr">
        <is>
          <t>LV 600 V</t>
        </is>
      </c>
      <c r="J998" s="12" t="inlineStr">
        <is>
          <t>10</t>
        </is>
      </c>
      <c r="K998" s="12" t="n">
        <v>1</v>
      </c>
    </row>
    <row r="999">
      <c r="A999" s="12" t="inlineStr">
        <is>
          <t>BF-C: booster fan (~16 MW)</t>
        </is>
      </c>
      <c r="B999" s="12" t="inlineStr">
        <is>
          <t>BF-C</t>
        </is>
      </c>
      <c r="C999" s="12" t="inlineStr">
        <is>
          <t>G</t>
        </is>
      </c>
      <c r="D999" s="12" t="inlineStr">
        <is>
          <t>Motor 4 of 4, 15 kW</t>
        </is>
      </c>
      <c r="E999" s="12" t="n">
        <v>480</v>
      </c>
      <c r="F999" s="12" t="n">
        <v>15</v>
      </c>
      <c r="G999" s="12" t="n">
        <v>21.2</v>
      </c>
      <c r="H999" s="12" t="inlineStr">
        <is>
          <t>CCS MV switchgear building (VFDs)</t>
        </is>
      </c>
      <c r="I999" s="12" t="inlineStr">
        <is>
          <t>LV 600 V</t>
        </is>
      </c>
      <c r="J999" s="12" t="inlineStr">
        <is>
          <t>10</t>
        </is>
      </c>
      <c r="K999" s="12" t="n">
        <v>1</v>
      </c>
    </row>
    <row r="1000">
      <c r="A1000" s="12" t="inlineStr">
        <is>
          <t>BF-C: booster fan (~16 MW)</t>
        </is>
      </c>
      <c r="B1000" s="12" t="inlineStr">
        <is>
          <t>BF-C</t>
        </is>
      </c>
      <c r="C1000" s="12" t="inlineStr">
        <is>
          <t>G</t>
        </is>
      </c>
      <c r="D1000" s="12" t="inlineStr">
        <is>
          <t>480 V welding receptacle 1</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2</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BF-C: booster fan (~16 MW)</t>
        </is>
      </c>
      <c r="B1002" s="12" t="inlineStr">
        <is>
          <t>BF-C</t>
        </is>
      </c>
      <c r="C1002" s="12" t="inlineStr">
        <is>
          <t>G</t>
        </is>
      </c>
      <c r="D1002" s="12" t="inlineStr">
        <is>
          <t>480 V welding receptacle 3</t>
        </is>
      </c>
      <c r="E1002" s="12" t="n">
        <v>480</v>
      </c>
      <c r="F1002" s="12" t="n">
        <v>60</v>
      </c>
      <c r="G1002" s="12" t="n">
        <v>76</v>
      </c>
      <c r="H1002" s="12" t="inlineStr">
        <is>
          <t>CCS MV switchgear building (VFDs)</t>
        </is>
      </c>
      <c r="I1002" s="12" t="inlineStr">
        <is>
          <t>LV 600 V</t>
        </is>
      </c>
      <c r="J1002" s="12" t="inlineStr">
        <is>
          <t>2</t>
        </is>
      </c>
      <c r="K1002" s="12" t="n">
        <v>1</v>
      </c>
    </row>
    <row r="1003">
      <c r="A1003" s="12" t="inlineStr">
        <is>
          <t>BF-C: booster fan (~16 MW)</t>
        </is>
      </c>
      <c r="B1003" s="12" t="inlineStr">
        <is>
          <t>BF-C</t>
        </is>
      </c>
      <c r="C1003" s="12" t="inlineStr">
        <is>
          <t>G</t>
        </is>
      </c>
      <c r="D1003" s="12" t="inlineStr">
        <is>
          <t>480 V welding receptacle 4</t>
        </is>
      </c>
      <c r="E1003" s="12" t="n">
        <v>480</v>
      </c>
      <c r="F1003" s="12" t="n">
        <v>60</v>
      </c>
      <c r="G1003" s="12" t="n">
        <v>76</v>
      </c>
      <c r="H1003" s="12" t="inlineStr">
        <is>
          <t>CCS MV switchgear building (VFDs)</t>
        </is>
      </c>
      <c r="I1003" s="12" t="inlineStr">
        <is>
          <t>LV 600 V</t>
        </is>
      </c>
      <c r="J1003" s="12" t="inlineStr">
        <is>
          <t>2</t>
        </is>
      </c>
      <c r="K1003" s="12" t="n">
        <v>1</v>
      </c>
    </row>
    <row r="1004">
      <c r="A1004" s="12" t="inlineStr">
        <is>
          <t>CCS F&amp;G / control</t>
        </is>
      </c>
      <c r="B1004" s="12" t="inlineStr"/>
      <c r="C1004" s="12" t="inlineStr">
        <is>
          <t>G</t>
        </is>
      </c>
      <c r="D1004" s="12" t="inlineStr">
        <is>
          <t>LV panel / distribution feeder</t>
        </is>
      </c>
      <c r="E1004" s="12" t="n">
        <v>480</v>
      </c>
      <c r="F1004" s="12" t="n">
        <v>40</v>
      </c>
      <c r="G1004" s="12" t="n">
        <v>56.6</v>
      </c>
      <c r="H1004" s="12" t="inlineStr">
        <is>
          <t>CCS MV switchgear building (VFDs)</t>
        </is>
      </c>
      <c r="I1004" s="12" t="inlineStr">
        <is>
          <t>LV 600 V</t>
        </is>
      </c>
      <c r="J1004" s="12" t="inlineStr">
        <is>
          <t>4</t>
        </is>
      </c>
      <c r="K1004" s="12" t="n">
        <v>1</v>
      </c>
    </row>
    <row r="1005">
      <c r="A1005" s="12" t="inlineStr">
        <is>
          <t>CCS MV switchgear building (VFDs)</t>
        </is>
      </c>
      <c r="B1005" s="12" t="inlineStr"/>
      <c r="C1005" s="12" t="inlineStr">
        <is>
          <t>G</t>
        </is>
      </c>
      <c r="D1005" s="12" t="inlineStr">
        <is>
          <t>LV panel / distribution feeder</t>
        </is>
      </c>
      <c r="E1005" s="12" t="n">
        <v>480</v>
      </c>
      <c r="F1005" s="12" t="n">
        <v>109</v>
      </c>
      <c r="G1005" s="12" t="n">
        <v>154.2</v>
      </c>
      <c r="H1005" s="12" t="inlineStr">
        <is>
          <t>CCS MV switchgear building (VFDs)</t>
        </is>
      </c>
      <c r="I1005" s="12" t="inlineStr">
        <is>
          <t>LV 600 V</t>
        </is>
      </c>
      <c r="J1005" s="12" t="inlineStr">
        <is>
          <t>3/0</t>
        </is>
      </c>
      <c r="K1005" s="12" t="n">
        <v>1</v>
      </c>
    </row>
    <row r="1006">
      <c r="A1006" s="12" t="inlineStr">
        <is>
          <t>CCS T-1: 230/13.8 kV</t>
        </is>
      </c>
      <c r="B1006" s="12" t="inlineStr">
        <is>
          <t>CCS T-1</t>
        </is>
      </c>
      <c r="C1006" s="12" t="inlineStr">
        <is>
          <t>G</t>
        </is>
      </c>
      <c r="D1006" s="12" t="inlineStr">
        <is>
          <t>Motor 1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2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3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4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T-1: 230/13.8 kV</t>
        </is>
      </c>
      <c r="B1010" s="12" t="inlineStr">
        <is>
          <t>CCS T-1</t>
        </is>
      </c>
      <c r="C1010" s="12" t="inlineStr">
        <is>
          <t>G</t>
        </is>
      </c>
      <c r="D1010" s="12" t="inlineStr">
        <is>
          <t>Motor 5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6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1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2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3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4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5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6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cooling tower (~30 cells): CCS process cooling only</t>
        </is>
      </c>
      <c r="B1018" s="12" t="inlineStr">
        <is>
          <t>CCS-CT</t>
        </is>
      </c>
      <c r="C1018" s="12" t="inlineStr">
        <is>
          <t>G</t>
        </is>
      </c>
      <c r="D1018" s="12" t="inlineStr">
        <is>
          <t>Motor 1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2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3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4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5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6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7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8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9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10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11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12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13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14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15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16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17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18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19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20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21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22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23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24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25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26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27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28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29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30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Area / platform lighting circuit 1 (12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cooling tower (~30 cells): CCS process cooling only</t>
        </is>
      </c>
      <c r="B1049" s="12" t="inlineStr">
        <is>
          <t>CCS-CT</t>
        </is>
      </c>
      <c r="C1049" s="12" t="inlineStr">
        <is>
          <t>G</t>
        </is>
      </c>
      <c r="D1049" s="12" t="inlineStr">
        <is>
          <t>Area / platform lighting circuit 2 (12 fixtures)</t>
        </is>
      </c>
      <c r="E1049" s="12" t="n">
        <v>480</v>
      </c>
      <c r="F1049" s="12" t="n">
        <v>3</v>
      </c>
      <c r="G1049" s="12" t="n">
        <v>5</v>
      </c>
      <c r="H1049" s="12" t="inlineStr">
        <is>
          <t>CT MCC / VFD e-house</t>
        </is>
      </c>
      <c r="I1049" s="12" t="inlineStr">
        <is>
          <t>LV 600 V</t>
        </is>
      </c>
      <c r="J1049" s="12" t="inlineStr">
        <is>
          <t>10</t>
        </is>
      </c>
      <c r="K1049" s="12" t="n">
        <v>1</v>
      </c>
    </row>
    <row r="1050">
      <c r="A1050" s="12" t="inlineStr">
        <is>
          <t>CCS cooling tower (~30 cells): CCS process cooling only</t>
        </is>
      </c>
      <c r="B1050" s="12" t="inlineStr">
        <is>
          <t>CCS-CT</t>
        </is>
      </c>
      <c r="C1050" s="12" t="inlineStr">
        <is>
          <t>G</t>
        </is>
      </c>
      <c r="D1050" s="12" t="inlineStr">
        <is>
          <t>Area / platform lighting circuit 3 (6 fixtures)</t>
        </is>
      </c>
      <c r="E1050" s="12" t="n">
        <v>480</v>
      </c>
      <c r="F1050" s="12" t="n">
        <v>3</v>
      </c>
      <c r="G1050" s="12" t="n">
        <v>5</v>
      </c>
      <c r="H1050" s="12" t="inlineStr">
        <is>
          <t>CT MCC / VFD e-house</t>
        </is>
      </c>
      <c r="I1050" s="12" t="inlineStr">
        <is>
          <t>LV 600 V</t>
        </is>
      </c>
      <c r="J1050" s="12" t="inlineStr">
        <is>
          <t>10</t>
        </is>
      </c>
      <c r="K1050" s="12" t="n">
        <v>1</v>
      </c>
    </row>
    <row r="1051">
      <c r="A1051" s="12" t="inlineStr">
        <is>
          <t>CCS instrument air</t>
        </is>
      </c>
      <c r="B1051" s="12" t="inlineStr"/>
      <c r="C1051" s="12" t="inlineStr">
        <is>
          <t>G</t>
        </is>
      </c>
      <c r="D1051" s="12" t="inlineStr">
        <is>
          <t>Motor 1 of 2, 250 kW</t>
        </is>
      </c>
      <c r="E1051" s="12" t="n">
        <v>480</v>
      </c>
      <c r="F1051" s="12" t="n">
        <v>250</v>
      </c>
      <c r="G1051" s="12" t="n">
        <v>353.8</v>
      </c>
      <c r="H1051" s="12" t="inlineStr">
        <is>
          <t>CCS MV switchgear building (VFDs)</t>
        </is>
      </c>
      <c r="I1051" s="12" t="inlineStr">
        <is>
          <t>LV 600 V</t>
        </is>
      </c>
      <c r="J1051" s="12" t="inlineStr">
        <is>
          <t>4/0</t>
        </is>
      </c>
      <c r="K1051" s="12" t="n">
        <v>2</v>
      </c>
    </row>
    <row r="1052">
      <c r="A1052" s="12" t="inlineStr">
        <is>
          <t>CCS instrument air</t>
        </is>
      </c>
      <c r="B1052" s="12" t="inlineStr"/>
      <c r="C1052" s="12" t="inlineStr">
        <is>
          <t>G</t>
        </is>
      </c>
      <c r="D1052" s="12" t="inlineStr">
        <is>
          <t>Motor 2 of 2, 250 kW</t>
        </is>
      </c>
      <c r="E1052" s="12" t="n">
        <v>480</v>
      </c>
      <c r="F1052" s="12" t="n">
        <v>250</v>
      </c>
      <c r="G1052" s="12" t="n">
        <v>353.8</v>
      </c>
      <c r="H1052" s="12" t="inlineStr">
        <is>
          <t>CCS MV switchgear building (VFDs)</t>
        </is>
      </c>
      <c r="I1052" s="12" t="inlineStr">
        <is>
          <t>LV 600 V</t>
        </is>
      </c>
      <c r="J1052" s="12" t="inlineStr">
        <is>
          <t>4/0</t>
        </is>
      </c>
      <c r="K1052" s="12" t="n">
        <v>2</v>
      </c>
    </row>
    <row r="1053">
      <c r="A1053" s="12" t="inlineStr">
        <is>
          <t>CCS wastewater (DCC + tower blowdown)</t>
        </is>
      </c>
      <c r="B1053" s="12" t="inlineStr"/>
      <c r="C1053" s="12" t="inlineStr">
        <is>
          <t>G</t>
        </is>
      </c>
      <c r="D1053" s="12" t="inlineStr">
        <is>
          <t>Motor 1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2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3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4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CCS wastewater (DCC + tower blowdown)</t>
        </is>
      </c>
      <c r="B1057" s="12" t="inlineStr"/>
      <c r="C1057" s="12" t="inlineStr">
        <is>
          <t>G</t>
        </is>
      </c>
      <c r="D1057" s="12" t="inlineStr">
        <is>
          <t>Motor 5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6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CO2 compression 3 x ~19 MW + dehydration</t>
        </is>
      </c>
      <c r="B1059" s="12" t="inlineStr"/>
      <c r="C1059" s="12" t="inlineStr">
        <is>
          <t>G</t>
        </is>
      </c>
      <c r="D1059" s="12" t="inlineStr">
        <is>
          <t>Motor 1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2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3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4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5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6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7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8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9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10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480 V welding receptacle 1</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2</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compression 3 x ~19 MW + dehydration</t>
        </is>
      </c>
      <c r="B1071" s="12" t="inlineStr"/>
      <c r="C1071" s="12" t="inlineStr">
        <is>
          <t>G</t>
        </is>
      </c>
      <c r="D1071" s="12" t="inlineStr">
        <is>
          <t>480 V welding receptacle 3</t>
        </is>
      </c>
      <c r="E1071" s="12" t="n">
        <v>480</v>
      </c>
      <c r="F1071" s="12" t="n">
        <v>60</v>
      </c>
      <c r="G1071" s="12" t="n">
        <v>76</v>
      </c>
      <c r="H1071" s="12" t="inlineStr">
        <is>
          <t>CCS MV switchgear building (VFDs)</t>
        </is>
      </c>
      <c r="I1071" s="12" t="inlineStr">
        <is>
          <t>LV 600 V</t>
        </is>
      </c>
      <c r="J1071" s="12" t="inlineStr">
        <is>
          <t>2</t>
        </is>
      </c>
      <c r="K1071" s="12" t="n">
        <v>1</v>
      </c>
    </row>
    <row r="1072">
      <c r="A1072" s="12" t="inlineStr">
        <is>
          <t>CO2 compression 3 x ~19 MW + dehydration</t>
        </is>
      </c>
      <c r="B1072" s="12" t="inlineStr"/>
      <c r="C1072" s="12" t="inlineStr">
        <is>
          <t>G</t>
        </is>
      </c>
      <c r="D1072" s="12" t="inlineStr">
        <is>
          <t>480 V welding receptacle 4</t>
        </is>
      </c>
      <c r="E1072" s="12" t="n">
        <v>480</v>
      </c>
      <c r="F1072" s="12" t="n">
        <v>60</v>
      </c>
      <c r="G1072" s="12" t="n">
        <v>76</v>
      </c>
      <c r="H1072" s="12" t="inlineStr">
        <is>
          <t>CCS MV switchgear building (VFDs)</t>
        </is>
      </c>
      <c r="I1072" s="12" t="inlineStr">
        <is>
          <t>LV 600 V</t>
        </is>
      </c>
      <c r="J1072" s="12" t="inlineStr">
        <is>
          <t>2</t>
        </is>
      </c>
      <c r="K1072" s="12" t="n">
        <v>1</v>
      </c>
    </row>
    <row r="1073">
      <c r="A1073" s="12" t="inlineStr">
        <is>
          <t>CO2 dehydration: molecular-sieve towers and regeneration heater</t>
        </is>
      </c>
      <c r="B1073" s="12" t="inlineStr"/>
      <c r="C1073" s="12" t="inlineStr">
        <is>
          <t>G</t>
        </is>
      </c>
      <c r="D1073" s="12" t="inlineStr">
        <is>
          <t>Motor 1 of 2, 20 kW</t>
        </is>
      </c>
      <c r="E1073" s="12" t="n">
        <v>480</v>
      </c>
      <c r="F1073" s="12" t="n">
        <v>20</v>
      </c>
      <c r="G1073" s="12" t="n">
        <v>28.3</v>
      </c>
      <c r="H1073" s="12" t="inlineStr">
        <is>
          <t>CCS MV switchgear building (VFDs)</t>
        </is>
      </c>
      <c r="I1073" s="12" t="inlineStr">
        <is>
          <t>LV 600 V</t>
        </is>
      </c>
      <c r="J1073" s="12" t="inlineStr">
        <is>
          <t>6</t>
        </is>
      </c>
      <c r="K1073" s="12" t="n">
        <v>1</v>
      </c>
    </row>
    <row r="1074">
      <c r="A1074" s="12" t="inlineStr">
        <is>
          <t>CO2 dehydration: molecular-sieve towers and regeneration heater</t>
        </is>
      </c>
      <c r="B1074" s="12" t="inlineStr"/>
      <c r="C1074" s="12" t="inlineStr">
        <is>
          <t>G</t>
        </is>
      </c>
      <c r="D1074" s="12" t="inlineStr">
        <is>
          <t>Motor 2 of 2, 20 kW</t>
        </is>
      </c>
      <c r="E1074" s="12" t="n">
        <v>480</v>
      </c>
      <c r="F1074" s="12" t="n">
        <v>20</v>
      </c>
      <c r="G1074" s="12" t="n">
        <v>28.3</v>
      </c>
      <c r="H1074" s="12" t="inlineStr">
        <is>
          <t>CCS MV switchgear building (VFDs)</t>
        </is>
      </c>
      <c r="I1074" s="12" t="inlineStr">
        <is>
          <t>LV 600 V</t>
        </is>
      </c>
      <c r="J1074" s="12" t="inlineStr">
        <is>
          <t>6</t>
        </is>
      </c>
      <c r="K1074" s="12" t="n">
        <v>1</v>
      </c>
    </row>
    <row r="1075">
      <c r="A1075" s="12" t="inlineStr">
        <is>
          <t>CO2 dehydration: molecular-sieve towers and regeneration heater</t>
        </is>
      </c>
      <c r="B1075" s="12" t="inlineStr"/>
      <c r="C1075" s="12" t="inlineStr">
        <is>
          <t>G</t>
        </is>
      </c>
      <c r="D1075" s="12" t="inlineStr">
        <is>
          <t>Motor 1 of 1, 200 kW</t>
        </is>
      </c>
      <c r="E1075" s="12" t="n">
        <v>480</v>
      </c>
      <c r="F1075" s="12" t="n">
        <v>200</v>
      </c>
      <c r="G1075" s="12" t="n">
        <v>283</v>
      </c>
      <c r="H1075" s="12" t="inlineStr">
        <is>
          <t>CCS MV switchgear building (VFDs)</t>
        </is>
      </c>
      <c r="I1075" s="12" t="inlineStr">
        <is>
          <t>LV 600 V</t>
        </is>
      </c>
      <c r="J1075" s="12" t="inlineStr">
        <is>
          <t>500 kcmil</t>
        </is>
      </c>
      <c r="K1075" s="12" t="n">
        <v>1</v>
      </c>
    </row>
    <row r="1076">
      <c r="A1076" s="12" t="inlineStr">
        <is>
          <t>CO2 dehydration: molecular-sieve towers and regeneration heater</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5: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6: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7: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8: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9: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10: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11: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12: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CONDITIONAL: HP export compressor + metering</t>
        </is>
      </c>
      <c r="B1088" s="12" t="inlineStr"/>
      <c r="C1088" s="12" t="inlineStr">
        <is>
          <t>G</t>
        </is>
      </c>
      <c r="D1088" s="12" t="inlineStr">
        <is>
          <t>Motor 1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2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CONDITIONAL: HP export compressor + metering</t>
        </is>
      </c>
      <c r="B1090" s="12" t="inlineStr"/>
      <c r="C1090" s="12" t="inlineStr">
        <is>
          <t>G</t>
        </is>
      </c>
      <c r="D1090" s="12" t="inlineStr">
        <is>
          <t>Motor 3 of 4, 30 kW</t>
        </is>
      </c>
      <c r="E1090" s="12" t="n">
        <v>480</v>
      </c>
      <c r="F1090" s="12" t="n">
        <v>30</v>
      </c>
      <c r="G1090" s="12" t="n">
        <v>42.5</v>
      </c>
      <c r="H1090" s="12" t="inlineStr">
        <is>
          <t>CCS MV switchgear building (VFDs)</t>
        </is>
      </c>
      <c r="I1090" s="12" t="inlineStr">
        <is>
          <t>LV 600 V</t>
        </is>
      </c>
      <c r="J1090" s="12" t="inlineStr">
        <is>
          <t>6</t>
        </is>
      </c>
      <c r="K1090" s="12" t="n">
        <v>1</v>
      </c>
    </row>
    <row r="1091">
      <c r="A1091" s="12" t="inlineStr">
        <is>
          <t>CONDITIONAL: HP export compressor + metering</t>
        </is>
      </c>
      <c r="B1091" s="12" t="inlineStr"/>
      <c r="C1091" s="12" t="inlineStr">
        <is>
          <t>G</t>
        </is>
      </c>
      <c r="D1091" s="12" t="inlineStr">
        <is>
          <t>Motor 4 of 4, 30 kW</t>
        </is>
      </c>
      <c r="E1091" s="12" t="n">
        <v>480</v>
      </c>
      <c r="F1091" s="12" t="n">
        <v>30</v>
      </c>
      <c r="G1091" s="12" t="n">
        <v>42.5</v>
      </c>
      <c r="H1091" s="12" t="inlineStr">
        <is>
          <t>CCS MV switchgear building (VFDs)</t>
        </is>
      </c>
      <c r="I1091" s="12" t="inlineStr">
        <is>
          <t>LV 600 V</t>
        </is>
      </c>
      <c r="J1091" s="12" t="inlineStr">
        <is>
          <t>6</t>
        </is>
      </c>
      <c r="K1091" s="12" t="n">
        <v>1</v>
      </c>
    </row>
    <row r="1092">
      <c r="A1092" s="12" t="inlineStr">
        <is>
          <t>DCC-A pumps + water filter</t>
        </is>
      </c>
      <c r="B1092" s="12" t="inlineStr"/>
      <c r="C1092" s="12" t="inlineStr">
        <is>
          <t>G</t>
        </is>
      </c>
      <c r="D1092" s="12" t="inlineStr">
        <is>
          <t>Motor 1 of 2, 200 kW</t>
        </is>
      </c>
      <c r="E1092" s="12" t="n">
        <v>480</v>
      </c>
      <c r="F1092" s="12" t="n">
        <v>200</v>
      </c>
      <c r="G1092" s="12" t="n">
        <v>283</v>
      </c>
      <c r="H1092" s="12" t="inlineStr">
        <is>
          <t>CCS MV switchgear building (VFDs)</t>
        </is>
      </c>
      <c r="I1092" s="12" t="inlineStr">
        <is>
          <t>LV 600 V</t>
        </is>
      </c>
      <c r="J1092" s="12" t="inlineStr">
        <is>
          <t>500 kcmil</t>
        </is>
      </c>
      <c r="K1092" s="12" t="n">
        <v>1</v>
      </c>
    </row>
    <row r="1093">
      <c r="A1093" s="12" t="inlineStr">
        <is>
          <t>DCC-A pumps + water filter</t>
        </is>
      </c>
      <c r="B1093" s="12" t="inlineStr"/>
      <c r="C1093" s="12" t="inlineStr">
        <is>
          <t>G</t>
        </is>
      </c>
      <c r="D1093" s="12" t="inlineStr">
        <is>
          <t>Motor 2 of 2, 200 kW</t>
        </is>
      </c>
      <c r="E1093" s="12" t="n">
        <v>480</v>
      </c>
      <c r="F1093" s="12" t="n">
        <v>200</v>
      </c>
      <c r="G1093" s="12" t="n">
        <v>283</v>
      </c>
      <c r="H1093" s="12" t="inlineStr">
        <is>
          <t>CCS MV switchgear building (VFDs)</t>
        </is>
      </c>
      <c r="I1093" s="12" t="inlineStr">
        <is>
          <t>LV 600 V</t>
        </is>
      </c>
      <c r="J1093" s="12" t="inlineStr">
        <is>
          <t>500 kcmil</t>
        </is>
      </c>
      <c r="K1093" s="12" t="n">
        <v>1</v>
      </c>
    </row>
    <row r="1094">
      <c r="A1094" s="12" t="inlineStr">
        <is>
          <t>DCC-A: direct-contact cooler (quench)</t>
        </is>
      </c>
      <c r="B1094" s="12" t="inlineStr">
        <is>
          <t>DCC-A</t>
        </is>
      </c>
      <c r="C1094" s="12" t="inlineStr">
        <is>
          <t>G</t>
        </is>
      </c>
      <c r="D1094" s="12" t="inlineStr">
        <is>
          <t>LV power feeder</t>
        </is>
      </c>
      <c r="E1094" s="12" t="n">
        <v>480</v>
      </c>
      <c r="F1094" s="12" t="n">
        <v>15</v>
      </c>
      <c r="G1094" s="12" t="n">
        <v>21.2</v>
      </c>
      <c r="H1094" s="12" t="inlineStr">
        <is>
          <t>CCS MV switchgear building (VFDs)</t>
        </is>
      </c>
      <c r="I1094" s="12" t="inlineStr">
        <is>
          <t>LV 600 V</t>
        </is>
      </c>
      <c r="J1094" s="12" t="inlineStr">
        <is>
          <t>6</t>
        </is>
      </c>
      <c r="K1094" s="12" t="n">
        <v>1</v>
      </c>
    </row>
    <row r="1095">
      <c r="A1095" s="12" t="inlineStr">
        <is>
          <t>DCC-A: direct-contact cooler (quench)</t>
        </is>
      </c>
      <c r="B1095" s="12" t="inlineStr">
        <is>
          <t>DCC-A</t>
        </is>
      </c>
      <c r="C1095" s="12" t="inlineStr">
        <is>
          <t>G</t>
        </is>
      </c>
      <c r="D1095" s="12" t="inlineStr">
        <is>
          <t>Area / platform lighting circuit 1 (8 fixtures)</t>
        </is>
      </c>
      <c r="E1095" s="12" t="n">
        <v>480</v>
      </c>
      <c r="F1095" s="12" t="n">
        <v>3</v>
      </c>
      <c r="G1095" s="12" t="n">
        <v>5</v>
      </c>
      <c r="H1095" s="12" t="inlineStr">
        <is>
          <t>CCS MV switchgear building (VFDs)</t>
        </is>
      </c>
      <c r="I1095" s="12" t="inlineStr">
        <is>
          <t>LV 600 V</t>
        </is>
      </c>
      <c r="J1095" s="12" t="inlineStr">
        <is>
          <t>10</t>
        </is>
      </c>
      <c r="K1095" s="12" t="n">
        <v>1</v>
      </c>
    </row>
    <row r="1096">
      <c r="A1096" s="12" t="inlineStr">
        <is>
          <t>DCC-B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DCC-B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DCC-B: direct-contact cooler (quench)</t>
        </is>
      </c>
      <c r="B1098" s="12" t="inlineStr">
        <is>
          <t>DCC-B</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8</t>
        </is>
      </c>
      <c r="K1098" s="12" t="n">
        <v>1</v>
      </c>
    </row>
    <row r="1099">
      <c r="A1099" s="12" t="inlineStr">
        <is>
          <t>DCC-B: direct-contact cooler (quench)</t>
        </is>
      </c>
      <c r="B1099" s="12" t="inlineStr">
        <is>
          <t>DCC-B</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DCC-C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DCC-C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DCC-C: direct-contact cooler (quench)</t>
        </is>
      </c>
      <c r="B1102" s="12" t="inlineStr">
        <is>
          <t>DCC-C</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10</t>
        </is>
      </c>
      <c r="K1102" s="12" t="n">
        <v>1</v>
      </c>
    </row>
    <row r="1103">
      <c r="A1103" s="12" t="inlineStr">
        <is>
          <t>DCC-C: direct-contact cooler (quench)</t>
        </is>
      </c>
      <c r="B1103" s="12" t="inlineStr">
        <is>
          <t>DCC-C</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DMP-A: diverter / bypass damper</t>
        </is>
      </c>
      <c r="B1104" s="12" t="inlineStr">
        <is>
          <t>DMP-A</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DMP-A: diverter / bypass damper</t>
        </is>
      </c>
      <c r="B1105" s="12" t="inlineStr">
        <is>
          <t>DMP-A</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DMP-B: diverter / bypass damper</t>
        </is>
      </c>
      <c r="B1106" s="12" t="inlineStr">
        <is>
          <t>DMP-B</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DMP-B: diverter / bypass damper</t>
        </is>
      </c>
      <c r="B1107" s="12" t="inlineStr">
        <is>
          <t>DMP-B</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DMP-C: diverter / bypass damper</t>
        </is>
      </c>
      <c r="B1108" s="12" t="inlineStr">
        <is>
          <t>DMP-C</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DMP-C: diverter / bypass damper</t>
        </is>
      </c>
      <c r="B1109" s="12" t="inlineStr">
        <is>
          <t>DMP-C</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RB-A: reboiler (LP steam from ST extraction)</t>
        </is>
      </c>
      <c r="B1110" s="12" t="inlineStr"/>
      <c r="C1110" s="12" t="inlineStr">
        <is>
          <t>G</t>
        </is>
      </c>
      <c r="D1110" s="12" t="inlineStr">
        <is>
          <t>MOV 1: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2: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MOV 3: power</t>
        </is>
      </c>
      <c r="E1112" s="12" t="n">
        <v>480</v>
      </c>
      <c r="F1112" s="12" t="n">
        <v>2.5</v>
      </c>
      <c r="G1112" s="12" t="n">
        <v>3.5</v>
      </c>
      <c r="H1112" s="12" t="inlineStr">
        <is>
          <t>CCS MV switchgear building (VFDs)</t>
        </is>
      </c>
      <c r="I1112" s="12" t="inlineStr">
        <is>
          <t>LV 600 V</t>
        </is>
      </c>
      <c r="J1112" s="12" t="inlineStr">
        <is>
          <t>10</t>
        </is>
      </c>
      <c r="K1112" s="12" t="n">
        <v>1</v>
      </c>
    </row>
    <row r="1113">
      <c r="A1113" s="12" t="inlineStr">
        <is>
          <t>RB-A: reboiler (LP steam from ST extraction)</t>
        </is>
      </c>
      <c r="B1113" s="12" t="inlineStr"/>
      <c r="C1113" s="12" t="inlineStr">
        <is>
          <t>G</t>
        </is>
      </c>
      <c r="D1113" s="12" t="inlineStr">
        <is>
          <t>MOV 4: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RB-A: reboiler (LP steam from ST extraction)</t>
        </is>
      </c>
      <c r="B1114" s="12" t="inlineStr"/>
      <c r="C1114" s="12" t="inlineStr">
        <is>
          <t>G</t>
        </is>
      </c>
      <c r="D1114" s="12" t="inlineStr">
        <is>
          <t>LV power feeder</t>
        </is>
      </c>
      <c r="E1114" s="12" t="n">
        <v>480</v>
      </c>
      <c r="F1114" s="12" t="n">
        <v>10</v>
      </c>
      <c r="G1114" s="12" t="n">
        <v>14.2</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1: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2: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MOV 3: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RB-B: reboiler (LP steam from ST extraction)</t>
        </is>
      </c>
      <c r="B1118" s="12" t="inlineStr"/>
      <c r="C1118" s="12" t="inlineStr">
        <is>
          <t>G</t>
        </is>
      </c>
      <c r="D1118" s="12" t="inlineStr">
        <is>
          <t>MOV 4: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LV power feeder</t>
        </is>
      </c>
      <c r="E1119" s="12" t="n">
        <v>480</v>
      </c>
      <c r="F1119" s="12" t="n">
        <v>10</v>
      </c>
      <c r="G1119" s="12" t="n">
        <v>14.2</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1: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2: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MOV 3: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RB-C: reboiler (LP steam from ST extraction)</t>
        </is>
      </c>
      <c r="B1123" s="12" t="inlineStr"/>
      <c r="C1123" s="12" t="inlineStr">
        <is>
          <t>G</t>
        </is>
      </c>
      <c r="D1123" s="12" t="inlineStr">
        <is>
          <t>MOV 4: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LV power feeder</t>
        </is>
      </c>
      <c r="E1124" s="12" t="n">
        <v>480</v>
      </c>
      <c r="F1124" s="12" t="n">
        <v>10</v>
      </c>
      <c r="G1124" s="12" t="n">
        <v>14.2</v>
      </c>
      <c r="H1124" s="12" t="inlineStr">
        <is>
          <t>CCS MV switchgear building (VFDs)</t>
        </is>
      </c>
      <c r="I1124" s="12" t="inlineStr">
        <is>
          <t>LV 600 V</t>
        </is>
      </c>
      <c r="J1124" s="12" t="inlineStr">
        <is>
          <t>10</t>
        </is>
      </c>
      <c r="K1124" s="12" t="n">
        <v>1</v>
      </c>
    </row>
    <row r="1125">
      <c r="A1125" s="12" t="inlineStr">
        <is>
          <t>Reclaimer (thermal, intermittent)</t>
        </is>
      </c>
      <c r="B1125" s="12" t="inlineStr"/>
      <c r="C1125" s="12" t="inlineStr">
        <is>
          <t>G</t>
        </is>
      </c>
      <c r="D1125" s="12" t="inlineStr">
        <is>
          <t>Motor 1 of 2, 15 kW</t>
        </is>
      </c>
      <c r="E1125" s="12" t="n">
        <v>480</v>
      </c>
      <c r="F1125" s="12" t="n">
        <v>15</v>
      </c>
      <c r="G1125" s="12" t="n">
        <v>21.2</v>
      </c>
      <c r="H1125" s="12" t="inlineStr">
        <is>
          <t>CCS MV switchgear building (VFDs)</t>
        </is>
      </c>
      <c r="I1125" s="12" t="inlineStr">
        <is>
          <t>LV 600 V</t>
        </is>
      </c>
      <c r="J1125" s="12" t="inlineStr">
        <is>
          <t>10</t>
        </is>
      </c>
      <c r="K1125" s="12" t="n">
        <v>1</v>
      </c>
    </row>
    <row r="1126">
      <c r="A1126" s="12" t="inlineStr">
        <is>
          <t>Reclaimer (thermal, intermittent)</t>
        </is>
      </c>
      <c r="B1126" s="12" t="inlineStr"/>
      <c r="C1126" s="12" t="inlineStr">
        <is>
          <t>G</t>
        </is>
      </c>
      <c r="D1126" s="12" t="inlineStr">
        <is>
          <t>Motor 2 of 2, 15 kW</t>
        </is>
      </c>
      <c r="E1126" s="12" t="n">
        <v>480</v>
      </c>
      <c r="F1126" s="12" t="n">
        <v>15</v>
      </c>
      <c r="G1126" s="12" t="n">
        <v>21.2</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1: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2: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3: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4: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5: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6: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LV power feeder</t>
        </is>
      </c>
      <c r="E1133" s="12" t="n">
        <v>480</v>
      </c>
      <c r="F1133" s="12" t="n">
        <v>30</v>
      </c>
      <c r="G1133" s="12" t="n">
        <v>42.5</v>
      </c>
      <c r="H1133" s="12" t="inlineStr">
        <is>
          <t>CCS MV switchgear building (VFDs)</t>
        </is>
      </c>
      <c r="I1133" s="12" t="inlineStr">
        <is>
          <t>LV 600 V</t>
        </is>
      </c>
      <c r="J1133" s="12" t="inlineStr">
        <is>
          <t>6</t>
        </is>
      </c>
      <c r="K1133" s="12" t="n">
        <v>1</v>
      </c>
    </row>
    <row r="1134">
      <c r="A1134" s="12" t="inlineStr">
        <is>
          <t>STR-A: stripper / regenerator (45 ft dia x 207 ft)</t>
        </is>
      </c>
      <c r="B1134" s="12" t="inlineStr">
        <is>
          <t>STR-A</t>
        </is>
      </c>
      <c r="C1134" s="12" t="inlineStr">
        <is>
          <t>G</t>
        </is>
      </c>
      <c r="D1134" s="12" t="inlineStr">
        <is>
          <t>Area / platform lighting circuit 1 (12 fixtures)</t>
        </is>
      </c>
      <c r="E1134" s="12" t="n">
        <v>480</v>
      </c>
      <c r="F1134" s="12" t="n">
        <v>3</v>
      </c>
      <c r="G1134" s="12" t="n">
        <v>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Area / platform lighting circuit 2 (8 fixtures)</t>
        </is>
      </c>
      <c r="E1135" s="12" t="n">
        <v>480</v>
      </c>
      <c r="F1135" s="12" t="n">
        <v>3</v>
      </c>
      <c r="G1135" s="12" t="n">
        <v>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480 V welding receptacle 1</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2</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STR-A: stripper / regenerator (45 ft dia x 207 ft)</t>
        </is>
      </c>
      <c r="B1138" s="12" t="inlineStr">
        <is>
          <t>STR-A</t>
        </is>
      </c>
      <c r="C1138" s="12" t="inlineStr">
        <is>
          <t>G</t>
        </is>
      </c>
      <c r="D1138" s="12" t="inlineStr">
        <is>
          <t>480 V welding receptacle 3</t>
        </is>
      </c>
      <c r="E1138" s="12" t="n">
        <v>480</v>
      </c>
      <c r="F1138" s="12" t="n">
        <v>60</v>
      </c>
      <c r="G1138" s="12" t="n">
        <v>76</v>
      </c>
      <c r="H1138" s="12" t="inlineStr">
        <is>
          <t>CCS MV switchgear building (VFDs)</t>
        </is>
      </c>
      <c r="I1138" s="12" t="inlineStr">
        <is>
          <t>LV 600 V</t>
        </is>
      </c>
      <c r="J1138" s="12" t="inlineStr">
        <is>
          <t>2</t>
        </is>
      </c>
      <c r="K1138" s="12" t="n">
        <v>1</v>
      </c>
    </row>
    <row r="1139">
      <c r="A1139" s="12" t="inlineStr">
        <is>
          <t>STR-A: stripper / regenerator (45 ft dia x 207 ft)</t>
        </is>
      </c>
      <c r="B1139" s="12" t="inlineStr">
        <is>
          <t>STR-A</t>
        </is>
      </c>
      <c r="C1139" s="12" t="inlineStr">
        <is>
          <t>G</t>
        </is>
      </c>
      <c r="D1139" s="12" t="inlineStr">
        <is>
          <t>480 V welding receptacle 4</t>
        </is>
      </c>
      <c r="E1139" s="12" t="n">
        <v>480</v>
      </c>
      <c r="F1139" s="12" t="n">
        <v>60</v>
      </c>
      <c r="G1139" s="12" t="n">
        <v>76</v>
      </c>
      <c r="H1139" s="12" t="inlineStr">
        <is>
          <t>CCS MV switchgear building (VFDs)</t>
        </is>
      </c>
      <c r="I1139" s="12" t="inlineStr">
        <is>
          <t>LV 600 V</t>
        </is>
      </c>
      <c r="J1139" s="12" t="inlineStr">
        <is>
          <t>2</t>
        </is>
      </c>
      <c r="K1139" s="12" t="n">
        <v>1</v>
      </c>
    </row>
    <row r="1140">
      <c r="A1140" s="12" t="inlineStr">
        <is>
          <t>STR-B: stripper / regenerator (45 ft dia x 207 ft)</t>
        </is>
      </c>
      <c r="B1140" s="12" t="inlineStr">
        <is>
          <t>STR-B</t>
        </is>
      </c>
      <c r="C1140" s="12" t="inlineStr">
        <is>
          <t>G</t>
        </is>
      </c>
      <c r="D1140" s="12" t="inlineStr">
        <is>
          <t>MOV 1: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2: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3: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4: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MOV 5: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6: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LV power feeder</t>
        </is>
      </c>
      <c r="E1146" s="12" t="n">
        <v>480</v>
      </c>
      <c r="F1146" s="12" t="n">
        <v>30</v>
      </c>
      <c r="G1146" s="12" t="n">
        <v>42.5</v>
      </c>
      <c r="H1146" s="12" t="inlineStr">
        <is>
          <t>CCS MV switchgear building (VFDs)</t>
        </is>
      </c>
      <c r="I1146" s="12" t="inlineStr">
        <is>
          <t>LV 600 V</t>
        </is>
      </c>
      <c r="J1146" s="12" t="inlineStr">
        <is>
          <t>6</t>
        </is>
      </c>
      <c r="K1146" s="12" t="n">
        <v>1</v>
      </c>
    </row>
    <row r="1147">
      <c r="A1147" s="12" t="inlineStr">
        <is>
          <t>STR-B: stripper / regenerator (45 ft dia x 207 ft)</t>
        </is>
      </c>
      <c r="B1147" s="12" t="inlineStr">
        <is>
          <t>STR-B</t>
        </is>
      </c>
      <c r="C1147" s="12" t="inlineStr">
        <is>
          <t>G</t>
        </is>
      </c>
      <c r="D1147" s="12" t="inlineStr">
        <is>
          <t>Area / platform lighting circuit 1 (12 fixtures)</t>
        </is>
      </c>
      <c r="E1147" s="12" t="n">
        <v>480</v>
      </c>
      <c r="F1147" s="12" t="n">
        <v>3</v>
      </c>
      <c r="G1147" s="12" t="n">
        <v>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Area / platform lighting circuit 2 (8 fixtures)</t>
        </is>
      </c>
      <c r="E1148" s="12" t="n">
        <v>480</v>
      </c>
      <c r="F1148" s="12" t="n">
        <v>3</v>
      </c>
      <c r="G1148" s="12" t="n">
        <v>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480 V welding receptacle 1</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2</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STR-B: stripper / regenerator (45 ft dia x 207 ft)</t>
        </is>
      </c>
      <c r="B1151" s="12" t="inlineStr">
        <is>
          <t>STR-B</t>
        </is>
      </c>
      <c r="C1151" s="12" t="inlineStr">
        <is>
          <t>G</t>
        </is>
      </c>
      <c r="D1151" s="12" t="inlineStr">
        <is>
          <t>480 V welding receptacle 3</t>
        </is>
      </c>
      <c r="E1151" s="12" t="n">
        <v>480</v>
      </c>
      <c r="F1151" s="12" t="n">
        <v>60</v>
      </c>
      <c r="G1151" s="12" t="n">
        <v>76</v>
      </c>
      <c r="H1151" s="12" t="inlineStr">
        <is>
          <t>CCS MV switchgear building (VFDs)</t>
        </is>
      </c>
      <c r="I1151" s="12" t="inlineStr">
        <is>
          <t>LV 600 V</t>
        </is>
      </c>
      <c r="J1151" s="12" t="inlineStr">
        <is>
          <t>2</t>
        </is>
      </c>
      <c r="K1151" s="12" t="n">
        <v>1</v>
      </c>
    </row>
    <row r="1152">
      <c r="A1152" s="12" t="inlineStr">
        <is>
          <t>STR-B: stripper / regenerator (45 ft dia x 207 ft)</t>
        </is>
      </c>
      <c r="B1152" s="12" t="inlineStr">
        <is>
          <t>STR-B</t>
        </is>
      </c>
      <c r="C1152" s="12" t="inlineStr">
        <is>
          <t>G</t>
        </is>
      </c>
      <c r="D1152" s="12" t="inlineStr">
        <is>
          <t>480 V welding receptacle 4</t>
        </is>
      </c>
      <c r="E1152" s="12" t="n">
        <v>480</v>
      </c>
      <c r="F1152" s="12" t="n">
        <v>60</v>
      </c>
      <c r="G1152" s="12" t="n">
        <v>76</v>
      </c>
      <c r="H1152" s="12" t="inlineStr">
        <is>
          <t>CCS MV switchgear building (VFDs)</t>
        </is>
      </c>
      <c r="I1152" s="12" t="inlineStr">
        <is>
          <t>LV 600 V</t>
        </is>
      </c>
      <c r="J1152" s="12" t="inlineStr">
        <is>
          <t>2</t>
        </is>
      </c>
      <c r="K1152" s="12" t="n">
        <v>1</v>
      </c>
    </row>
    <row r="1153">
      <c r="A1153" s="12" t="inlineStr">
        <is>
          <t>STR-C: stripper / regenerator (45 ft dia x 207 ft)</t>
        </is>
      </c>
      <c r="B1153" s="12" t="inlineStr">
        <is>
          <t>STR-C</t>
        </is>
      </c>
      <c r="C1153" s="12" t="inlineStr">
        <is>
          <t>G</t>
        </is>
      </c>
      <c r="D1153" s="12" t="inlineStr">
        <is>
          <t>MOV 1: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2: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3: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4: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MOV 5: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6: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LV power feeder</t>
        </is>
      </c>
      <c r="E1159" s="12" t="n">
        <v>480</v>
      </c>
      <c r="F1159" s="12" t="n">
        <v>30</v>
      </c>
      <c r="G1159" s="12" t="n">
        <v>42.5</v>
      </c>
      <c r="H1159" s="12" t="inlineStr">
        <is>
          <t>CCS MV switchgear building (VFDs)</t>
        </is>
      </c>
      <c r="I1159" s="12" t="inlineStr">
        <is>
          <t>LV 600 V</t>
        </is>
      </c>
      <c r="J1159" s="12" t="inlineStr">
        <is>
          <t>6</t>
        </is>
      </c>
      <c r="K1159" s="12" t="n">
        <v>1</v>
      </c>
    </row>
    <row r="1160">
      <c r="A1160" s="12" t="inlineStr">
        <is>
          <t>STR-C: stripper / regenerator (45 ft dia x 207 ft)</t>
        </is>
      </c>
      <c r="B1160" s="12" t="inlineStr">
        <is>
          <t>STR-C</t>
        </is>
      </c>
      <c r="C1160" s="12" t="inlineStr">
        <is>
          <t>G</t>
        </is>
      </c>
      <c r="D1160" s="12" t="inlineStr">
        <is>
          <t>Area / platform lighting circuit 1 (12 fixtures)</t>
        </is>
      </c>
      <c r="E1160" s="12" t="n">
        <v>480</v>
      </c>
      <c r="F1160" s="12" t="n">
        <v>3</v>
      </c>
      <c r="G1160" s="12" t="n">
        <v>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Area / platform lighting circuit 2 (8 fixtures)</t>
        </is>
      </c>
      <c r="E1161" s="12" t="n">
        <v>480</v>
      </c>
      <c r="F1161" s="12" t="n">
        <v>3</v>
      </c>
      <c r="G1161" s="12" t="n">
        <v>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480 V welding receptacle 1</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2</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STR-C: stripper / regenerator (45 ft dia x 207 ft)</t>
        </is>
      </c>
      <c r="B1164" s="12" t="inlineStr">
        <is>
          <t>STR-C</t>
        </is>
      </c>
      <c r="C1164" s="12" t="inlineStr">
        <is>
          <t>G</t>
        </is>
      </c>
      <c r="D1164" s="12" t="inlineStr">
        <is>
          <t>480 V welding receptacle 3</t>
        </is>
      </c>
      <c r="E1164" s="12" t="n">
        <v>480</v>
      </c>
      <c r="F1164" s="12" t="n">
        <v>60</v>
      </c>
      <c r="G1164" s="12" t="n">
        <v>76</v>
      </c>
      <c r="H1164" s="12" t="inlineStr">
        <is>
          <t>CCS MV switchgear building (VFDs)</t>
        </is>
      </c>
      <c r="I1164" s="12" t="inlineStr">
        <is>
          <t>LV 600 V</t>
        </is>
      </c>
      <c r="J1164" s="12" t="inlineStr">
        <is>
          <t>2</t>
        </is>
      </c>
      <c r="K1164" s="12" t="n">
        <v>1</v>
      </c>
    </row>
    <row r="1165">
      <c r="A1165" s="12" t="inlineStr">
        <is>
          <t>STR-C: stripper / regenerator (45 ft dia x 207 ft)</t>
        </is>
      </c>
      <c r="B1165" s="12" t="inlineStr">
        <is>
          <t>STR-C</t>
        </is>
      </c>
      <c r="C1165" s="12" t="inlineStr">
        <is>
          <t>G</t>
        </is>
      </c>
      <c r="D1165" s="12" t="inlineStr">
        <is>
          <t>480 V welding receptacle 4</t>
        </is>
      </c>
      <c r="E1165" s="12" t="n">
        <v>480</v>
      </c>
      <c r="F1165" s="12" t="n">
        <v>60</v>
      </c>
      <c r="G1165" s="12" t="n">
        <v>76</v>
      </c>
      <c r="H1165" s="12" t="inlineStr">
        <is>
          <t>CCS MV switchgear building (VFDs)</t>
        </is>
      </c>
      <c r="I1165" s="12" t="inlineStr">
        <is>
          <t>LV 600 V</t>
        </is>
      </c>
      <c r="J1165" s="12" t="inlineStr">
        <is>
          <t>2</t>
        </is>
      </c>
      <c r="K1165" s="12" t="n">
        <v>1</v>
      </c>
    </row>
    <row r="1166">
      <c r="A1166" s="12" t="inlineStr">
        <is>
          <t>Solvent + NaOH storage</t>
        </is>
      </c>
      <c r="B1166" s="12" t="inlineStr"/>
      <c r="C1166" s="12" t="inlineStr">
        <is>
          <t>G</t>
        </is>
      </c>
      <c r="D1166" s="12" t="inlineStr">
        <is>
          <t>Motor 1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2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Solvent + NaOH storage</t>
        </is>
      </c>
      <c r="B1168" s="12" t="inlineStr"/>
      <c r="C1168" s="12" t="inlineStr">
        <is>
          <t>G</t>
        </is>
      </c>
      <c r="D1168" s="12" t="inlineStr">
        <is>
          <t>Motor 3 of 4, 15 kW</t>
        </is>
      </c>
      <c r="E1168" s="12" t="n">
        <v>480</v>
      </c>
      <c r="F1168" s="12" t="n">
        <v>15</v>
      </c>
      <c r="G1168" s="12" t="n">
        <v>21.2</v>
      </c>
      <c r="H1168" s="12" t="inlineStr">
        <is>
          <t>CCS MV switchgear building (VFDs)</t>
        </is>
      </c>
      <c r="I1168" s="12" t="inlineStr">
        <is>
          <t>LV 600 V</t>
        </is>
      </c>
      <c r="J1168" s="12" t="inlineStr">
        <is>
          <t>10</t>
        </is>
      </c>
      <c r="K1168" s="12" t="n">
        <v>1</v>
      </c>
    </row>
    <row r="1169">
      <c r="A1169" s="12" t="inlineStr">
        <is>
          <t>Solvent + NaOH storage</t>
        </is>
      </c>
      <c r="B1169" s="12" t="inlineStr"/>
      <c r="C1169" s="12" t="inlineStr">
        <is>
          <t>G</t>
        </is>
      </c>
      <c r="D1169" s="12" t="inlineStr">
        <is>
          <t>Motor 4 of 4, 15 kW</t>
        </is>
      </c>
      <c r="E1169" s="12" t="n">
        <v>480</v>
      </c>
      <c r="F1169" s="12" t="n">
        <v>15</v>
      </c>
      <c r="G1169" s="12" t="n">
        <v>21.2</v>
      </c>
      <c r="H1169" s="12" t="inlineStr">
        <is>
          <t>CCS MV switchgear building (VFDs)</t>
        </is>
      </c>
      <c r="I1169" s="12" t="inlineStr">
        <is>
          <t>LV 600 V</t>
        </is>
      </c>
      <c r="J1169" s="12" t="inlineStr">
        <is>
          <t>10</t>
        </is>
      </c>
      <c r="K1169" s="12" t="n">
        <v>1</v>
      </c>
    </row>
    <row r="1170">
      <c r="A1170" s="12" t="inlineStr">
        <is>
          <t>Water-wash pumps A</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A</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B</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B</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Water-wash pumps C</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C</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BF-A: booster fan (~16 MW)</t>
        </is>
      </c>
      <c r="B1176" s="12" t="inlineStr">
        <is>
          <t>BF-A</t>
        </is>
      </c>
      <c r="C1176" s="12" t="inlineStr">
        <is>
          <t>G</t>
        </is>
      </c>
      <c r="D1176" s="12" t="inlineStr">
        <is>
          <t>Booster fan BF-A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BF-B: booster fan (~16 MW)</t>
        </is>
      </c>
      <c r="B1177" s="12" t="inlineStr">
        <is>
          <t>BF-B</t>
        </is>
      </c>
      <c r="C1177" s="12" t="inlineStr">
        <is>
          <t>G</t>
        </is>
      </c>
      <c r="D1177" s="12" t="inlineStr">
        <is>
          <t>Booster fan BF-B (MV VFD output)</t>
        </is>
      </c>
      <c r="E1177" s="12" t="n">
        <v>13800</v>
      </c>
      <c r="F1177" s="12" t="n">
        <v>16000</v>
      </c>
      <c r="G1177" s="12" t="n">
        <v>744</v>
      </c>
      <c r="H1177" s="12" t="inlineStr">
        <is>
          <t>CCS MV switchgear building (VFDs)</t>
        </is>
      </c>
      <c r="I1177" s="12" t="inlineStr">
        <is>
          <t>MV 15 kV</t>
        </is>
      </c>
      <c r="J1177" s="12" t="inlineStr">
        <is>
          <t>750 kcmil</t>
        </is>
      </c>
      <c r="K1177" s="12" t="n">
        <v>2</v>
      </c>
    </row>
    <row r="1178">
      <c r="A1178" s="12" t="inlineStr">
        <is>
          <t>BF-C: booster fan (~16 MW)</t>
        </is>
      </c>
      <c r="B1178" s="12" t="inlineStr">
        <is>
          <t>BF-C</t>
        </is>
      </c>
      <c r="C1178" s="12" t="inlineStr">
        <is>
          <t>G</t>
        </is>
      </c>
      <c r="D1178" s="12" t="inlineStr">
        <is>
          <t>Booster fan BF-C (MV VFD output)</t>
        </is>
      </c>
      <c r="E1178" s="12" t="n">
        <v>13800</v>
      </c>
      <c r="F1178" s="12" t="n">
        <v>16000</v>
      </c>
      <c r="G1178" s="12" t="n">
        <v>744</v>
      </c>
      <c r="H1178" s="12" t="inlineStr">
        <is>
          <t>CCS MV switchgear building (VFDs)</t>
        </is>
      </c>
      <c r="I1178" s="12" t="inlineStr">
        <is>
          <t>MV 15 kV</t>
        </is>
      </c>
      <c r="J1178" s="12" t="inlineStr">
        <is>
          <t>750 kcmil</t>
        </is>
      </c>
      <c r="K1178" s="12" t="n">
        <v>2</v>
      </c>
    </row>
    <row r="1179">
      <c r="A1179" s="12" t="inlineStr">
        <is>
          <t>CCS MV switchgear building (VFDs)</t>
        </is>
      </c>
      <c r="B1179" s="12" t="inlineStr"/>
      <c r="C1179" s="12" t="inlineStr">
        <is>
          <t>G</t>
        </is>
      </c>
      <c r="D1179" s="12" t="inlineStr">
        <is>
          <t>CCS T-1 secondary to CCS 13.8 kV switchgear</t>
        </is>
      </c>
      <c r="E1179" s="12" t="n">
        <v>13800</v>
      </c>
      <c r="F1179" s="12" t="n">
        <v>60000</v>
      </c>
      <c r="G1179" s="12" t="n">
        <v>2510</v>
      </c>
      <c r="H1179" s="12" t="inlineStr">
        <is>
          <t>CCS T-1: 230/13.8 kV</t>
        </is>
      </c>
      <c r="I1179" s="12" t="inlineStr">
        <is>
          <t>MV 15 kV</t>
        </is>
      </c>
      <c r="J1179" s="12" t="inlineStr">
        <is>
          <t>1000 kcmil</t>
        </is>
      </c>
      <c r="K1179" s="12" t="n">
        <v>5</v>
      </c>
    </row>
    <row r="1180">
      <c r="A1180" s="12" t="inlineStr">
        <is>
          <t>CCS MV switchgear building (VFDs)</t>
        </is>
      </c>
      <c r="B1180" s="12" t="inlineStr"/>
      <c r="C1180" s="12" t="inlineStr">
        <is>
          <t>G</t>
        </is>
      </c>
      <c r="D1180" s="12" t="inlineStr">
        <is>
          <t>CCS T-2 secondary to CCS 13.8 kV switchgear</t>
        </is>
      </c>
      <c r="E1180" s="12" t="n">
        <v>13800</v>
      </c>
      <c r="F1180" s="12" t="n">
        <v>60000</v>
      </c>
      <c r="G1180" s="12" t="n">
        <v>2510</v>
      </c>
      <c r="H1180" s="12" t="inlineStr">
        <is>
          <t>CCS T-2: 230/13.8 kV</t>
        </is>
      </c>
      <c r="I1180" s="12" t="inlineStr">
        <is>
          <t>MV 15 kV</t>
        </is>
      </c>
      <c r="J1180" s="12" t="inlineStr">
        <is>
          <t>1000 kcmil</t>
        </is>
      </c>
      <c r="K1180" s="12" t="n">
        <v>5</v>
      </c>
    </row>
    <row r="1181">
      <c r="A1181" s="12" t="inlineStr">
        <is>
          <t>CO2 compression 3 x ~19 MW + dehydration</t>
        </is>
      </c>
      <c r="B1181" s="12" t="inlineStr"/>
      <c r="C1181" s="12" t="inlineStr">
        <is>
          <t>G</t>
        </is>
      </c>
      <c r="D1181" s="12" t="inlineStr">
        <is>
          <t>CO2 compressor train 1</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CO2 compression 3 x ~19 MW + dehydration</t>
        </is>
      </c>
      <c r="B1182" s="12" t="inlineStr"/>
      <c r="C1182" s="12" t="inlineStr">
        <is>
          <t>G</t>
        </is>
      </c>
      <c r="D1182" s="12" t="inlineStr">
        <is>
          <t>CO2 compressor train 2</t>
        </is>
      </c>
      <c r="E1182" s="12" t="n">
        <v>13800</v>
      </c>
      <c r="F1182" s="12" t="n">
        <v>19000</v>
      </c>
      <c r="G1182" s="12" t="n">
        <v>883</v>
      </c>
      <c r="H1182" s="12" t="inlineStr">
        <is>
          <t>CCS MV switchgear building (VFDs)</t>
        </is>
      </c>
      <c r="I1182" s="12" t="inlineStr">
        <is>
          <t>MV 15 kV</t>
        </is>
      </c>
      <c r="J1182" s="12" t="inlineStr">
        <is>
          <t>750 kcmil</t>
        </is>
      </c>
      <c r="K1182" s="12" t="n">
        <v>2</v>
      </c>
    </row>
    <row r="1183">
      <c r="A1183" s="12" t="inlineStr">
        <is>
          <t>CO2 compression 3 x ~19 MW + dehydration</t>
        </is>
      </c>
      <c r="B1183" s="12" t="inlineStr"/>
      <c r="C1183" s="12" t="inlineStr">
        <is>
          <t>G</t>
        </is>
      </c>
      <c r="D1183" s="12" t="inlineStr">
        <is>
          <t>CO2 compressor train 3</t>
        </is>
      </c>
      <c r="E1183" s="12" t="n">
        <v>13800</v>
      </c>
      <c r="F1183" s="12" t="n">
        <v>19000</v>
      </c>
      <c r="G1183" s="12" t="n">
        <v>883</v>
      </c>
      <c r="H1183" s="12" t="inlineStr">
        <is>
          <t>CCS MV switchgear building (VFDs)</t>
        </is>
      </c>
      <c r="I1183" s="12" t="inlineStr">
        <is>
          <t>MV 15 kV</t>
        </is>
      </c>
      <c r="J1183" s="12" t="inlineStr">
        <is>
          <t>750 kcmil</t>
        </is>
      </c>
      <c r="K1183" s="12" t="n">
        <v>2</v>
      </c>
    </row>
    <row r="1184">
      <c r="A1184" s="12" t="inlineStr">
        <is>
          <t>CONDITIONAL: HP export compressor + metering</t>
        </is>
      </c>
      <c r="B1184" s="12" t="inlineStr"/>
      <c r="C1184" s="12" t="inlineStr">
        <is>
          <t>G</t>
        </is>
      </c>
      <c r="D1184" s="12" t="inlineStr">
        <is>
          <t>HP CO2 export compressor (conditional)</t>
        </is>
      </c>
      <c r="E1184" s="12" t="n">
        <v>13800</v>
      </c>
      <c r="F1184" s="12" t="n">
        <v>8000</v>
      </c>
      <c r="G1184" s="12" t="n">
        <v>372</v>
      </c>
      <c r="H1184" s="12" t="inlineStr">
        <is>
          <t>CCS MV switchgear building (VFDs)</t>
        </is>
      </c>
      <c r="I1184" s="12" t="inlineStr">
        <is>
          <t>MV 15 kV</t>
        </is>
      </c>
      <c r="J1184" s="12" t="inlineStr">
        <is>
          <t>750 kcmil</t>
        </is>
      </c>
      <c r="K1184" s="12" t="n">
        <v>1</v>
      </c>
    </row>
    <row r="1185">
      <c r="A1185" s="12" t="inlineStr">
        <is>
          <t>CT MCC / VFD e-house</t>
        </is>
      </c>
      <c r="B1185" s="12" t="inlineStr"/>
      <c r="C1185" s="12" t="inlineStr">
        <is>
          <t>G</t>
        </is>
      </c>
      <c r="D1185" s="12" t="inlineStr">
        <is>
          <t>CT MCC / VFD e-house transformer</t>
        </is>
      </c>
      <c r="E1185" s="12" t="n">
        <v>13800</v>
      </c>
      <c r="F1185" s="12" t="n">
        <v>3000</v>
      </c>
      <c r="G1185" s="12" t="n">
        <v>126</v>
      </c>
      <c r="H1185" s="12" t="inlineStr">
        <is>
          <t>CCS MV switchgear building (VFDs)</t>
        </is>
      </c>
      <c r="I1185" s="12" t="inlineStr">
        <is>
          <t>MV 15 kV</t>
        </is>
      </c>
      <c r="J1185" s="12" t="inlineStr">
        <is>
          <t>1/0</t>
        </is>
      </c>
      <c r="K1185" s="12" t="n">
        <v>1</v>
      </c>
    </row>
    <row r="1186">
      <c r="A1186" s="12" t="inlineStr">
        <is>
          <t>CT MCC / VFD e-house</t>
        </is>
      </c>
      <c r="B1186" s="12" t="inlineStr"/>
      <c r="C1186" s="12" t="inlineStr">
        <is>
          <t>G</t>
        </is>
      </c>
      <c r="D1186" s="12" t="inlineStr">
        <is>
          <t>CT MCC / VFD e-house transformer</t>
        </is>
      </c>
      <c r="E1186" s="12" t="n">
        <v>13800</v>
      </c>
      <c r="F1186" s="12" t="n">
        <v>3000</v>
      </c>
      <c r="G1186" s="12" t="n">
        <v>126</v>
      </c>
      <c r="H1186" s="12" t="inlineStr">
        <is>
          <t>CCS MV switchgear building (VFDs)</t>
        </is>
      </c>
      <c r="I1186" s="12" t="inlineStr">
        <is>
          <t>MV 15 kV</t>
        </is>
      </c>
      <c r="J1186" s="12" t="inlineStr">
        <is>
          <t>1/0</t>
        </is>
      </c>
      <c r="K1186" s="12" t="n">
        <v>1</v>
      </c>
    </row>
    <row r="1187">
      <c r="A1187" s="12" t="inlineStr">
        <is>
          <t>CCS circulating-water pumps</t>
        </is>
      </c>
      <c r="B1187" s="12" t="inlineStr"/>
      <c r="C1187" s="12" t="inlineStr">
        <is>
          <t>G</t>
        </is>
      </c>
      <c r="D1187" s="12" t="inlineStr">
        <is>
          <t>CCS circulating-water pump 1</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2</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CCS circulating-water pumps</t>
        </is>
      </c>
      <c r="B1189" s="12" t="inlineStr"/>
      <c r="C1189" s="12" t="inlineStr">
        <is>
          <t>G</t>
        </is>
      </c>
      <c r="D1189" s="12" t="inlineStr">
        <is>
          <t>CCS circulating-water pump 3</t>
        </is>
      </c>
      <c r="E1189" s="12" t="n">
        <v>4160</v>
      </c>
      <c r="F1189" s="12" t="n">
        <v>1200</v>
      </c>
      <c r="G1189" s="12" t="n">
        <v>185</v>
      </c>
      <c r="H1189" s="12" t="inlineStr">
        <is>
          <t>CCS MV switchgear building (VFDs)</t>
        </is>
      </c>
      <c r="I1189" s="12" t="inlineStr">
        <is>
          <t>MV 5 kV</t>
        </is>
      </c>
      <c r="J1189" s="12" t="inlineStr">
        <is>
          <t>4/0</t>
        </is>
      </c>
      <c r="K1189" s="12" t="n">
        <v>1</v>
      </c>
    </row>
    <row r="1190">
      <c r="A1190" s="12" t="inlineStr">
        <is>
          <t>CCS circulating-water pumps</t>
        </is>
      </c>
      <c r="B1190" s="12" t="inlineStr"/>
      <c r="C1190" s="12" t="inlineStr">
        <is>
          <t>G</t>
        </is>
      </c>
      <c r="D1190" s="12" t="inlineStr">
        <is>
          <t>CCS circulating-water pump 4</t>
        </is>
      </c>
      <c r="E1190" s="12" t="n">
        <v>4160</v>
      </c>
      <c r="F1190" s="12" t="n">
        <v>1200</v>
      </c>
      <c r="G1190" s="12" t="n">
        <v>185</v>
      </c>
      <c r="H1190" s="12" t="inlineStr">
        <is>
          <t>CCS MV switchgear building (VFDs)</t>
        </is>
      </c>
      <c r="I1190" s="12" t="inlineStr">
        <is>
          <t>MV 5 kV</t>
        </is>
      </c>
      <c r="J1190" s="12" t="inlineStr">
        <is>
          <t>4/0</t>
        </is>
      </c>
      <c r="K1190" s="12" t="n">
        <v>1</v>
      </c>
    </row>
    <row r="1191">
      <c r="A1191" s="12" t="inlineStr">
        <is>
          <t>Rich/lean pumps, cross exchanger, lean cooler A</t>
        </is>
      </c>
      <c r="B1191" s="12" t="inlineStr"/>
      <c r="C1191" s="12" t="inlineStr">
        <is>
          <t>G</t>
        </is>
      </c>
      <c r="D1191" s="12" t="inlineStr">
        <is>
          <t>Rich / lean amine pumps (A)</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A</t>
        </is>
      </c>
      <c r="B1192" s="12" t="inlineStr"/>
      <c r="C1192" s="12" t="inlineStr">
        <is>
          <t>G</t>
        </is>
      </c>
      <c r="D1192" s="12" t="inlineStr">
        <is>
          <t>Rich / lean amine pumps (A)</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B</t>
        </is>
      </c>
      <c r="B1193" s="12" t="inlineStr"/>
      <c r="C1193" s="12" t="inlineStr">
        <is>
          <t>G</t>
        </is>
      </c>
      <c r="D1193" s="12" t="inlineStr">
        <is>
          <t>Rich / lean amine pumps (B)</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B</t>
        </is>
      </c>
      <c r="B1194" s="12" t="inlineStr"/>
      <c r="C1194" s="12" t="inlineStr">
        <is>
          <t>G</t>
        </is>
      </c>
      <c r="D1194" s="12" t="inlineStr">
        <is>
          <t>Rich / lean amine pumps (B)</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Rich/lean pumps, cross exchanger, lean cooler C</t>
        </is>
      </c>
      <c r="B1195" s="12" t="inlineStr"/>
      <c r="C1195" s="12" t="inlineStr">
        <is>
          <t>G</t>
        </is>
      </c>
      <c r="D1195" s="12" t="inlineStr">
        <is>
          <t>Rich / lean amine pumps (C)</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C</t>
        </is>
      </c>
      <c r="B1196" s="12" t="inlineStr"/>
      <c r="C1196" s="12" t="inlineStr">
        <is>
          <t>G</t>
        </is>
      </c>
      <c r="D1196" s="12" t="inlineStr">
        <is>
          <t>Rich / lean amine pumps (C)</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34.5 kV collector e-house (arc-resistant)</t>
        </is>
      </c>
      <c r="B1227" s="12" t="inlineStr"/>
      <c r="C1227" s="12" t="inlineStr">
        <is>
          <t>H</t>
        </is>
      </c>
      <c r="D1227" s="12" t="inlineStr">
        <is>
          <t>LV panel / distribution feeder</t>
        </is>
      </c>
      <c r="E1227" s="12" t="n">
        <v>480</v>
      </c>
      <c r="F1227" s="12" t="n">
        <v>30</v>
      </c>
      <c r="G1227" s="12" t="n">
        <v>42.5</v>
      </c>
      <c r="H1227" s="12" t="inlineStr">
        <is>
          <t>BESS auxiliary transformer</t>
        </is>
      </c>
      <c r="I1227" s="12" t="inlineStr">
        <is>
          <t>LV 600 V</t>
        </is>
      </c>
      <c r="J1227" s="12" t="inlineStr">
        <is>
          <t>6</t>
        </is>
      </c>
      <c r="K1227" s="12" t="n">
        <v>1</v>
      </c>
    </row>
    <row r="1228">
      <c r="A1228" s="12" t="inlineStr">
        <is>
          <t>BESS EMS / SCADA and revenue metering</t>
        </is>
      </c>
      <c r="B1228" s="12" t="inlineStr"/>
      <c r="C1228" s="12" t="inlineStr">
        <is>
          <t>H</t>
        </is>
      </c>
      <c r="D1228" s="12" t="inlineStr">
        <is>
          <t>LV panel / distribution feeder</t>
        </is>
      </c>
      <c r="E1228" s="12" t="n">
        <v>480</v>
      </c>
      <c r="F1228" s="12" t="n">
        <v>30</v>
      </c>
      <c r="G1228" s="12" t="n">
        <v>42.5</v>
      </c>
      <c r="H1228" s="12" t="inlineStr">
        <is>
          <t>BESS auxiliary transformer</t>
        </is>
      </c>
      <c r="I1228" s="12" t="inlineStr">
        <is>
          <t>LV 600 V</t>
        </is>
      </c>
      <c r="J1228" s="12" t="inlineStr">
        <is>
          <t>6</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8</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8</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10</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10</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8</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8</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10</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10</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main power transformer 34.5/230 kV (to D4 upper)</t>
        </is>
      </c>
      <c r="B1289" s="12" t="inlineStr">
        <is>
          <t>BESS MPT</t>
        </is>
      </c>
      <c r="C1289" s="12" t="inlineStr">
        <is>
          <t>H</t>
        </is>
      </c>
      <c r="D1289" s="12" t="inlineStr">
        <is>
          <t>Motor 1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2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3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4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main power transformer 34.5/230 kV (to D4 upper)</t>
        </is>
      </c>
      <c r="B1293" s="12" t="inlineStr">
        <is>
          <t>BESS MPT</t>
        </is>
      </c>
      <c r="C1293" s="12" t="inlineStr">
        <is>
          <t>H</t>
        </is>
      </c>
      <c r="D1293" s="12" t="inlineStr">
        <is>
          <t>Motor 5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6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yard: surfacing, fence, gate, signage, lighting</t>
        </is>
      </c>
      <c r="B1295" s="12" t="inlineStr"/>
      <c r="C1295" s="12" t="inlineStr">
        <is>
          <t>H</t>
        </is>
      </c>
      <c r="D1295" s="12" t="inlineStr">
        <is>
          <t>Yard lighting circuit 1 (10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BESS yard: surfacing, fence, gate, signage, lighting</t>
        </is>
      </c>
      <c r="B1296" s="12" t="inlineStr"/>
      <c r="C1296" s="12" t="inlineStr">
        <is>
          <t>H</t>
        </is>
      </c>
      <c r="D1296" s="12" t="inlineStr">
        <is>
          <t>Yard lighting circuit 2 (10 floodlights)</t>
        </is>
      </c>
      <c r="E1296" s="12" t="n">
        <v>480</v>
      </c>
      <c r="F1296" s="12" t="n">
        <v>4</v>
      </c>
      <c r="G1296" s="12" t="n">
        <v>6</v>
      </c>
      <c r="H1296" s="12" t="inlineStr">
        <is>
          <t>BESS auxiliary transformer</t>
        </is>
      </c>
      <c r="I1296" s="12" t="inlineStr">
        <is>
          <t>LV 600 V</t>
        </is>
      </c>
      <c r="J1296" s="12" t="inlineStr">
        <is>
          <t>8</t>
        </is>
      </c>
      <c r="K1296" s="12" t="n">
        <v>1</v>
      </c>
    </row>
    <row r="1297">
      <c r="A1297" s="12" t="inlineStr">
        <is>
          <t>BESS yard: surfacing, fence, gate, signage, lighting</t>
        </is>
      </c>
      <c r="B1297" s="12" t="inlineStr"/>
      <c r="C1297" s="12" t="inlineStr">
        <is>
          <t>H</t>
        </is>
      </c>
      <c r="D1297" s="12" t="inlineStr">
        <is>
          <t>Yard lighting circuit 3 (4 floodlights)</t>
        </is>
      </c>
      <c r="E1297" s="12" t="n">
        <v>480</v>
      </c>
      <c r="F1297" s="12" t="n">
        <v>4</v>
      </c>
      <c r="G1297" s="12" t="n">
        <v>6</v>
      </c>
      <c r="H1297" s="12" t="inlineStr">
        <is>
          <t>BESS auxiliary transformer</t>
        </is>
      </c>
      <c r="I1297" s="12" t="inlineStr">
        <is>
          <t>LV 600 V</t>
        </is>
      </c>
      <c r="J1297" s="12" t="inlineStr">
        <is>
          <t>8</t>
        </is>
      </c>
      <c r="K1297" s="12" t="n">
        <v>1</v>
      </c>
    </row>
    <row r="1298">
      <c r="A1298" s="12" t="inlineStr">
        <is>
          <t>34.5 kV collector e-house (arc-resistant)</t>
        </is>
      </c>
      <c r="B1298" s="12" t="inlineStr"/>
      <c r="C1298" s="12" t="inlineStr">
        <is>
          <t>H</t>
        </is>
      </c>
      <c r="D1298" s="12" t="inlineStr">
        <is>
          <t>34.5 kV collection loop 1</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34.5 kV collector e-house (arc-resistant)</t>
        </is>
      </c>
      <c r="B1299" s="12" t="inlineStr"/>
      <c r="C1299" s="12" t="inlineStr">
        <is>
          <t>H</t>
        </is>
      </c>
      <c r="D1299" s="12" t="inlineStr">
        <is>
          <t>34.5 kV collection loop 2</t>
        </is>
      </c>
      <c r="E1299" s="12" t="n">
        <v>34500</v>
      </c>
      <c r="F1299" s="12" t="n">
        <v>25000</v>
      </c>
      <c r="G1299" s="12" t="n">
        <v>418</v>
      </c>
      <c r="H1299" s="12" t="inlineStr">
        <is>
          <t>BESS PCS / MV skid</t>
        </is>
      </c>
      <c r="I1299" s="12" t="inlineStr">
        <is>
          <t>MV 35 kV</t>
        </is>
      </c>
      <c r="J1299" s="12" t="inlineStr">
        <is>
          <t>350 kcmil</t>
        </is>
      </c>
      <c r="K1299" s="12" t="n">
        <v>2</v>
      </c>
    </row>
    <row r="1300">
      <c r="A1300" s="12" t="inlineStr">
        <is>
          <t>34.5 kV collector e-house (arc-resistant)</t>
        </is>
      </c>
      <c r="B1300" s="12" t="inlineStr"/>
      <c r="C1300" s="12" t="inlineStr">
        <is>
          <t>H</t>
        </is>
      </c>
      <c r="D1300" s="12" t="inlineStr">
        <is>
          <t>34.5 kV collection loop 3</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34.5 kV collector e-house (arc-resistant)</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1</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34.5 kV collector e-house (arc-resistant)</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2</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34.5 kV collector e-house (arc-resistant)</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3</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BESS PCS / MV skid</t>
        </is>
      </c>
      <c r="I1315" s="12" t="inlineStr">
        <is>
          <t>MV 35 kV</t>
        </is>
      </c>
      <c r="J1315" s="12" t="inlineStr">
        <is>
          <t>350 kcmil</t>
        </is>
      </c>
      <c r="K1315" s="12" t="n">
        <v>2</v>
      </c>
    </row>
    <row r="1316">
      <c r="A1316" s="12" t="inlineStr">
        <is>
          <t>BESS main power transformer 34.5/230 kV (to D4 upper)</t>
        </is>
      </c>
      <c r="B1316" s="12" t="inlineStr">
        <is>
          <t>BESS MPT</t>
        </is>
      </c>
      <c r="C1316" s="12" t="inlineStr">
        <is>
          <t>H</t>
        </is>
      </c>
      <c r="D1316" s="12" t="inlineStr">
        <is>
          <t>BESS MPT 34.5 kV side</t>
        </is>
      </c>
      <c r="E1316" s="12" t="n">
        <v>34500</v>
      </c>
      <c r="F1316" s="12" t="n">
        <v>100000</v>
      </c>
      <c r="G1316" s="12" t="n">
        <v>1674</v>
      </c>
      <c r="H1316" s="12" t="inlineStr">
        <is>
          <t>34.5 kV collector e-house (arc-resistant)</t>
        </is>
      </c>
      <c r="I1316" s="12" t="inlineStr">
        <is>
          <t>MV 35 kV</t>
        </is>
      </c>
      <c r="J1316" s="12" t="inlineStr">
        <is>
          <t>750 kcmil</t>
        </is>
      </c>
      <c r="K1316" s="12" t="n">
        <v>5</v>
      </c>
    </row>
    <row r="1317">
      <c r="A1317" s="12" t="inlineStr">
        <is>
          <t>CONDITIONAL: grounding transformer</t>
        </is>
      </c>
      <c r="B1317" s="12" t="inlineStr"/>
      <c r="C1317" s="12" t="inlineStr">
        <is>
          <t>H</t>
        </is>
      </c>
      <c r="D1317" s="12" t="inlineStr">
        <is>
          <t>Grounding transformer connection (34.5 kV)</t>
        </is>
      </c>
      <c r="E1317" s="12" t="n">
        <v>34500</v>
      </c>
      <c r="F1317" s="12" t="n">
        <v>2000</v>
      </c>
      <c r="G1317" s="12" t="n">
        <v>33</v>
      </c>
      <c r="H1317" s="12" t="inlineStr">
        <is>
          <t>34.5 kV collector e-house (arc-resistant)</t>
        </is>
      </c>
      <c r="I1317" s="12" t="inlineStr">
        <is>
          <t>MV 35 kV</t>
        </is>
      </c>
      <c r="J1317" s="12" t="inlineStr">
        <is>
          <t>2</t>
        </is>
      </c>
      <c r="K1317" s="12" t="n">
        <v>1</v>
      </c>
    </row>
    <row r="1318">
      <c r="A1318" s="12" t="inlineStr">
        <is>
          <t>Aqueous ammonia (SC units)</t>
        </is>
      </c>
      <c r="B1318" s="12" t="inlineStr"/>
      <c r="C1318" s="12" t="inlineStr">
        <is>
          <t>I</t>
        </is>
      </c>
      <c r="D1318" s="12" t="inlineStr">
        <is>
          <t>Motor 1 of 2, 3.7 kW</t>
        </is>
      </c>
      <c r="E1318" s="12" t="n">
        <v>480</v>
      </c>
      <c r="F1318" s="12" t="n">
        <v>3.7</v>
      </c>
      <c r="G1318" s="12" t="n">
        <v>5.2</v>
      </c>
      <c r="H1318" s="12" t="inlineStr">
        <is>
          <t>SC-2 PCM + 15 kV GCB</t>
        </is>
      </c>
      <c r="I1318" s="12" t="inlineStr">
        <is>
          <t>LV 600 V</t>
        </is>
      </c>
      <c r="J1318" s="12" t="inlineStr">
        <is>
          <t>10</t>
        </is>
      </c>
      <c r="K1318" s="12" t="n">
        <v>1</v>
      </c>
    </row>
    <row r="1319">
      <c r="A1319" s="12" t="inlineStr">
        <is>
          <t>Aqueous ammonia (SC units)</t>
        </is>
      </c>
      <c r="B1319" s="12" t="inlineStr"/>
      <c r="C1319" s="12" t="inlineStr">
        <is>
          <t>I</t>
        </is>
      </c>
      <c r="D1319" s="12" t="inlineStr">
        <is>
          <t>Motor 2 of 2, 3.7 kW</t>
        </is>
      </c>
      <c r="E1319" s="12" t="n">
        <v>480</v>
      </c>
      <c r="F1319" s="12" t="n">
        <v>3.7</v>
      </c>
      <c r="G1319" s="12" t="n">
        <v>5.2</v>
      </c>
      <c r="H1319" s="12" t="inlineStr">
        <is>
          <t>SC-2 PCM + 15 kV GCB</t>
        </is>
      </c>
      <c r="I1319" s="12" t="inlineStr">
        <is>
          <t>LV 600 V</t>
        </is>
      </c>
      <c r="J1319" s="12" t="inlineStr">
        <is>
          <t>10</t>
        </is>
      </c>
      <c r="K1319" s="12" t="n">
        <v>1</v>
      </c>
    </row>
    <row r="1320">
      <c r="A1320" s="12" t="inlineStr">
        <is>
          <t>BS black-start switchgear</t>
        </is>
      </c>
      <c r="B1320" s="12" t="inlineStr"/>
      <c r="C1320" s="12" t="inlineStr">
        <is>
          <t>I</t>
        </is>
      </c>
      <c r="D1320" s="12" t="inlineStr">
        <is>
          <t>Black-start genset output</t>
        </is>
      </c>
      <c r="E1320" s="12" t="n">
        <v>480</v>
      </c>
      <c r="F1320" s="12" t="n">
        <v>2000</v>
      </c>
      <c r="G1320" s="12" t="n">
        <v>2532.3</v>
      </c>
      <c r="H1320" s="12" t="inlineStr">
        <is>
          <t>Black-start genset (proposed; requires study)</t>
        </is>
      </c>
      <c r="I1320" s="12" t="inlineStr">
        <is>
          <t>LV 600 V</t>
        </is>
      </c>
      <c r="J1320" s="12" t="inlineStr">
        <is>
          <t>500 kcmil</t>
        </is>
      </c>
      <c r="K1320" s="12" t="n">
        <v>10</v>
      </c>
    </row>
    <row r="1321">
      <c r="A1321" s="12" t="inlineStr">
        <is>
          <t>BS black-start switchgear</t>
        </is>
      </c>
      <c r="B1321" s="12" t="inlineStr"/>
      <c r="C1321" s="12" t="inlineStr">
        <is>
          <t>I</t>
        </is>
      </c>
      <c r="D1321" s="12" t="inlineStr">
        <is>
          <t>Black-start genset output</t>
        </is>
      </c>
      <c r="E1321" s="12" t="n">
        <v>480</v>
      </c>
      <c r="F1321" s="12" t="n">
        <v>2000</v>
      </c>
      <c r="G1321" s="12" t="n">
        <v>2532.3</v>
      </c>
      <c r="H1321" s="12" t="inlineStr">
        <is>
          <t>Black-start genset (proposed; requires study)</t>
        </is>
      </c>
      <c r="I1321" s="12" t="inlineStr">
        <is>
          <t>LV 600 V</t>
        </is>
      </c>
      <c r="J1321" s="12" t="inlineStr">
        <is>
          <t>500 kcmil</t>
        </is>
      </c>
      <c r="K1321" s="12" t="n">
        <v>10</v>
      </c>
    </row>
    <row r="1322">
      <c r="A1322" s="12" t="inlineStr">
        <is>
          <t>BS black-start switchgear</t>
        </is>
      </c>
      <c r="B1322" s="12" t="inlineStr"/>
      <c r="C1322" s="12" t="inlineStr">
        <is>
          <t>I</t>
        </is>
      </c>
      <c r="D1322" s="12" t="inlineStr">
        <is>
          <t>LV power feeder</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CONDITIONAL: BESS black-start alternative</t>
        </is>
      </c>
      <c r="B1323" s="12" t="inlineStr"/>
      <c r="C1323" s="12" t="inlineStr">
        <is>
          <t>I</t>
        </is>
      </c>
      <c r="D1323" s="12" t="inlineStr">
        <is>
          <t>LV power feeder</t>
        </is>
      </c>
      <c r="E1323" s="12" t="n">
        <v>480</v>
      </c>
      <c r="F1323" s="12" t="n">
        <v>15</v>
      </c>
      <c r="G1323" s="12" t="n">
        <v>21.2</v>
      </c>
      <c r="H1323" s="12" t="inlineStr">
        <is>
          <t>PCM: power control module</t>
        </is>
      </c>
      <c r="I1323" s="12" t="inlineStr">
        <is>
          <t>LV 600 V</t>
        </is>
      </c>
      <c r="J1323" s="12" t="inlineStr">
        <is>
          <t>6</t>
        </is>
      </c>
      <c r="K1323" s="12" t="n">
        <v>1</v>
      </c>
    </row>
    <row r="1324">
      <c r="A1324" s="12" t="inlineStr">
        <is>
          <t>CONDITIONAL: SC-1 inlet chiller / evaporative cooler</t>
        </is>
      </c>
      <c r="B1324" s="12" t="inlineStr"/>
      <c r="C1324" s="12" t="inlineStr">
        <is>
          <t>I</t>
        </is>
      </c>
      <c r="D1324" s="12" t="inlineStr">
        <is>
          <t>LV power feeder</t>
        </is>
      </c>
      <c r="E1324" s="12" t="n">
        <v>480</v>
      </c>
      <c r="F1324" s="12" t="n">
        <v>500</v>
      </c>
      <c r="G1324" s="12" t="n">
        <v>707.6</v>
      </c>
      <c r="H1324" s="12" t="inlineStr">
        <is>
          <t>SC-1 PCM + 15 kV GCB</t>
        </is>
      </c>
      <c r="I1324" s="12" t="inlineStr">
        <is>
          <t>LV 600 V</t>
        </is>
      </c>
      <c r="J1324" s="12" t="inlineStr">
        <is>
          <t>350 kcmil</t>
        </is>
      </c>
      <c r="K1324" s="12" t="n">
        <v>3</v>
      </c>
    </row>
    <row r="1325">
      <c r="A1325" s="12" t="inlineStr">
        <is>
          <t>CONDITIONAL: SC-2 inlet chiller / evaporative cooler</t>
        </is>
      </c>
      <c r="B1325" s="12" t="inlineStr"/>
      <c r="C1325" s="12" t="inlineStr">
        <is>
          <t>I</t>
        </is>
      </c>
      <c r="D1325" s="12" t="inlineStr">
        <is>
          <t>LV power feeder</t>
        </is>
      </c>
      <c r="E1325" s="12" t="n">
        <v>480</v>
      </c>
      <c r="F1325" s="12" t="n">
        <v>500</v>
      </c>
      <c r="G1325" s="12" t="n">
        <v>707.6</v>
      </c>
      <c r="H1325" s="12" t="inlineStr">
        <is>
          <t>SC-2 PCM + 15 kV GCB</t>
        </is>
      </c>
      <c r="I1325" s="12" t="inlineStr">
        <is>
          <t>LV 600 V</t>
        </is>
      </c>
      <c r="J1325" s="12" t="inlineStr">
        <is>
          <t>350 kcmil</t>
        </is>
      </c>
      <c r="K1325" s="12" t="n">
        <v>3</v>
      </c>
    </row>
    <row r="1326">
      <c r="A1326" s="12" t="inlineStr">
        <is>
          <t>FC-5..12 inverter / AC cabinet / desulfurizer</t>
        </is>
      </c>
      <c r="B1326" s="12" t="inlineStr"/>
      <c r="C1326" s="12" t="inlineStr">
        <is>
          <t>I</t>
        </is>
      </c>
      <c r="D1326" s="12" t="inlineStr">
        <is>
          <t>FC-5 SOFC output to inverter / AC cabinet</t>
        </is>
      </c>
      <c r="E1326" s="12" t="n">
        <v>480</v>
      </c>
      <c r="F1326" s="12" t="n">
        <v>250</v>
      </c>
      <c r="G1326" s="12" t="n">
        <v>316.5</v>
      </c>
      <c r="H1326" s="12" t="inlineStr">
        <is>
          <t>FC-5: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FC-6 SOFC output to inverter / AC cabinet</t>
        </is>
      </c>
      <c r="E1327" s="12" t="n">
        <v>480</v>
      </c>
      <c r="F1327" s="12" t="n">
        <v>250</v>
      </c>
      <c r="G1327" s="12" t="n">
        <v>316.5</v>
      </c>
      <c r="H1327" s="12" t="inlineStr">
        <is>
          <t>FC-6: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FC-7 SOFC output to inverter / AC cabinet</t>
        </is>
      </c>
      <c r="E1328" s="12" t="n">
        <v>480</v>
      </c>
      <c r="F1328" s="12" t="n">
        <v>250</v>
      </c>
      <c r="G1328" s="12" t="n">
        <v>316.5</v>
      </c>
      <c r="H1328" s="12" t="inlineStr">
        <is>
          <t>FC-7: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FC-8 SOFC output to inverter / AC cabinet</t>
        </is>
      </c>
      <c r="E1329" s="12" t="n">
        <v>480</v>
      </c>
      <c r="F1329" s="12" t="n">
        <v>250</v>
      </c>
      <c r="G1329" s="12" t="n">
        <v>316.5</v>
      </c>
      <c r="H1329" s="12" t="inlineStr">
        <is>
          <t>FC-8: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FC-9 SOFC output to inverter / AC cabinet</t>
        </is>
      </c>
      <c r="E1330" s="12" t="n">
        <v>480</v>
      </c>
      <c r="F1330" s="12" t="n">
        <v>250</v>
      </c>
      <c r="G1330" s="12" t="n">
        <v>316.5</v>
      </c>
      <c r="H1330" s="12" t="inlineStr">
        <is>
          <t>FC-9: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FC-10 SOFC output to inverter / AC cabinet</t>
        </is>
      </c>
      <c r="E1331" s="12" t="n">
        <v>480</v>
      </c>
      <c r="F1331" s="12" t="n">
        <v>250</v>
      </c>
      <c r="G1331" s="12" t="n">
        <v>316.5</v>
      </c>
      <c r="H1331" s="12" t="inlineStr">
        <is>
          <t>FC-10: SOFC module (Bloom ES5 class, 200-300 kW)</t>
        </is>
      </c>
      <c r="I1331" s="12" t="inlineStr">
        <is>
          <t>LV 600 V</t>
        </is>
      </c>
      <c r="J1331" s="12" t="inlineStr">
        <is>
          <t>3/0</t>
        </is>
      </c>
      <c r="K1331" s="12" t="n">
        <v>2</v>
      </c>
    </row>
    <row r="1332">
      <c r="A1332" s="12" t="inlineStr">
        <is>
          <t>FC-5..12 inverter / AC cabinet / desulfurizer</t>
        </is>
      </c>
      <c r="B1332" s="12" t="inlineStr"/>
      <c r="C1332" s="12" t="inlineStr">
        <is>
          <t>I</t>
        </is>
      </c>
      <c r="D1332" s="12" t="inlineStr">
        <is>
          <t>FC-11 SOFC output to inverter / AC cabinet</t>
        </is>
      </c>
      <c r="E1332" s="12" t="n">
        <v>480</v>
      </c>
      <c r="F1332" s="12" t="n">
        <v>250</v>
      </c>
      <c r="G1332" s="12" t="n">
        <v>316.5</v>
      </c>
      <c r="H1332" s="12" t="inlineStr">
        <is>
          <t>FC-11: SOFC module (Bloom ES5 class, 200-300 kW)</t>
        </is>
      </c>
      <c r="I1332" s="12" t="inlineStr">
        <is>
          <t>LV 600 V</t>
        </is>
      </c>
      <c r="J1332" s="12" t="inlineStr">
        <is>
          <t>3/0</t>
        </is>
      </c>
      <c r="K1332" s="12" t="n">
        <v>2</v>
      </c>
    </row>
    <row r="1333">
      <c r="A1333" s="12" t="inlineStr">
        <is>
          <t>FC-5..12 inverter / AC cabinet / desulfurizer</t>
        </is>
      </c>
      <c r="B1333" s="12" t="inlineStr"/>
      <c r="C1333" s="12" t="inlineStr">
        <is>
          <t>I</t>
        </is>
      </c>
      <c r="D1333" s="12" t="inlineStr">
        <is>
          <t>FC-12 SOFC output to inverter / AC cabinet</t>
        </is>
      </c>
      <c r="E1333" s="12" t="n">
        <v>480</v>
      </c>
      <c r="F1333" s="12" t="n">
        <v>250</v>
      </c>
      <c r="G1333" s="12" t="n">
        <v>316.5</v>
      </c>
      <c r="H1333" s="12" t="inlineStr">
        <is>
          <t>FC-12: SOFC module (Bloom ES5 class, 200-300 kW)</t>
        </is>
      </c>
      <c r="I1333" s="12" t="inlineStr">
        <is>
          <t>LV 600 V</t>
        </is>
      </c>
      <c r="J1333" s="12" t="inlineStr">
        <is>
          <t>3/0</t>
        </is>
      </c>
      <c r="K1333" s="12" t="n">
        <v>2</v>
      </c>
    </row>
    <row r="1334">
      <c r="A1334" s="12" t="inlineStr">
        <is>
          <t>Fuel-gas compressors 3 x 100% electric</t>
        </is>
      </c>
      <c r="B1334" s="12" t="inlineStr"/>
      <c r="C1334" s="12" t="inlineStr">
        <is>
          <t>I</t>
        </is>
      </c>
      <c r="D1334" s="12" t="inlineStr">
        <is>
          <t>Motor 1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2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3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4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Fuel-gas compressors 3 x 100% electric</t>
        </is>
      </c>
      <c r="B1338" s="12" t="inlineStr"/>
      <c r="C1338" s="12" t="inlineStr">
        <is>
          <t>I</t>
        </is>
      </c>
      <c r="D1338" s="12" t="inlineStr">
        <is>
          <t>Motor 5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6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Gas conditioning skid</t>
        </is>
      </c>
      <c r="B1340" s="12" t="inlineStr"/>
      <c r="C1340" s="12" t="inlineStr">
        <is>
          <t>I</t>
        </is>
      </c>
      <c r="D1340" s="12" t="inlineStr">
        <is>
          <t>LV power feeder</t>
        </is>
      </c>
      <c r="E1340" s="12" t="n">
        <v>480</v>
      </c>
      <c r="F1340" s="12" t="n">
        <v>30</v>
      </c>
      <c r="G1340" s="12" t="n">
        <v>42.5</v>
      </c>
      <c r="H1340" s="12" t="inlineStr">
        <is>
          <t>PCM: power control module</t>
        </is>
      </c>
      <c r="I1340" s="12" t="inlineStr">
        <is>
          <t>LV 600 V</t>
        </is>
      </c>
      <c r="J1340" s="12" t="inlineStr">
        <is>
          <t>6</t>
        </is>
      </c>
      <c r="K1340" s="12" t="n">
        <v>1</v>
      </c>
    </row>
    <row r="1341">
      <c r="A1341" s="12" t="inlineStr">
        <is>
          <t>Lube oil / starting air / oily water building</t>
        </is>
      </c>
      <c r="B1341" s="12" t="inlineStr"/>
      <c r="C1341" s="12" t="inlineStr">
        <is>
          <t>I</t>
        </is>
      </c>
      <c r="D1341" s="12" t="inlineStr">
        <is>
          <t>LV panel / distribution feeder</t>
        </is>
      </c>
      <c r="E1341" s="12" t="n">
        <v>480</v>
      </c>
      <c r="F1341" s="12" t="n">
        <v>79</v>
      </c>
      <c r="G1341" s="12" t="n">
        <v>111.8</v>
      </c>
      <c r="H1341" s="12" t="inlineStr">
        <is>
          <t>PCM: power control module</t>
        </is>
      </c>
      <c r="I1341" s="12" t="inlineStr">
        <is>
          <t>LV 600 V</t>
        </is>
      </c>
      <c r="J1341" s="12" t="inlineStr">
        <is>
          <t>1/0</t>
        </is>
      </c>
      <c r="K1341" s="12" t="n">
        <v>1</v>
      </c>
    </row>
    <row r="1342">
      <c r="A1342" s="12" t="inlineStr">
        <is>
          <t>MOD-EH: 13.8 kV modular collector e-house</t>
        </is>
      </c>
      <c r="B1342" s="12" t="inlineStr">
        <is>
          <t>MOD-EH</t>
        </is>
      </c>
      <c r="C1342" s="12" t="inlineStr">
        <is>
          <t>I</t>
        </is>
      </c>
      <c r="D1342" s="12" t="inlineStr">
        <is>
          <t>LV panel / distribution feeder</t>
        </is>
      </c>
      <c r="E1342" s="12" t="n">
        <v>480</v>
      </c>
      <c r="F1342" s="12" t="n">
        <v>30</v>
      </c>
      <c r="G1342" s="12" t="n">
        <v>42.5</v>
      </c>
      <c r="H1342" s="12" t="inlineStr">
        <is>
          <t>MOD-LV 480 V board + 480 V : 13.8 kV step-up</t>
        </is>
      </c>
      <c r="I1342" s="12" t="inlineStr">
        <is>
          <t>LV 600 V</t>
        </is>
      </c>
      <c r="J1342" s="12" t="inlineStr">
        <is>
          <t>4</t>
        </is>
      </c>
      <c r="K1342" s="12" t="n">
        <v>1</v>
      </c>
    </row>
    <row r="1343">
      <c r="A1343" s="12" t="inlineStr">
        <is>
          <t>MOD-LV 480 V board + 480 V : 13.8 kV step-up</t>
        </is>
      </c>
      <c r="B1343" s="12" t="inlineStr"/>
      <c r="C1343" s="12" t="inlineStr">
        <is>
          <t>I</t>
        </is>
      </c>
      <c r="D1343" s="12" t="inlineStr">
        <is>
          <t>Fuel-cell AC cabinet to MOD-LV</t>
        </is>
      </c>
      <c r="E1343" s="12" t="n">
        <v>480</v>
      </c>
      <c r="F1343" s="12" t="n">
        <v>2000</v>
      </c>
      <c r="G1343" s="12" t="n">
        <v>2532.3</v>
      </c>
      <c r="H1343" s="12" t="inlineStr">
        <is>
          <t>FC-5..12 inverter / AC cabinet / desulfurizer</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MT-4 microturbine output</t>
        </is>
      </c>
      <c r="E1344" s="12" t="n">
        <v>480</v>
      </c>
      <c r="F1344" s="12" t="n">
        <v>1000</v>
      </c>
      <c r="G1344" s="12" t="n">
        <v>1266.2</v>
      </c>
      <c r="H1344" s="12" t="inlineStr">
        <is>
          <t>MT-4: microturbine 1 MW (Capstone C1000 class)</t>
        </is>
      </c>
      <c r="I1344" s="12" t="inlineStr">
        <is>
          <t>LV 600 V</t>
        </is>
      </c>
      <c r="J1344" s="12" t="inlineStr">
        <is>
          <t>500 kcmil</t>
        </is>
      </c>
      <c r="K1344" s="12" t="n">
        <v>12</v>
      </c>
    </row>
    <row r="1345">
      <c r="A1345" s="12" t="inlineStr">
        <is>
          <t>MOD-LV 480 V board + 480 V : 13.8 kV step-up</t>
        </is>
      </c>
      <c r="B1345" s="12" t="inlineStr"/>
      <c r="C1345" s="12" t="inlineStr">
        <is>
          <t>I</t>
        </is>
      </c>
      <c r="D1345" s="12" t="inlineStr">
        <is>
          <t>MT-5 microturbine output</t>
        </is>
      </c>
      <c r="E1345" s="12" t="n">
        <v>480</v>
      </c>
      <c r="F1345" s="12" t="n">
        <v>1000</v>
      </c>
      <c r="G1345" s="12" t="n">
        <v>1266.2</v>
      </c>
      <c r="H1345" s="12" t="inlineStr">
        <is>
          <t>MT-5: microturbine 1 MW (Capstone C1000 class)</t>
        </is>
      </c>
      <c r="I1345" s="12" t="inlineStr">
        <is>
          <t>LV 600 V</t>
        </is>
      </c>
      <c r="J1345" s="12" t="inlineStr">
        <is>
          <t>500 kcmil</t>
        </is>
      </c>
      <c r="K1345" s="12" t="n">
        <v>12</v>
      </c>
    </row>
    <row r="1346">
      <c r="A1346" s="12" t="inlineStr">
        <is>
          <t>MOD-LV 480 V board + 480 V : 13.8 kV step-up</t>
        </is>
      </c>
      <c r="B1346" s="12" t="inlineStr"/>
      <c r="C1346" s="12" t="inlineStr">
        <is>
          <t>I</t>
        </is>
      </c>
      <c r="D1346" s="12" t="inlineStr">
        <is>
          <t>MT-6 microturbine output</t>
        </is>
      </c>
      <c r="E1346" s="12" t="n">
        <v>480</v>
      </c>
      <c r="F1346" s="12" t="n">
        <v>1000</v>
      </c>
      <c r="G1346" s="12" t="n">
        <v>1266.2</v>
      </c>
      <c r="H1346" s="12" t="inlineStr">
        <is>
          <t>MT-6: microturbine 1 MW (Capstone C1000 class)</t>
        </is>
      </c>
      <c r="I1346" s="12" t="inlineStr">
        <is>
          <t>LV 600 V</t>
        </is>
      </c>
      <c r="J1346" s="12" t="inlineStr">
        <is>
          <t>500 kcmil</t>
        </is>
      </c>
      <c r="K1346" s="12" t="n">
        <v>12</v>
      </c>
    </row>
    <row r="1347">
      <c r="A1347" s="12" t="inlineStr">
        <is>
          <t>PAD-TX 480 V : 13.8 kV</t>
        </is>
      </c>
      <c r="B1347" s="12" t="inlineStr">
        <is>
          <t>PAD-TX</t>
        </is>
      </c>
      <c r="C1347" s="12" t="inlineStr">
        <is>
          <t>I</t>
        </is>
      </c>
      <c r="D1347" s="12" t="inlineStr">
        <is>
          <t>PAD-LV to PAD-TX</t>
        </is>
      </c>
      <c r="E1347" s="12" t="n">
        <v>480</v>
      </c>
      <c r="F1347" s="12" t="n">
        <v>3000</v>
      </c>
      <c r="G1347" s="12" t="n">
        <v>3600</v>
      </c>
      <c r="H1347" s="12" t="inlineStr">
        <is>
          <t>PAD-LV 480 V paralleling switchboard</t>
        </is>
      </c>
      <c r="I1347" s="12" t="inlineStr">
        <is>
          <t>LV 600 V</t>
        </is>
      </c>
      <c r="J1347" s="12" t="inlineStr">
        <is>
          <t>500 kcmil</t>
        </is>
      </c>
      <c r="K1347" s="12" t="n">
        <v>12</v>
      </c>
    </row>
    <row r="1348">
      <c r="A1348" s="12" t="inlineStr">
        <is>
          <t>PCM: power control module</t>
        </is>
      </c>
      <c r="B1348" s="12" t="inlineStr"/>
      <c r="C1348" s="12" t="inlineStr">
        <is>
          <t>I</t>
        </is>
      </c>
      <c r="D1348" s="12" t="inlineStr">
        <is>
          <t>LV panel / distribution feeder</t>
        </is>
      </c>
      <c r="E1348" s="12" t="n">
        <v>480</v>
      </c>
      <c r="F1348" s="12" t="n">
        <v>38</v>
      </c>
      <c r="G1348" s="12" t="n">
        <v>53.8</v>
      </c>
      <c r="H1348" s="12" t="inlineStr">
        <is>
          <t>PCM: power control module</t>
        </is>
      </c>
      <c r="I1348" s="12" t="inlineStr">
        <is>
          <t>LV 600 V</t>
        </is>
      </c>
      <c r="J1348" s="12" t="inlineStr">
        <is>
          <t>4</t>
        </is>
      </c>
      <c r="K1348" s="12" t="n">
        <v>1</v>
      </c>
    </row>
    <row r="1349">
      <c r="A1349" s="12" t="inlineStr">
        <is>
          <t>RICE 1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1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1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1</t>
        </is>
      </c>
      <c r="K1351" s="12" t="n">
        <v>1</v>
      </c>
    </row>
    <row r="1352">
      <c r="A1352" s="12" t="inlineStr">
        <is>
          <t>RICE 1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1</t>
        </is>
      </c>
      <c r="K1352" s="12" t="n">
        <v>1</v>
      </c>
    </row>
    <row r="1353">
      <c r="A1353" s="12" t="inlineStr">
        <is>
          <t>RICE 1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1</t>
        </is>
      </c>
      <c r="K1353" s="12" t="n">
        <v>1</v>
      </c>
    </row>
    <row r="1354">
      <c r="A1354" s="12" t="inlineStr">
        <is>
          <t>RICE 1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1</t>
        </is>
      </c>
      <c r="K1354" s="12" t="n">
        <v>1</v>
      </c>
    </row>
    <row r="1355">
      <c r="A1355" s="12" t="inlineStr">
        <is>
          <t>RICE 1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1</t>
        </is>
      </c>
      <c r="K1355" s="12" t="n">
        <v>1</v>
      </c>
    </row>
    <row r="1356">
      <c r="A1356" s="12" t="inlineStr">
        <is>
          <t>RICE 2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2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2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2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2</t>
        </is>
      </c>
      <c r="K1361" s="12" t="n">
        <v>1</v>
      </c>
    </row>
    <row r="1362">
      <c r="A1362" s="12" t="inlineStr">
        <is>
          <t>RICE 2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2</t>
        </is>
      </c>
      <c r="K1362" s="12" t="n">
        <v>1</v>
      </c>
    </row>
    <row r="1363">
      <c r="A1363" s="12" t="inlineStr">
        <is>
          <t>RICE 3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6</t>
        </is>
      </c>
      <c r="K1363" s="12" t="n">
        <v>1</v>
      </c>
    </row>
    <row r="1364">
      <c r="A1364" s="12" t="inlineStr">
        <is>
          <t>RICE 3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3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3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3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3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3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4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6</t>
        </is>
      </c>
      <c r="K1370" s="12" t="n">
        <v>1</v>
      </c>
    </row>
    <row r="1371">
      <c r="A1371" s="12" t="inlineStr">
        <is>
          <t>RICE 4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4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4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4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5 SCR + oxidation catalyst and stack</t>
        </is>
      </c>
      <c r="B1377" s="12" t="inlineStr"/>
      <c r="C1377" s="12" t="inlineStr">
        <is>
          <t>I</t>
        </is>
      </c>
      <c r="D1377" s="12" t="inlineStr">
        <is>
          <t>Motor 1 of 1, 15 kW</t>
        </is>
      </c>
      <c r="E1377" s="12" t="n">
        <v>480</v>
      </c>
      <c r="F1377" s="12" t="n">
        <v>15</v>
      </c>
      <c r="G1377" s="12" t="n">
        <v>21.2</v>
      </c>
      <c r="H1377" s="12" t="inlineStr">
        <is>
          <t>PCM: power control module</t>
        </is>
      </c>
      <c r="I1377" s="12" t="inlineStr">
        <is>
          <t>LV 600 V</t>
        </is>
      </c>
      <c r="J1377" s="12" t="inlineStr">
        <is>
          <t>6</t>
        </is>
      </c>
      <c r="K1377" s="12" t="n">
        <v>1</v>
      </c>
    </row>
    <row r="1378">
      <c r="A1378" s="12" t="inlineStr">
        <is>
          <t>RICE 5 SCR + oxidation catalyst and stack</t>
        </is>
      </c>
      <c r="B1378" s="12" t="inlineStr"/>
      <c r="C1378" s="12" t="inlineStr">
        <is>
          <t>I</t>
        </is>
      </c>
      <c r="D1378" s="12" t="inlineStr">
        <is>
          <t>Area / platform lighting circuit 1 (6 fixtures)</t>
        </is>
      </c>
      <c r="E1378" s="12" t="n">
        <v>480</v>
      </c>
      <c r="F1378" s="12" t="n">
        <v>3</v>
      </c>
      <c r="G1378" s="12" t="n">
        <v>5</v>
      </c>
      <c r="H1378" s="12" t="inlineStr">
        <is>
          <t>PCM: power control module</t>
        </is>
      </c>
      <c r="I1378" s="12" t="inlineStr">
        <is>
          <t>LV 600 V</t>
        </is>
      </c>
      <c r="J1378" s="12" t="inlineStr">
        <is>
          <t>10</t>
        </is>
      </c>
      <c r="K1378" s="12" t="n">
        <v>1</v>
      </c>
    </row>
    <row r="1379">
      <c r="A1379" s="12" t="inlineStr">
        <is>
          <t>RICE 5 radiators (5)</t>
        </is>
      </c>
      <c r="B1379" s="12" t="inlineStr"/>
      <c r="C1379" s="12" t="inlineStr">
        <is>
          <t>I</t>
        </is>
      </c>
      <c r="D1379" s="12" t="inlineStr">
        <is>
          <t>Motor 1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2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3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5 radiators (5)</t>
        </is>
      </c>
      <c r="B1382" s="12" t="inlineStr"/>
      <c r="C1382" s="12" t="inlineStr">
        <is>
          <t>I</t>
        </is>
      </c>
      <c r="D1382" s="12" t="inlineStr">
        <is>
          <t>Motor 4 of 5, 30 kW (VFD output)</t>
        </is>
      </c>
      <c r="E1382" s="12" t="n">
        <v>480</v>
      </c>
      <c r="F1382" s="12" t="n">
        <v>30</v>
      </c>
      <c r="G1382" s="12" t="n">
        <v>42</v>
      </c>
      <c r="H1382" s="12" t="inlineStr">
        <is>
          <t>PCM: power control module</t>
        </is>
      </c>
      <c r="I1382" s="12" t="inlineStr">
        <is>
          <t>LV 600 V</t>
        </is>
      </c>
      <c r="J1382" s="12" t="inlineStr">
        <is>
          <t>6</t>
        </is>
      </c>
      <c r="K1382" s="12" t="n">
        <v>1</v>
      </c>
    </row>
    <row r="1383">
      <c r="A1383" s="12" t="inlineStr">
        <is>
          <t>RICE 5 radiators (5)</t>
        </is>
      </c>
      <c r="B1383" s="12" t="inlineStr"/>
      <c r="C1383" s="12" t="inlineStr">
        <is>
          <t>I</t>
        </is>
      </c>
      <c r="D1383" s="12" t="inlineStr">
        <is>
          <t>Motor 5 of 5, 30 kW (VFD output)</t>
        </is>
      </c>
      <c r="E1383" s="12" t="n">
        <v>480</v>
      </c>
      <c r="F1383" s="12" t="n">
        <v>30</v>
      </c>
      <c r="G1383" s="12" t="n">
        <v>42</v>
      </c>
      <c r="H1383" s="12" t="inlineStr">
        <is>
          <t>PCM: power control module</t>
        </is>
      </c>
      <c r="I1383" s="12" t="inlineStr">
        <is>
          <t>LV 600 V</t>
        </is>
      </c>
      <c r="J1383" s="12" t="inlineStr">
        <is>
          <t>6</t>
        </is>
      </c>
      <c r="K1383" s="12" t="n">
        <v>1</v>
      </c>
    </row>
    <row r="1384">
      <c r="A1384" s="12" t="inlineStr">
        <is>
          <t>RICE 6 SCR + oxidation catalyst and stack</t>
        </is>
      </c>
      <c r="B1384" s="12" t="inlineStr"/>
      <c r="C1384" s="12" t="inlineStr">
        <is>
          <t>I</t>
        </is>
      </c>
      <c r="D1384" s="12" t="inlineStr">
        <is>
          <t>Motor 1 of 1, 15 kW</t>
        </is>
      </c>
      <c r="E1384" s="12" t="n">
        <v>480</v>
      </c>
      <c r="F1384" s="12" t="n">
        <v>15</v>
      </c>
      <c r="G1384" s="12" t="n">
        <v>21.2</v>
      </c>
      <c r="H1384" s="12" t="inlineStr">
        <is>
          <t>PCM: power control module</t>
        </is>
      </c>
      <c r="I1384" s="12" t="inlineStr">
        <is>
          <t>LV 600 V</t>
        </is>
      </c>
      <c r="J1384" s="12" t="inlineStr">
        <is>
          <t>6</t>
        </is>
      </c>
      <c r="K1384" s="12" t="n">
        <v>1</v>
      </c>
    </row>
    <row r="1385">
      <c r="A1385" s="12" t="inlineStr">
        <is>
          <t>RICE 6 SCR + oxidation catalyst and stack</t>
        </is>
      </c>
      <c r="B1385" s="12" t="inlineStr"/>
      <c r="C1385" s="12" t="inlineStr">
        <is>
          <t>I</t>
        </is>
      </c>
      <c r="D1385" s="12" t="inlineStr">
        <is>
          <t>Area / platform lighting circuit 1 (6 fixtures)</t>
        </is>
      </c>
      <c r="E1385" s="12" t="n">
        <v>480</v>
      </c>
      <c r="F1385" s="12" t="n">
        <v>3</v>
      </c>
      <c r="G1385" s="12" t="n">
        <v>5</v>
      </c>
      <c r="H1385" s="12" t="inlineStr">
        <is>
          <t>PCM: power control module</t>
        </is>
      </c>
      <c r="I1385" s="12" t="inlineStr">
        <is>
          <t>LV 600 V</t>
        </is>
      </c>
      <c r="J1385" s="12" t="inlineStr">
        <is>
          <t>10</t>
        </is>
      </c>
      <c r="K1385" s="12" t="n">
        <v>1</v>
      </c>
    </row>
    <row r="1386">
      <c r="A1386" s="12" t="inlineStr">
        <is>
          <t>RICE 6 radiators (5)</t>
        </is>
      </c>
      <c r="B1386" s="12" t="inlineStr"/>
      <c r="C1386" s="12" t="inlineStr">
        <is>
          <t>I</t>
        </is>
      </c>
      <c r="D1386" s="12" t="inlineStr">
        <is>
          <t>Motor 1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2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3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6 radiators (5)</t>
        </is>
      </c>
      <c r="B1389" s="12" t="inlineStr"/>
      <c r="C1389" s="12" t="inlineStr">
        <is>
          <t>I</t>
        </is>
      </c>
      <c r="D1389" s="12" t="inlineStr">
        <is>
          <t>Motor 4 of 5, 30 kW (VFD output)</t>
        </is>
      </c>
      <c r="E1389" s="12" t="n">
        <v>480</v>
      </c>
      <c r="F1389" s="12" t="n">
        <v>30</v>
      </c>
      <c r="G1389" s="12" t="n">
        <v>42</v>
      </c>
      <c r="H1389" s="12" t="inlineStr">
        <is>
          <t>PCM: power control module</t>
        </is>
      </c>
      <c r="I1389" s="12" t="inlineStr">
        <is>
          <t>LV 600 V</t>
        </is>
      </c>
      <c r="J1389" s="12" t="inlineStr">
        <is>
          <t>6</t>
        </is>
      </c>
      <c r="K1389" s="12" t="n">
        <v>1</v>
      </c>
    </row>
    <row r="1390">
      <c r="A1390" s="12" t="inlineStr">
        <is>
          <t>RICE 6 radiators (5)</t>
        </is>
      </c>
      <c r="B1390" s="12" t="inlineStr"/>
      <c r="C1390" s="12" t="inlineStr">
        <is>
          <t>I</t>
        </is>
      </c>
      <c r="D1390" s="12" t="inlineStr">
        <is>
          <t>Motor 5 of 5, 30 kW (VFD output)</t>
        </is>
      </c>
      <c r="E1390" s="12" t="n">
        <v>480</v>
      </c>
      <c r="F1390" s="12" t="n">
        <v>30</v>
      </c>
      <c r="G1390" s="12" t="n">
        <v>42</v>
      </c>
      <c r="H1390" s="12" t="inlineStr">
        <is>
          <t>PCM: power control module</t>
        </is>
      </c>
      <c r="I1390" s="12" t="inlineStr">
        <is>
          <t>LV 600 V</t>
        </is>
      </c>
      <c r="J1390" s="12" t="inlineStr">
        <is>
          <t>6</t>
        </is>
      </c>
      <c r="K1390" s="12" t="n">
        <v>1</v>
      </c>
    </row>
    <row r="1391">
      <c r="A1391" s="12" t="inlineStr">
        <is>
          <t>RICE 7 SCR + oxidation catalyst and stack</t>
        </is>
      </c>
      <c r="B1391" s="12" t="inlineStr"/>
      <c r="C1391" s="12" t="inlineStr">
        <is>
          <t>I</t>
        </is>
      </c>
      <c r="D1391" s="12" t="inlineStr">
        <is>
          <t>Motor 1 of 1, 15 kW</t>
        </is>
      </c>
      <c r="E1391" s="12" t="n">
        <v>480</v>
      </c>
      <c r="F1391" s="12" t="n">
        <v>15</v>
      </c>
      <c r="G1391" s="12" t="n">
        <v>21.2</v>
      </c>
      <c r="H1391" s="12" t="inlineStr">
        <is>
          <t>PCM: power control module</t>
        </is>
      </c>
      <c r="I1391" s="12" t="inlineStr">
        <is>
          <t>LV 600 V</t>
        </is>
      </c>
      <c r="J1391" s="12" t="inlineStr">
        <is>
          <t>8</t>
        </is>
      </c>
      <c r="K1391" s="12" t="n">
        <v>1</v>
      </c>
    </row>
    <row r="1392">
      <c r="A1392" s="12" t="inlineStr">
        <is>
          <t>RICE 7 SCR + oxidation catalyst and stack</t>
        </is>
      </c>
      <c r="B1392" s="12" t="inlineStr"/>
      <c r="C1392" s="12" t="inlineStr">
        <is>
          <t>I</t>
        </is>
      </c>
      <c r="D1392" s="12" t="inlineStr">
        <is>
          <t>Area / platform lighting circuit 1 (6 fixtures)</t>
        </is>
      </c>
      <c r="E1392" s="12" t="n">
        <v>480</v>
      </c>
      <c r="F1392" s="12" t="n">
        <v>3</v>
      </c>
      <c r="G1392" s="12" t="n">
        <v>5</v>
      </c>
      <c r="H1392" s="12" t="inlineStr">
        <is>
          <t>PCM: power control module</t>
        </is>
      </c>
      <c r="I1392" s="12" t="inlineStr">
        <is>
          <t>LV 600 V</t>
        </is>
      </c>
      <c r="J1392" s="12" t="inlineStr">
        <is>
          <t>10</t>
        </is>
      </c>
      <c r="K1392" s="12" t="n">
        <v>1</v>
      </c>
    </row>
    <row r="1393">
      <c r="A1393" s="12" t="inlineStr">
        <is>
          <t>RICE 7 radiators (5)</t>
        </is>
      </c>
      <c r="B1393" s="12" t="inlineStr"/>
      <c r="C1393" s="12" t="inlineStr">
        <is>
          <t>I</t>
        </is>
      </c>
      <c r="D1393" s="12" t="inlineStr">
        <is>
          <t>Motor 1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2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3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7 radiators (5)</t>
        </is>
      </c>
      <c r="B1396" s="12" t="inlineStr"/>
      <c r="C1396" s="12" t="inlineStr">
        <is>
          <t>I</t>
        </is>
      </c>
      <c r="D1396" s="12" t="inlineStr">
        <is>
          <t>Motor 4 of 5, 30 kW (VFD output)</t>
        </is>
      </c>
      <c r="E1396" s="12" t="n">
        <v>480</v>
      </c>
      <c r="F1396" s="12" t="n">
        <v>30</v>
      </c>
      <c r="G1396" s="12" t="n">
        <v>42</v>
      </c>
      <c r="H1396" s="12" t="inlineStr">
        <is>
          <t>PCM: power control module</t>
        </is>
      </c>
      <c r="I1396" s="12" t="inlineStr">
        <is>
          <t>LV 600 V</t>
        </is>
      </c>
      <c r="J1396" s="12" t="inlineStr">
        <is>
          <t>6</t>
        </is>
      </c>
      <c r="K1396" s="12" t="n">
        <v>1</v>
      </c>
    </row>
    <row r="1397">
      <c r="A1397" s="12" t="inlineStr">
        <is>
          <t>RICE 7 radiators (5)</t>
        </is>
      </c>
      <c r="B1397" s="12" t="inlineStr"/>
      <c r="C1397" s="12" t="inlineStr">
        <is>
          <t>I</t>
        </is>
      </c>
      <c r="D1397" s="12" t="inlineStr">
        <is>
          <t>Motor 5 of 5, 30 kW (VFD output)</t>
        </is>
      </c>
      <c r="E1397" s="12" t="n">
        <v>480</v>
      </c>
      <c r="F1397" s="12" t="n">
        <v>30</v>
      </c>
      <c r="G1397" s="12" t="n">
        <v>42</v>
      </c>
      <c r="H1397" s="12" t="inlineStr">
        <is>
          <t>PCM: power control module</t>
        </is>
      </c>
      <c r="I1397" s="12" t="inlineStr">
        <is>
          <t>LV 600 V</t>
        </is>
      </c>
      <c r="J1397" s="12" t="inlineStr">
        <is>
          <t>6</t>
        </is>
      </c>
      <c r="K1397" s="12" t="n">
        <v>1</v>
      </c>
    </row>
    <row r="1398">
      <c r="A1398" s="12" t="inlineStr">
        <is>
          <t>RICE 8 SCR + oxidation catalyst and stack</t>
        </is>
      </c>
      <c r="B1398" s="12" t="inlineStr"/>
      <c r="C1398" s="12" t="inlineStr">
        <is>
          <t>I</t>
        </is>
      </c>
      <c r="D1398" s="12" t="inlineStr">
        <is>
          <t>Motor 1 of 1, 15 kW</t>
        </is>
      </c>
      <c r="E1398" s="12" t="n">
        <v>480</v>
      </c>
      <c r="F1398" s="12" t="n">
        <v>15</v>
      </c>
      <c r="G1398" s="12" t="n">
        <v>21.2</v>
      </c>
      <c r="H1398" s="12" t="inlineStr">
        <is>
          <t>PCM: power control module</t>
        </is>
      </c>
      <c r="I1398" s="12" t="inlineStr">
        <is>
          <t>LV 600 V</t>
        </is>
      </c>
      <c r="J1398" s="12" t="inlineStr">
        <is>
          <t>8</t>
        </is>
      </c>
      <c r="K1398" s="12" t="n">
        <v>1</v>
      </c>
    </row>
    <row r="1399">
      <c r="A1399" s="12" t="inlineStr">
        <is>
          <t>RICE 8 SCR + oxidation catalyst and stack</t>
        </is>
      </c>
      <c r="B1399" s="12" t="inlineStr"/>
      <c r="C1399" s="12" t="inlineStr">
        <is>
          <t>I</t>
        </is>
      </c>
      <c r="D1399" s="12" t="inlineStr">
        <is>
          <t>Area / platform lighting circuit 1 (6 fixtures)</t>
        </is>
      </c>
      <c r="E1399" s="12" t="n">
        <v>480</v>
      </c>
      <c r="F1399" s="12" t="n">
        <v>3</v>
      </c>
      <c r="G1399" s="12" t="n">
        <v>5</v>
      </c>
      <c r="H1399" s="12" t="inlineStr">
        <is>
          <t>PCM: power control module</t>
        </is>
      </c>
      <c r="I1399" s="12" t="inlineStr">
        <is>
          <t>LV 600 V</t>
        </is>
      </c>
      <c r="J1399" s="12" t="inlineStr">
        <is>
          <t>10</t>
        </is>
      </c>
      <c r="K1399" s="12" t="n">
        <v>1</v>
      </c>
    </row>
    <row r="1400">
      <c r="A1400" s="12" t="inlineStr">
        <is>
          <t>RICE 8 radiators (5)</t>
        </is>
      </c>
      <c r="B1400" s="12" t="inlineStr"/>
      <c r="C1400" s="12" t="inlineStr">
        <is>
          <t>I</t>
        </is>
      </c>
      <c r="D1400" s="12" t="inlineStr">
        <is>
          <t>Motor 1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2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3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8 radiators (5)</t>
        </is>
      </c>
      <c r="B1403" s="12" t="inlineStr"/>
      <c r="C1403" s="12" t="inlineStr">
        <is>
          <t>I</t>
        </is>
      </c>
      <c r="D1403" s="12" t="inlineStr">
        <is>
          <t>Motor 4 of 5, 30 kW (VFD output)</t>
        </is>
      </c>
      <c r="E1403" s="12" t="n">
        <v>480</v>
      </c>
      <c r="F1403" s="12" t="n">
        <v>30</v>
      </c>
      <c r="G1403" s="12" t="n">
        <v>42</v>
      </c>
      <c r="H1403" s="12" t="inlineStr">
        <is>
          <t>PCM: power control module</t>
        </is>
      </c>
      <c r="I1403" s="12" t="inlineStr">
        <is>
          <t>LV 600 V</t>
        </is>
      </c>
      <c r="J1403" s="12" t="inlineStr">
        <is>
          <t>6</t>
        </is>
      </c>
      <c r="K1403" s="12" t="n">
        <v>1</v>
      </c>
    </row>
    <row r="1404">
      <c r="A1404" s="12" t="inlineStr">
        <is>
          <t>RICE 8 radiators (5)</t>
        </is>
      </c>
      <c r="B1404" s="12" t="inlineStr"/>
      <c r="C1404" s="12" t="inlineStr">
        <is>
          <t>I</t>
        </is>
      </c>
      <c r="D1404" s="12" t="inlineStr">
        <is>
          <t>Motor 5 of 5, 30 kW (VFD output)</t>
        </is>
      </c>
      <c r="E1404" s="12" t="n">
        <v>480</v>
      </c>
      <c r="F1404" s="12" t="n">
        <v>30</v>
      </c>
      <c r="G1404" s="12" t="n">
        <v>42</v>
      </c>
      <c r="H1404" s="12" t="inlineStr">
        <is>
          <t>PCM: power control module</t>
        </is>
      </c>
      <c r="I1404" s="12" t="inlineStr">
        <is>
          <t>LV 600 V</t>
        </is>
      </c>
      <c r="J1404" s="12" t="inlineStr">
        <is>
          <t>6</t>
        </is>
      </c>
      <c r="K1404" s="12" t="n">
        <v>1</v>
      </c>
    </row>
    <row r="1405">
      <c r="A1405" s="12" t="inlineStr">
        <is>
          <t>RICE CEMS</t>
        </is>
      </c>
      <c r="B1405" s="12" t="inlineStr"/>
      <c r="C1405" s="12" t="inlineStr">
        <is>
          <t>I</t>
        </is>
      </c>
      <c r="D1405" s="12" t="inlineStr">
        <is>
          <t>LV panel / distribution feeder</t>
        </is>
      </c>
      <c r="E1405" s="12" t="n">
        <v>480</v>
      </c>
      <c r="F1405" s="12" t="n">
        <v>30</v>
      </c>
      <c r="G1405" s="12" t="n">
        <v>42.5</v>
      </c>
      <c r="H1405" s="12" t="inlineStr">
        <is>
          <t>PCM: power control module</t>
        </is>
      </c>
      <c r="I1405" s="12" t="inlineStr">
        <is>
          <t>LV 600 V</t>
        </is>
      </c>
      <c r="J1405" s="12" t="inlineStr">
        <is>
          <t>4</t>
        </is>
      </c>
      <c r="K1405" s="12" t="n">
        <v>1</v>
      </c>
    </row>
    <row r="1406">
      <c r="A1406" s="12" t="inlineStr">
        <is>
          <t>RICE engine hall (8 engines)</t>
        </is>
      </c>
      <c r="B1406" s="12" t="inlineStr">
        <is>
          <t>RICE</t>
        </is>
      </c>
      <c r="C1406" s="12" t="inlineStr">
        <is>
          <t>I</t>
        </is>
      </c>
      <c r="D1406" s="12" t="inlineStr">
        <is>
          <t>LV power feeder</t>
        </is>
      </c>
      <c r="E1406" s="12" t="n">
        <v>480</v>
      </c>
      <c r="F1406" s="12" t="n">
        <v>15</v>
      </c>
      <c r="G1406" s="12" t="n">
        <v>21.2</v>
      </c>
      <c r="H1406" s="12" t="inlineStr">
        <is>
          <t>PCM: power control module</t>
        </is>
      </c>
      <c r="I1406" s="12" t="inlineStr">
        <is>
          <t>LV 600 V</t>
        </is>
      </c>
      <c r="J1406" s="12" t="inlineStr">
        <is>
          <t>8</t>
        </is>
      </c>
      <c r="K1406" s="12" t="n">
        <v>1</v>
      </c>
    </row>
    <row r="1407">
      <c r="A1407" s="12" t="inlineStr">
        <is>
          <t>RICE engine-generator 1</t>
        </is>
      </c>
      <c r="B1407" s="12" t="inlineStr">
        <is>
          <t>RICE-1</t>
        </is>
      </c>
      <c r="C1407" s="12" t="inlineStr">
        <is>
          <t>I</t>
        </is>
      </c>
      <c r="D1407" s="12" t="inlineStr">
        <is>
          <t>Motor 1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2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3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4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Motor 5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1</t>
        </is>
      </c>
      <c r="B1412" s="12" t="inlineStr">
        <is>
          <t>RICE-1</t>
        </is>
      </c>
      <c r="C1412" s="12" t="inlineStr">
        <is>
          <t>I</t>
        </is>
      </c>
      <c r="D1412" s="12" t="inlineStr">
        <is>
          <t>Motor 6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1</t>
        </is>
      </c>
      <c r="B1413" s="12" t="inlineStr">
        <is>
          <t>RICE-1</t>
        </is>
      </c>
      <c r="C1413" s="12" t="inlineStr">
        <is>
          <t>I</t>
        </is>
      </c>
      <c r="D1413" s="12" t="inlineStr">
        <is>
          <t>480 V welding receptacle 1</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2</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1</t>
        </is>
      </c>
      <c r="B1415" s="12" t="inlineStr">
        <is>
          <t>RICE-1</t>
        </is>
      </c>
      <c r="C1415" s="12" t="inlineStr">
        <is>
          <t>I</t>
        </is>
      </c>
      <c r="D1415" s="12" t="inlineStr">
        <is>
          <t>480 V welding receptacle 3</t>
        </is>
      </c>
      <c r="E1415" s="12" t="n">
        <v>480</v>
      </c>
      <c r="F1415" s="12" t="n">
        <v>60</v>
      </c>
      <c r="G1415" s="12" t="n">
        <v>76</v>
      </c>
      <c r="H1415" s="12" t="inlineStr">
        <is>
          <t>PCM: power control module</t>
        </is>
      </c>
      <c r="I1415" s="12" t="inlineStr">
        <is>
          <t>LV 600 V</t>
        </is>
      </c>
      <c r="J1415" s="12" t="inlineStr">
        <is>
          <t>1/0</t>
        </is>
      </c>
      <c r="K1415" s="12" t="n">
        <v>1</v>
      </c>
    </row>
    <row r="1416">
      <c r="A1416" s="12" t="inlineStr">
        <is>
          <t>RICE engine-generator 1</t>
        </is>
      </c>
      <c r="B1416" s="12" t="inlineStr">
        <is>
          <t>RICE-1</t>
        </is>
      </c>
      <c r="C1416" s="12" t="inlineStr">
        <is>
          <t>I</t>
        </is>
      </c>
      <c r="D1416" s="12" t="inlineStr">
        <is>
          <t>480 V welding receptacle 4</t>
        </is>
      </c>
      <c r="E1416" s="12" t="n">
        <v>480</v>
      </c>
      <c r="F1416" s="12" t="n">
        <v>60</v>
      </c>
      <c r="G1416" s="12" t="n">
        <v>76</v>
      </c>
      <c r="H1416" s="12" t="inlineStr">
        <is>
          <t>PCM: power control module</t>
        </is>
      </c>
      <c r="I1416" s="12" t="inlineStr">
        <is>
          <t>LV 600 V</t>
        </is>
      </c>
      <c r="J1416" s="12" t="inlineStr">
        <is>
          <t>1/0</t>
        </is>
      </c>
      <c r="K1416" s="12" t="n">
        <v>1</v>
      </c>
    </row>
    <row r="1417">
      <c r="A1417" s="12" t="inlineStr">
        <is>
          <t>RICE engine-generator 2</t>
        </is>
      </c>
      <c r="B1417" s="12" t="inlineStr">
        <is>
          <t>RICE-2</t>
        </is>
      </c>
      <c r="C1417" s="12" t="inlineStr">
        <is>
          <t>I</t>
        </is>
      </c>
      <c r="D1417" s="12" t="inlineStr">
        <is>
          <t>Motor 1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2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3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4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Motor 5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2</t>
        </is>
      </c>
      <c r="B1422" s="12" t="inlineStr">
        <is>
          <t>RICE-2</t>
        </is>
      </c>
      <c r="C1422" s="12" t="inlineStr">
        <is>
          <t>I</t>
        </is>
      </c>
      <c r="D1422" s="12" t="inlineStr">
        <is>
          <t>Motor 6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2</t>
        </is>
      </c>
      <c r="B1423" s="12" t="inlineStr">
        <is>
          <t>RICE-2</t>
        </is>
      </c>
      <c r="C1423" s="12" t="inlineStr">
        <is>
          <t>I</t>
        </is>
      </c>
      <c r="D1423" s="12" t="inlineStr">
        <is>
          <t>480 V welding receptacle 1</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2</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2</t>
        </is>
      </c>
      <c r="B1425" s="12" t="inlineStr">
        <is>
          <t>RICE-2</t>
        </is>
      </c>
      <c r="C1425" s="12" t="inlineStr">
        <is>
          <t>I</t>
        </is>
      </c>
      <c r="D1425" s="12" t="inlineStr">
        <is>
          <t>480 V welding receptacle 3</t>
        </is>
      </c>
      <c r="E1425" s="12" t="n">
        <v>480</v>
      </c>
      <c r="F1425" s="12" t="n">
        <v>60</v>
      </c>
      <c r="G1425" s="12" t="n">
        <v>76</v>
      </c>
      <c r="H1425" s="12" t="inlineStr">
        <is>
          <t>PCM: power control module</t>
        </is>
      </c>
      <c r="I1425" s="12" t="inlineStr">
        <is>
          <t>LV 600 V</t>
        </is>
      </c>
      <c r="J1425" s="12" t="inlineStr">
        <is>
          <t>1/0</t>
        </is>
      </c>
      <c r="K1425" s="12" t="n">
        <v>1</v>
      </c>
    </row>
    <row r="1426">
      <c r="A1426" s="12" t="inlineStr">
        <is>
          <t>RICE engine-generator 2</t>
        </is>
      </c>
      <c r="B1426" s="12" t="inlineStr">
        <is>
          <t>RICE-2</t>
        </is>
      </c>
      <c r="C1426" s="12" t="inlineStr">
        <is>
          <t>I</t>
        </is>
      </c>
      <c r="D1426" s="12" t="inlineStr">
        <is>
          <t>480 V welding receptacle 4</t>
        </is>
      </c>
      <c r="E1426" s="12" t="n">
        <v>480</v>
      </c>
      <c r="F1426" s="12" t="n">
        <v>60</v>
      </c>
      <c r="G1426" s="12" t="n">
        <v>76</v>
      </c>
      <c r="H1426" s="12" t="inlineStr">
        <is>
          <t>PCM: power control module</t>
        </is>
      </c>
      <c r="I1426" s="12" t="inlineStr">
        <is>
          <t>LV 600 V</t>
        </is>
      </c>
      <c r="J1426" s="12" t="inlineStr">
        <is>
          <t>1/0</t>
        </is>
      </c>
      <c r="K1426" s="12" t="n">
        <v>1</v>
      </c>
    </row>
    <row r="1427">
      <c r="A1427" s="12" t="inlineStr">
        <is>
          <t>RICE engine-generator 3</t>
        </is>
      </c>
      <c r="B1427" s="12" t="inlineStr">
        <is>
          <t>RICE-3</t>
        </is>
      </c>
      <c r="C1427" s="12" t="inlineStr">
        <is>
          <t>I</t>
        </is>
      </c>
      <c r="D1427" s="12" t="inlineStr">
        <is>
          <t>Motor 1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2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3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4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Motor 5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3</t>
        </is>
      </c>
      <c r="B1432" s="12" t="inlineStr">
        <is>
          <t>RICE-3</t>
        </is>
      </c>
      <c r="C1432" s="12" t="inlineStr">
        <is>
          <t>I</t>
        </is>
      </c>
      <c r="D1432" s="12" t="inlineStr">
        <is>
          <t>Motor 6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3</t>
        </is>
      </c>
      <c r="B1433" s="12" t="inlineStr">
        <is>
          <t>RICE-3</t>
        </is>
      </c>
      <c r="C1433" s="12" t="inlineStr">
        <is>
          <t>I</t>
        </is>
      </c>
      <c r="D1433" s="12" t="inlineStr">
        <is>
          <t>480 V welding receptacle 1</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2</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3</t>
        </is>
      </c>
      <c r="B1435" s="12" t="inlineStr">
        <is>
          <t>RICE-3</t>
        </is>
      </c>
      <c r="C1435" s="12" t="inlineStr">
        <is>
          <t>I</t>
        </is>
      </c>
      <c r="D1435" s="12" t="inlineStr">
        <is>
          <t>480 V welding receptacle 3</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3</t>
        </is>
      </c>
      <c r="B1436" s="12" t="inlineStr">
        <is>
          <t>RICE-3</t>
        </is>
      </c>
      <c r="C1436" s="12" t="inlineStr">
        <is>
          <t>I</t>
        </is>
      </c>
      <c r="D1436" s="12" t="inlineStr">
        <is>
          <t>480 V welding receptacle 4</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4</t>
        </is>
      </c>
      <c r="B1437" s="12" t="inlineStr">
        <is>
          <t>RICE-4</t>
        </is>
      </c>
      <c r="C1437" s="12" t="inlineStr">
        <is>
          <t>I</t>
        </is>
      </c>
      <c r="D1437" s="12" t="inlineStr">
        <is>
          <t>Motor 1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2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3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4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Motor 5 of 6, 22 kW</t>
        </is>
      </c>
      <c r="E1441" s="12" t="n">
        <v>480</v>
      </c>
      <c r="F1441" s="12" t="n">
        <v>22</v>
      </c>
      <c r="G1441" s="12" t="n">
        <v>31.1</v>
      </c>
      <c r="H1441" s="12" t="inlineStr">
        <is>
          <t>PCM: power control module</t>
        </is>
      </c>
      <c r="I1441" s="12" t="inlineStr">
        <is>
          <t>LV 600 V</t>
        </is>
      </c>
      <c r="J1441" s="12" t="inlineStr">
        <is>
          <t>4</t>
        </is>
      </c>
      <c r="K1441" s="12" t="n">
        <v>1</v>
      </c>
    </row>
    <row r="1442">
      <c r="A1442" s="12" t="inlineStr">
        <is>
          <t>RICE engine-generator 4</t>
        </is>
      </c>
      <c r="B1442" s="12" t="inlineStr">
        <is>
          <t>RICE-4</t>
        </is>
      </c>
      <c r="C1442" s="12" t="inlineStr">
        <is>
          <t>I</t>
        </is>
      </c>
      <c r="D1442" s="12" t="inlineStr">
        <is>
          <t>Motor 6 of 6, 22 kW</t>
        </is>
      </c>
      <c r="E1442" s="12" t="n">
        <v>480</v>
      </c>
      <c r="F1442" s="12" t="n">
        <v>22</v>
      </c>
      <c r="G1442" s="12" t="n">
        <v>31.1</v>
      </c>
      <c r="H1442" s="12" t="inlineStr">
        <is>
          <t>PCM: power control module</t>
        </is>
      </c>
      <c r="I1442" s="12" t="inlineStr">
        <is>
          <t>LV 600 V</t>
        </is>
      </c>
      <c r="J1442" s="12" t="inlineStr">
        <is>
          <t>4</t>
        </is>
      </c>
      <c r="K1442" s="12" t="n">
        <v>1</v>
      </c>
    </row>
    <row r="1443">
      <c r="A1443" s="12" t="inlineStr">
        <is>
          <t>RICE engine-generator 4</t>
        </is>
      </c>
      <c r="B1443" s="12" t="inlineStr">
        <is>
          <t>RICE-4</t>
        </is>
      </c>
      <c r="C1443" s="12" t="inlineStr">
        <is>
          <t>I</t>
        </is>
      </c>
      <c r="D1443" s="12" t="inlineStr">
        <is>
          <t>480 V welding receptacle 1</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2</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4</t>
        </is>
      </c>
      <c r="B1445" s="12" t="inlineStr">
        <is>
          <t>RICE-4</t>
        </is>
      </c>
      <c r="C1445" s="12" t="inlineStr">
        <is>
          <t>I</t>
        </is>
      </c>
      <c r="D1445" s="12" t="inlineStr">
        <is>
          <t>480 V welding receptacle 3</t>
        </is>
      </c>
      <c r="E1445" s="12" t="n">
        <v>480</v>
      </c>
      <c r="F1445" s="12" t="n">
        <v>60</v>
      </c>
      <c r="G1445" s="12" t="n">
        <v>76</v>
      </c>
      <c r="H1445" s="12" t="inlineStr">
        <is>
          <t>PCM: power control module</t>
        </is>
      </c>
      <c r="I1445" s="12" t="inlineStr">
        <is>
          <t>LV 600 V</t>
        </is>
      </c>
      <c r="J1445" s="12" t="inlineStr">
        <is>
          <t>1</t>
        </is>
      </c>
      <c r="K1445" s="12" t="n">
        <v>1</v>
      </c>
    </row>
    <row r="1446">
      <c r="A1446" s="12" t="inlineStr">
        <is>
          <t>RICE engine-generator 4</t>
        </is>
      </c>
      <c r="B1446" s="12" t="inlineStr">
        <is>
          <t>RICE-4</t>
        </is>
      </c>
      <c r="C1446" s="12" t="inlineStr">
        <is>
          <t>I</t>
        </is>
      </c>
      <c r="D1446" s="12" t="inlineStr">
        <is>
          <t>480 V welding receptacle 4</t>
        </is>
      </c>
      <c r="E1446" s="12" t="n">
        <v>480</v>
      </c>
      <c r="F1446" s="12" t="n">
        <v>60</v>
      </c>
      <c r="G1446" s="12" t="n">
        <v>76</v>
      </c>
      <c r="H1446" s="12" t="inlineStr">
        <is>
          <t>PCM: power control module</t>
        </is>
      </c>
      <c r="I1446" s="12" t="inlineStr">
        <is>
          <t>LV 600 V</t>
        </is>
      </c>
      <c r="J1446" s="12" t="inlineStr">
        <is>
          <t>1</t>
        </is>
      </c>
      <c r="K1446" s="12" t="n">
        <v>1</v>
      </c>
    </row>
    <row r="1447">
      <c r="A1447" s="12" t="inlineStr">
        <is>
          <t>RICE engine-generator 5</t>
        </is>
      </c>
      <c r="B1447" s="12" t="inlineStr">
        <is>
          <t>RICE-5</t>
        </is>
      </c>
      <c r="C1447" s="12" t="inlineStr">
        <is>
          <t>I</t>
        </is>
      </c>
      <c r="D1447" s="12" t="inlineStr">
        <is>
          <t>Motor 1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2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3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4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Motor 5 of 6, 22 kW</t>
        </is>
      </c>
      <c r="E1451" s="12" t="n">
        <v>480</v>
      </c>
      <c r="F1451" s="12" t="n">
        <v>22</v>
      </c>
      <c r="G1451" s="12" t="n">
        <v>31.1</v>
      </c>
      <c r="H1451" s="12" t="inlineStr">
        <is>
          <t>PCM: power control module</t>
        </is>
      </c>
      <c r="I1451" s="12" t="inlineStr">
        <is>
          <t>LV 600 V</t>
        </is>
      </c>
      <c r="J1451" s="12" t="inlineStr">
        <is>
          <t>4</t>
        </is>
      </c>
      <c r="K1451" s="12" t="n">
        <v>1</v>
      </c>
    </row>
    <row r="1452">
      <c r="A1452" s="12" t="inlineStr">
        <is>
          <t>RICE engine-generator 5</t>
        </is>
      </c>
      <c r="B1452" s="12" t="inlineStr">
        <is>
          <t>RICE-5</t>
        </is>
      </c>
      <c r="C1452" s="12" t="inlineStr">
        <is>
          <t>I</t>
        </is>
      </c>
      <c r="D1452" s="12" t="inlineStr">
        <is>
          <t>Motor 6 of 6, 22 kW</t>
        </is>
      </c>
      <c r="E1452" s="12" t="n">
        <v>480</v>
      </c>
      <c r="F1452" s="12" t="n">
        <v>22</v>
      </c>
      <c r="G1452" s="12" t="n">
        <v>31.1</v>
      </c>
      <c r="H1452" s="12" t="inlineStr">
        <is>
          <t>PCM: power control module</t>
        </is>
      </c>
      <c r="I1452" s="12" t="inlineStr">
        <is>
          <t>LV 600 V</t>
        </is>
      </c>
      <c r="J1452" s="12" t="inlineStr">
        <is>
          <t>4</t>
        </is>
      </c>
      <c r="K1452" s="12" t="n">
        <v>1</v>
      </c>
    </row>
    <row r="1453">
      <c r="A1453" s="12" t="inlineStr">
        <is>
          <t>RICE engine-generator 5</t>
        </is>
      </c>
      <c r="B1453" s="12" t="inlineStr">
        <is>
          <t>RICE-5</t>
        </is>
      </c>
      <c r="C1453" s="12" t="inlineStr">
        <is>
          <t>I</t>
        </is>
      </c>
      <c r="D1453" s="12" t="inlineStr">
        <is>
          <t>480 V welding receptacle 1</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2</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5</t>
        </is>
      </c>
      <c r="B1455" s="12" t="inlineStr">
        <is>
          <t>RICE-5</t>
        </is>
      </c>
      <c r="C1455" s="12" t="inlineStr">
        <is>
          <t>I</t>
        </is>
      </c>
      <c r="D1455" s="12" t="inlineStr">
        <is>
          <t>480 V welding receptacle 3</t>
        </is>
      </c>
      <c r="E1455" s="12" t="n">
        <v>480</v>
      </c>
      <c r="F1455" s="12" t="n">
        <v>60</v>
      </c>
      <c r="G1455" s="12" t="n">
        <v>76</v>
      </c>
      <c r="H1455" s="12" t="inlineStr">
        <is>
          <t>PCM: power control module</t>
        </is>
      </c>
      <c r="I1455" s="12" t="inlineStr">
        <is>
          <t>LV 600 V</t>
        </is>
      </c>
      <c r="J1455" s="12" t="inlineStr">
        <is>
          <t>1</t>
        </is>
      </c>
      <c r="K1455" s="12" t="n">
        <v>1</v>
      </c>
    </row>
    <row r="1456">
      <c r="A1456" s="12" t="inlineStr">
        <is>
          <t>RICE engine-generator 5</t>
        </is>
      </c>
      <c r="B1456" s="12" t="inlineStr">
        <is>
          <t>RICE-5</t>
        </is>
      </c>
      <c r="C1456" s="12" t="inlineStr">
        <is>
          <t>I</t>
        </is>
      </c>
      <c r="D1456" s="12" t="inlineStr">
        <is>
          <t>480 V welding receptacle 4</t>
        </is>
      </c>
      <c r="E1456" s="12" t="n">
        <v>480</v>
      </c>
      <c r="F1456" s="12" t="n">
        <v>60</v>
      </c>
      <c r="G1456" s="12" t="n">
        <v>76</v>
      </c>
      <c r="H1456" s="12" t="inlineStr">
        <is>
          <t>PCM: power control module</t>
        </is>
      </c>
      <c r="I1456" s="12" t="inlineStr">
        <is>
          <t>LV 600 V</t>
        </is>
      </c>
      <c r="J1456" s="12" t="inlineStr">
        <is>
          <t>1</t>
        </is>
      </c>
      <c r="K1456" s="12" t="n">
        <v>1</v>
      </c>
    </row>
    <row r="1457">
      <c r="A1457" s="12" t="inlineStr">
        <is>
          <t>RICE engine-generator 6</t>
        </is>
      </c>
      <c r="B1457" s="12" t="inlineStr">
        <is>
          <t>RICE-6</t>
        </is>
      </c>
      <c r="C1457" s="12" t="inlineStr">
        <is>
          <t>I</t>
        </is>
      </c>
      <c r="D1457" s="12" t="inlineStr">
        <is>
          <t>Motor 1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2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3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4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Motor 5 of 6, 22 kW</t>
        </is>
      </c>
      <c r="E1461" s="12" t="n">
        <v>480</v>
      </c>
      <c r="F1461" s="12" t="n">
        <v>22</v>
      </c>
      <c r="G1461" s="12" t="n">
        <v>31.1</v>
      </c>
      <c r="H1461" s="12" t="inlineStr">
        <is>
          <t>PCM: power control module</t>
        </is>
      </c>
      <c r="I1461" s="12" t="inlineStr">
        <is>
          <t>LV 600 V</t>
        </is>
      </c>
      <c r="J1461" s="12" t="inlineStr">
        <is>
          <t>4</t>
        </is>
      </c>
      <c r="K1461" s="12" t="n">
        <v>1</v>
      </c>
    </row>
    <row r="1462">
      <c r="A1462" s="12" t="inlineStr">
        <is>
          <t>RICE engine-generator 6</t>
        </is>
      </c>
      <c r="B1462" s="12" t="inlineStr">
        <is>
          <t>RICE-6</t>
        </is>
      </c>
      <c r="C1462" s="12" t="inlineStr">
        <is>
          <t>I</t>
        </is>
      </c>
      <c r="D1462" s="12" t="inlineStr">
        <is>
          <t>Motor 6 of 6, 22 kW</t>
        </is>
      </c>
      <c r="E1462" s="12" t="n">
        <v>480</v>
      </c>
      <c r="F1462" s="12" t="n">
        <v>22</v>
      </c>
      <c r="G1462" s="12" t="n">
        <v>31.1</v>
      </c>
      <c r="H1462" s="12" t="inlineStr">
        <is>
          <t>PCM: power control module</t>
        </is>
      </c>
      <c r="I1462" s="12" t="inlineStr">
        <is>
          <t>LV 600 V</t>
        </is>
      </c>
      <c r="J1462" s="12" t="inlineStr">
        <is>
          <t>4</t>
        </is>
      </c>
      <c r="K1462" s="12" t="n">
        <v>1</v>
      </c>
    </row>
    <row r="1463">
      <c r="A1463" s="12" t="inlineStr">
        <is>
          <t>RICE engine-generator 6</t>
        </is>
      </c>
      <c r="B1463" s="12" t="inlineStr">
        <is>
          <t>RICE-6</t>
        </is>
      </c>
      <c r="C1463" s="12" t="inlineStr">
        <is>
          <t>I</t>
        </is>
      </c>
      <c r="D1463" s="12" t="inlineStr">
        <is>
          <t>480 V welding receptacle 1</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2</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6</t>
        </is>
      </c>
      <c r="B1465" s="12" t="inlineStr">
        <is>
          <t>RICE-6</t>
        </is>
      </c>
      <c r="C1465" s="12" t="inlineStr">
        <is>
          <t>I</t>
        </is>
      </c>
      <c r="D1465" s="12" t="inlineStr">
        <is>
          <t>480 V welding receptacle 3</t>
        </is>
      </c>
      <c r="E1465" s="12" t="n">
        <v>480</v>
      </c>
      <c r="F1465" s="12" t="n">
        <v>60</v>
      </c>
      <c r="G1465" s="12" t="n">
        <v>76</v>
      </c>
      <c r="H1465" s="12" t="inlineStr">
        <is>
          <t>PCM: power control module</t>
        </is>
      </c>
      <c r="I1465" s="12" t="inlineStr">
        <is>
          <t>LV 600 V</t>
        </is>
      </c>
      <c r="J1465" s="12" t="inlineStr">
        <is>
          <t>1</t>
        </is>
      </c>
      <c r="K1465" s="12" t="n">
        <v>1</v>
      </c>
    </row>
    <row r="1466">
      <c r="A1466" s="12" t="inlineStr">
        <is>
          <t>RICE engine-generator 6</t>
        </is>
      </c>
      <c r="B1466" s="12" t="inlineStr">
        <is>
          <t>RICE-6</t>
        </is>
      </c>
      <c r="C1466" s="12" t="inlineStr">
        <is>
          <t>I</t>
        </is>
      </c>
      <c r="D1466" s="12" t="inlineStr">
        <is>
          <t>480 V welding receptacle 4</t>
        </is>
      </c>
      <c r="E1466" s="12" t="n">
        <v>480</v>
      </c>
      <c r="F1466" s="12" t="n">
        <v>60</v>
      </c>
      <c r="G1466" s="12" t="n">
        <v>76</v>
      </c>
      <c r="H1466" s="12" t="inlineStr">
        <is>
          <t>PCM: power control module</t>
        </is>
      </c>
      <c r="I1466" s="12" t="inlineStr">
        <is>
          <t>LV 600 V</t>
        </is>
      </c>
      <c r="J1466" s="12" t="inlineStr">
        <is>
          <t>1</t>
        </is>
      </c>
      <c r="K1466" s="12" t="n">
        <v>1</v>
      </c>
    </row>
    <row r="1467">
      <c r="A1467" s="12" t="inlineStr">
        <is>
          <t>RICE engine-generator 7</t>
        </is>
      </c>
      <c r="B1467" s="12" t="inlineStr">
        <is>
          <t>RICE-7</t>
        </is>
      </c>
      <c r="C1467" s="12" t="inlineStr">
        <is>
          <t>I</t>
        </is>
      </c>
      <c r="D1467" s="12" t="inlineStr">
        <is>
          <t>Motor 1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2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3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4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Motor 5 of 6, 22 kW</t>
        </is>
      </c>
      <c r="E1471" s="12" t="n">
        <v>480</v>
      </c>
      <c r="F1471" s="12" t="n">
        <v>22</v>
      </c>
      <c r="G1471" s="12" t="n">
        <v>31.1</v>
      </c>
      <c r="H1471" s="12" t="inlineStr">
        <is>
          <t>PCM: power control module</t>
        </is>
      </c>
      <c r="I1471" s="12" t="inlineStr">
        <is>
          <t>LV 600 V</t>
        </is>
      </c>
      <c r="J1471" s="12" t="inlineStr">
        <is>
          <t>8</t>
        </is>
      </c>
      <c r="K1471" s="12" t="n">
        <v>1</v>
      </c>
    </row>
    <row r="1472">
      <c r="A1472" s="12" t="inlineStr">
        <is>
          <t>RICE engine-generator 7</t>
        </is>
      </c>
      <c r="B1472" s="12" t="inlineStr">
        <is>
          <t>RICE-7</t>
        </is>
      </c>
      <c r="C1472" s="12" t="inlineStr">
        <is>
          <t>I</t>
        </is>
      </c>
      <c r="D1472" s="12" t="inlineStr">
        <is>
          <t>Motor 6 of 6, 22 kW</t>
        </is>
      </c>
      <c r="E1472" s="12" t="n">
        <v>480</v>
      </c>
      <c r="F1472" s="12" t="n">
        <v>22</v>
      </c>
      <c r="G1472" s="12" t="n">
        <v>31.1</v>
      </c>
      <c r="H1472" s="12" t="inlineStr">
        <is>
          <t>PCM: power control module</t>
        </is>
      </c>
      <c r="I1472" s="12" t="inlineStr">
        <is>
          <t>LV 600 V</t>
        </is>
      </c>
      <c r="J1472" s="12" t="inlineStr">
        <is>
          <t>8</t>
        </is>
      </c>
      <c r="K1472" s="12" t="n">
        <v>1</v>
      </c>
    </row>
    <row r="1473">
      <c r="A1473" s="12" t="inlineStr">
        <is>
          <t>RICE engine-generator 7</t>
        </is>
      </c>
      <c r="B1473" s="12" t="inlineStr">
        <is>
          <t>RICE-7</t>
        </is>
      </c>
      <c r="C1473" s="12" t="inlineStr">
        <is>
          <t>I</t>
        </is>
      </c>
      <c r="D1473" s="12" t="inlineStr">
        <is>
          <t>480 V welding receptacle 1</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2</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7</t>
        </is>
      </c>
      <c r="B1475" s="12" t="inlineStr">
        <is>
          <t>RICE-7</t>
        </is>
      </c>
      <c r="C1475" s="12" t="inlineStr">
        <is>
          <t>I</t>
        </is>
      </c>
      <c r="D1475" s="12" t="inlineStr">
        <is>
          <t>480 V welding receptacle 3</t>
        </is>
      </c>
      <c r="E1475" s="12" t="n">
        <v>480</v>
      </c>
      <c r="F1475" s="12" t="n">
        <v>60</v>
      </c>
      <c r="G1475" s="12" t="n">
        <v>76</v>
      </c>
      <c r="H1475" s="12" t="inlineStr">
        <is>
          <t>PCM: power control module</t>
        </is>
      </c>
      <c r="I1475" s="12" t="inlineStr">
        <is>
          <t>LV 600 V</t>
        </is>
      </c>
      <c r="J1475" s="12" t="inlineStr">
        <is>
          <t>2</t>
        </is>
      </c>
      <c r="K1475" s="12" t="n">
        <v>1</v>
      </c>
    </row>
    <row r="1476">
      <c r="A1476" s="12" t="inlineStr">
        <is>
          <t>RICE engine-generator 7</t>
        </is>
      </c>
      <c r="B1476" s="12" t="inlineStr">
        <is>
          <t>RICE-7</t>
        </is>
      </c>
      <c r="C1476" s="12" t="inlineStr">
        <is>
          <t>I</t>
        </is>
      </c>
      <c r="D1476" s="12" t="inlineStr">
        <is>
          <t>480 V welding receptacle 4</t>
        </is>
      </c>
      <c r="E1476" s="12" t="n">
        <v>480</v>
      </c>
      <c r="F1476" s="12" t="n">
        <v>60</v>
      </c>
      <c r="G1476" s="12" t="n">
        <v>76</v>
      </c>
      <c r="H1476" s="12" t="inlineStr">
        <is>
          <t>PCM: power control module</t>
        </is>
      </c>
      <c r="I1476" s="12" t="inlineStr">
        <is>
          <t>LV 600 V</t>
        </is>
      </c>
      <c r="J1476" s="12" t="inlineStr">
        <is>
          <t>2</t>
        </is>
      </c>
      <c r="K1476" s="12" t="n">
        <v>1</v>
      </c>
    </row>
    <row r="1477">
      <c r="A1477" s="12" t="inlineStr">
        <is>
          <t>RICE engine-generator 8</t>
        </is>
      </c>
      <c r="B1477" s="12" t="inlineStr">
        <is>
          <t>RICE-8</t>
        </is>
      </c>
      <c r="C1477" s="12" t="inlineStr">
        <is>
          <t>I</t>
        </is>
      </c>
      <c r="D1477" s="12" t="inlineStr">
        <is>
          <t>Motor 1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2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3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4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Motor 5 of 6, 22 kW</t>
        </is>
      </c>
      <c r="E1481" s="12" t="n">
        <v>480</v>
      </c>
      <c r="F1481" s="12" t="n">
        <v>22</v>
      </c>
      <c r="G1481" s="12" t="n">
        <v>31.1</v>
      </c>
      <c r="H1481" s="12" t="inlineStr">
        <is>
          <t>PCM: power control module</t>
        </is>
      </c>
      <c r="I1481" s="12" t="inlineStr">
        <is>
          <t>LV 600 V</t>
        </is>
      </c>
      <c r="J1481" s="12" t="inlineStr">
        <is>
          <t>8</t>
        </is>
      </c>
      <c r="K1481" s="12" t="n">
        <v>1</v>
      </c>
    </row>
    <row r="1482">
      <c r="A1482" s="12" t="inlineStr">
        <is>
          <t>RICE engine-generator 8</t>
        </is>
      </c>
      <c r="B1482" s="12" t="inlineStr">
        <is>
          <t>RICE-8</t>
        </is>
      </c>
      <c r="C1482" s="12" t="inlineStr">
        <is>
          <t>I</t>
        </is>
      </c>
      <c r="D1482" s="12" t="inlineStr">
        <is>
          <t>Motor 6 of 6, 22 kW</t>
        </is>
      </c>
      <c r="E1482" s="12" t="n">
        <v>480</v>
      </c>
      <c r="F1482" s="12" t="n">
        <v>22</v>
      </c>
      <c r="G1482" s="12" t="n">
        <v>31.1</v>
      </c>
      <c r="H1482" s="12" t="inlineStr">
        <is>
          <t>PCM: power control module</t>
        </is>
      </c>
      <c r="I1482" s="12" t="inlineStr">
        <is>
          <t>LV 600 V</t>
        </is>
      </c>
      <c r="J1482" s="12" t="inlineStr">
        <is>
          <t>8</t>
        </is>
      </c>
      <c r="K1482" s="12" t="n">
        <v>1</v>
      </c>
    </row>
    <row r="1483">
      <c r="A1483" s="12" t="inlineStr">
        <is>
          <t>RICE engine-generator 8</t>
        </is>
      </c>
      <c r="B1483" s="12" t="inlineStr">
        <is>
          <t>RICE-8</t>
        </is>
      </c>
      <c r="C1483" s="12" t="inlineStr">
        <is>
          <t>I</t>
        </is>
      </c>
      <c r="D1483" s="12" t="inlineStr">
        <is>
          <t>480 V welding receptacle 1</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2</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RICE engine-generator 8</t>
        </is>
      </c>
      <c r="B1485" s="12" t="inlineStr">
        <is>
          <t>RICE-8</t>
        </is>
      </c>
      <c r="C1485" s="12" t="inlineStr">
        <is>
          <t>I</t>
        </is>
      </c>
      <c r="D1485" s="12" t="inlineStr">
        <is>
          <t>480 V welding receptacle 3</t>
        </is>
      </c>
      <c r="E1485" s="12" t="n">
        <v>480</v>
      </c>
      <c r="F1485" s="12" t="n">
        <v>60</v>
      </c>
      <c r="G1485" s="12" t="n">
        <v>76</v>
      </c>
      <c r="H1485" s="12" t="inlineStr">
        <is>
          <t>PCM: power control module</t>
        </is>
      </c>
      <c r="I1485" s="12" t="inlineStr">
        <is>
          <t>LV 600 V</t>
        </is>
      </c>
      <c r="J1485" s="12" t="inlineStr">
        <is>
          <t>2</t>
        </is>
      </c>
      <c r="K1485" s="12" t="n">
        <v>1</v>
      </c>
    </row>
    <row r="1486">
      <c r="A1486" s="12" t="inlineStr">
        <is>
          <t>RICE engine-generator 8</t>
        </is>
      </c>
      <c r="B1486" s="12" t="inlineStr">
        <is>
          <t>RICE-8</t>
        </is>
      </c>
      <c r="C1486" s="12" t="inlineStr">
        <is>
          <t>I</t>
        </is>
      </c>
      <c r="D1486" s="12" t="inlineStr">
        <is>
          <t>480 V welding receptacle 4</t>
        </is>
      </c>
      <c r="E1486" s="12" t="n">
        <v>480</v>
      </c>
      <c r="F1486" s="12" t="n">
        <v>60</v>
      </c>
      <c r="G1486" s="12" t="n">
        <v>76</v>
      </c>
      <c r="H1486" s="12" t="inlineStr">
        <is>
          <t>PCM: power control module</t>
        </is>
      </c>
      <c r="I1486" s="12" t="inlineStr">
        <is>
          <t>LV 600 V</t>
        </is>
      </c>
      <c r="J1486" s="12" t="inlineStr">
        <is>
          <t>2</t>
        </is>
      </c>
      <c r="K1486" s="12" t="n">
        <v>1</v>
      </c>
    </row>
    <row r="1487">
      <c r="A1487" s="12" t="inlineStr">
        <is>
          <t>Reagent storage</t>
        </is>
      </c>
      <c r="B1487" s="12" t="inlineStr"/>
      <c r="C1487" s="12" t="inlineStr">
        <is>
          <t>I</t>
        </is>
      </c>
      <c r="D1487" s="12" t="inlineStr">
        <is>
          <t>LV power feeder</t>
        </is>
      </c>
      <c r="E1487" s="12" t="n">
        <v>480</v>
      </c>
      <c r="F1487" s="12" t="n">
        <v>15</v>
      </c>
      <c r="G1487" s="12" t="n">
        <v>21.2</v>
      </c>
      <c r="H1487" s="12" t="inlineStr">
        <is>
          <t>PCM: power control module</t>
        </is>
      </c>
      <c r="I1487" s="12" t="inlineStr">
        <is>
          <t>LV 600 V</t>
        </is>
      </c>
      <c r="J1487" s="12" t="inlineStr">
        <is>
          <t>10</t>
        </is>
      </c>
      <c r="K1487" s="12" t="n">
        <v>1</v>
      </c>
    </row>
    <row r="1488">
      <c r="A1488" s="12" t="inlineStr">
        <is>
          <t>SC-1 CEMS shelter</t>
        </is>
      </c>
      <c r="B1488" s="12" t="inlineStr"/>
      <c r="C1488" s="12" t="inlineStr">
        <is>
          <t>I</t>
        </is>
      </c>
      <c r="D1488" s="12" t="inlineStr">
        <is>
          <t>SC-1 CEMS shelter panel: analysers, heated sample line, lighting</t>
        </is>
      </c>
      <c r="E1488" s="12" t="n">
        <v>480</v>
      </c>
      <c r="F1488" s="12" t="n">
        <v>15</v>
      </c>
      <c r="G1488" s="12" t="n">
        <v>19</v>
      </c>
      <c r="H1488" s="12" t="inlineStr">
        <is>
          <t>SC-1 PCM + 15 kV GCB</t>
        </is>
      </c>
      <c r="I1488" s="12" t="inlineStr">
        <is>
          <t>LV 600 V</t>
        </is>
      </c>
      <c r="J1488" s="12" t="inlineStr">
        <is>
          <t>10</t>
        </is>
      </c>
      <c r="K1488" s="12" t="n">
        <v>1</v>
      </c>
    </row>
    <row r="1489">
      <c r="A1489" s="12" t="inlineStr">
        <is>
          <t>SC-1 CEMS shelter</t>
        </is>
      </c>
      <c r="B1489" s="12" t="inlineStr"/>
      <c r="C1489" s="12" t="inlineStr">
        <is>
          <t>I</t>
        </is>
      </c>
      <c r="D1489" s="12" t="inlineStr">
        <is>
          <t>Motor 1 of 2, 5 kW</t>
        </is>
      </c>
      <c r="E1489" s="12" t="n">
        <v>480</v>
      </c>
      <c r="F1489" s="12" t="n">
        <v>5</v>
      </c>
      <c r="G1489" s="12" t="n">
        <v>7.1</v>
      </c>
      <c r="H1489" s="12" t="inlineStr">
        <is>
          <t>SC-1 PCM + 15 kV GCB</t>
        </is>
      </c>
      <c r="I1489" s="12" t="inlineStr">
        <is>
          <t>LV 600 V</t>
        </is>
      </c>
      <c r="J1489" s="12" t="inlineStr">
        <is>
          <t>10</t>
        </is>
      </c>
      <c r="K1489" s="12" t="n">
        <v>1</v>
      </c>
    </row>
    <row r="1490">
      <c r="A1490" s="12" t="inlineStr">
        <is>
          <t>SC-1 CEMS shelter</t>
        </is>
      </c>
      <c r="B1490" s="12" t="inlineStr"/>
      <c r="C1490" s="12" t="inlineStr">
        <is>
          <t>I</t>
        </is>
      </c>
      <c r="D1490" s="12" t="inlineStr">
        <is>
          <t>Motor 2 of 2, 5 kW</t>
        </is>
      </c>
      <c r="E1490" s="12" t="n">
        <v>480</v>
      </c>
      <c r="F1490" s="12" t="n">
        <v>5</v>
      </c>
      <c r="G1490" s="12" t="n">
        <v>7.1</v>
      </c>
      <c r="H1490" s="12" t="inlineStr">
        <is>
          <t>SC-1 PCM + 15 kV GCB</t>
        </is>
      </c>
      <c r="I1490" s="12" t="inlineStr">
        <is>
          <t>LV 600 V</t>
        </is>
      </c>
      <c r="J1490" s="12" t="inlineStr">
        <is>
          <t>10</t>
        </is>
      </c>
      <c r="K1490" s="12" t="n">
        <v>1</v>
      </c>
    </row>
    <row r="1491">
      <c r="A1491" s="12" t="inlineStr">
        <is>
          <t>SC-1 PCM + 15 kV GCB</t>
        </is>
      </c>
      <c r="B1491" s="12" t="inlineStr"/>
      <c r="C1491" s="12" t="inlineStr">
        <is>
          <t>I</t>
        </is>
      </c>
      <c r="D1491" s="12" t="inlineStr">
        <is>
          <t>SC-1 PCM lighting, receptacles and HVAC (from its own 480 V board)</t>
        </is>
      </c>
      <c r="E1491" s="12" t="n">
        <v>480</v>
      </c>
      <c r="F1491" s="12" t="n">
        <v>40</v>
      </c>
      <c r="G1491" s="12" t="n"/>
      <c r="H1491" s="12" t="inlineStr">
        <is>
          <t>SC-1 PCM + 15 kV GCB</t>
        </is>
      </c>
      <c r="I1491" s="12" t="inlineStr">
        <is>
          <t>LV 600 V</t>
        </is>
      </c>
      <c r="J1491" s="12" t="inlineStr">
        <is>
          <t>2</t>
        </is>
      </c>
      <c r="K1491" s="12" t="n">
        <v>1</v>
      </c>
    </row>
    <row r="1492">
      <c r="A1492" s="12" t="inlineStr">
        <is>
          <t>SC-1 SCR / CO catalyst</t>
        </is>
      </c>
      <c r="B1492" s="12" t="inlineStr"/>
      <c r="C1492" s="12" t="inlineStr">
        <is>
          <t>I</t>
        </is>
      </c>
      <c r="D1492" s="12" t="inlineStr">
        <is>
          <t>Area / platform lighting circuit 1 (10 fixtures)</t>
        </is>
      </c>
      <c r="E1492" s="12" t="n">
        <v>480</v>
      </c>
      <c r="F1492" s="12" t="n">
        <v>3</v>
      </c>
      <c r="G1492" s="12" t="n">
        <v>5</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SC-1 ammonia vaporiser electric heater</t>
        </is>
      </c>
      <c r="E1493" s="12" t="n">
        <v>480</v>
      </c>
      <c r="F1493" s="12" t="n">
        <v>45</v>
      </c>
      <c r="G1493" s="12" t="n">
        <v>57</v>
      </c>
      <c r="H1493" s="12" t="inlineStr">
        <is>
          <t>SC-1 PCM + 15 kV GCB</t>
        </is>
      </c>
      <c r="I1493" s="12" t="inlineStr">
        <is>
          <t>LV 600 V</t>
        </is>
      </c>
      <c r="J1493" s="12" t="inlineStr">
        <is>
          <t>4</t>
        </is>
      </c>
      <c r="K1493" s="12" t="n">
        <v>1</v>
      </c>
    </row>
    <row r="1494">
      <c r="A1494" s="12" t="inlineStr">
        <is>
          <t>SC-1 ammonia flow-control unit</t>
        </is>
      </c>
      <c r="B1494" s="12" t="inlineStr"/>
      <c r="C1494" s="12" t="inlineStr">
        <is>
          <t>I</t>
        </is>
      </c>
      <c r="D1494" s="12" t="inlineStr">
        <is>
          <t>Motor 1 of 2, 7.5 kW</t>
        </is>
      </c>
      <c r="E1494" s="12" t="n">
        <v>480</v>
      </c>
      <c r="F1494" s="12" t="n">
        <v>7.5</v>
      </c>
      <c r="G1494" s="12" t="n">
        <v>10.6</v>
      </c>
      <c r="H1494" s="12" t="inlineStr">
        <is>
          <t>SC-1 PCM + 15 kV GCB</t>
        </is>
      </c>
      <c r="I1494" s="12" t="inlineStr">
        <is>
          <t>LV 600 V</t>
        </is>
      </c>
      <c r="J1494" s="12" t="inlineStr">
        <is>
          <t>10</t>
        </is>
      </c>
      <c r="K1494" s="12" t="n">
        <v>1</v>
      </c>
    </row>
    <row r="1495">
      <c r="A1495" s="12" t="inlineStr">
        <is>
          <t>SC-1 ammonia flow-control unit</t>
        </is>
      </c>
      <c r="B1495" s="12" t="inlineStr"/>
      <c r="C1495" s="12" t="inlineStr">
        <is>
          <t>I</t>
        </is>
      </c>
      <c r="D1495" s="12" t="inlineStr">
        <is>
          <t>Motor 2 of 2,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auxiliary skids: fuel-gas module, water-wash skid</t>
        </is>
      </c>
      <c r="B1496" s="12" t="inlineStr"/>
      <c r="C1496" s="12" t="inlineStr">
        <is>
          <t>I</t>
        </is>
      </c>
      <c r="D1496" s="12" t="inlineStr">
        <is>
          <t>SC-1 water-wash tank heater</t>
        </is>
      </c>
      <c r="E1496" s="12" t="n">
        <v>480</v>
      </c>
      <c r="F1496" s="12" t="n">
        <v>6</v>
      </c>
      <c r="G1496" s="12" t="n">
        <v>7.6</v>
      </c>
      <c r="H1496" s="12" t="inlineStr">
        <is>
          <t>SC-1 PCM + 15 kV GCB</t>
        </is>
      </c>
      <c r="I1496" s="12" t="inlineStr">
        <is>
          <t>LV 600 V</t>
        </is>
      </c>
      <c r="J1496" s="12" t="inlineStr">
        <is>
          <t>10</t>
        </is>
      </c>
      <c r="K1496" s="12" t="n">
        <v>1</v>
      </c>
    </row>
    <row r="1497">
      <c r="A1497" s="12" t="inlineStr">
        <is>
          <t>SC-1 auxiliary skids: fuel-gas module, water-wash skid</t>
        </is>
      </c>
      <c r="B1497" s="12" t="inlineStr"/>
      <c r="C1497" s="12" t="inlineStr">
        <is>
          <t>I</t>
        </is>
      </c>
      <c r="D1497" s="12" t="inlineStr">
        <is>
          <t>Motor 1 of 1, 7.5 kW</t>
        </is>
      </c>
      <c r="E1497" s="12" t="n">
        <v>480</v>
      </c>
      <c r="F1497" s="12" t="n">
        <v>7.5</v>
      </c>
      <c r="G1497" s="12" t="n">
        <v>10.6</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1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2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lube-oil fin-fan cooler</t>
        </is>
      </c>
      <c r="B1500" s="12" t="inlineStr"/>
      <c r="C1500" s="12" t="inlineStr">
        <is>
          <t>I</t>
        </is>
      </c>
      <c r="D1500" s="12" t="inlineStr">
        <is>
          <t>Motor 3 of 4, 15 kW</t>
        </is>
      </c>
      <c r="E1500" s="12" t="n">
        <v>480</v>
      </c>
      <c r="F1500" s="12" t="n">
        <v>15</v>
      </c>
      <c r="G1500" s="12" t="n">
        <v>21.2</v>
      </c>
      <c r="H1500" s="12" t="inlineStr">
        <is>
          <t>SC-1 PCM + 15 kV GCB</t>
        </is>
      </c>
      <c r="I1500" s="12" t="inlineStr">
        <is>
          <t>LV 600 V</t>
        </is>
      </c>
      <c r="J1500" s="12" t="inlineStr">
        <is>
          <t>10</t>
        </is>
      </c>
      <c r="K1500" s="12" t="n">
        <v>1</v>
      </c>
    </row>
    <row r="1501">
      <c r="A1501" s="12" t="inlineStr">
        <is>
          <t>SC-1 lube-oil fin-fan cooler</t>
        </is>
      </c>
      <c r="B1501" s="12" t="inlineStr"/>
      <c r="C1501" s="12" t="inlineStr">
        <is>
          <t>I</t>
        </is>
      </c>
      <c r="D1501" s="12" t="inlineStr">
        <is>
          <t>Motor 4 of 4, 15 kW</t>
        </is>
      </c>
      <c r="E1501" s="12" t="n">
        <v>480</v>
      </c>
      <c r="F1501" s="12" t="n">
        <v>15</v>
      </c>
      <c r="G1501" s="12" t="n">
        <v>21.2</v>
      </c>
      <c r="H1501" s="12" t="inlineStr">
        <is>
          <t>SC-1 PCM + 15 kV GCB</t>
        </is>
      </c>
      <c r="I1501" s="12" t="inlineStr">
        <is>
          <t>LV 600 V</t>
        </is>
      </c>
      <c r="J1501" s="12" t="inlineStr">
        <is>
          <t>10</t>
        </is>
      </c>
      <c r="K1501" s="12" t="n">
        <v>1</v>
      </c>
    </row>
    <row r="1502">
      <c r="A1502" s="12" t="inlineStr">
        <is>
          <t>SC-1 stack (80 ft)</t>
        </is>
      </c>
      <c r="B1502" s="12" t="inlineStr"/>
      <c r="C1502" s="12" t="inlineStr">
        <is>
          <t>I</t>
        </is>
      </c>
      <c r="D1502" s="12" t="inlineStr">
        <is>
          <t>Area / platform lighting circuit 1 (4 fixtures)</t>
        </is>
      </c>
      <c r="E1502" s="12" t="n">
        <v>480</v>
      </c>
      <c r="F1502" s="12" t="n">
        <v>3</v>
      </c>
      <c r="G1502" s="12" t="n">
        <v>5</v>
      </c>
      <c r="H1502" s="12" t="inlineStr">
        <is>
          <t>SC-1 PCM + 15 kV GCB</t>
        </is>
      </c>
      <c r="I1502" s="12" t="inlineStr">
        <is>
          <t>LV 600 V</t>
        </is>
      </c>
      <c r="J1502" s="12" t="inlineStr">
        <is>
          <t>10</t>
        </is>
      </c>
      <c r="K1502" s="12" t="n">
        <v>1</v>
      </c>
    </row>
    <row r="1503">
      <c r="A1503" s="12" t="inlineStr">
        <is>
          <t>SC-1 tempering-air fans (2 x 100 %)</t>
        </is>
      </c>
      <c r="B1503" s="12" t="inlineStr"/>
      <c r="C1503" s="12" t="inlineStr">
        <is>
          <t>I</t>
        </is>
      </c>
      <c r="D1503" s="12" t="inlineStr">
        <is>
          <t>Motor 1 of 2, 185 kW</t>
        </is>
      </c>
      <c r="E1503" s="12" t="n">
        <v>480</v>
      </c>
      <c r="F1503" s="12" t="n">
        <v>185</v>
      </c>
      <c r="G1503" s="12" t="n">
        <v>261.8</v>
      </c>
      <c r="H1503" s="12" t="inlineStr">
        <is>
          <t>SC-1 PCM + 15 kV GCB</t>
        </is>
      </c>
      <c r="I1503" s="12" t="inlineStr">
        <is>
          <t>LV 600 V</t>
        </is>
      </c>
      <c r="J1503" s="12" t="inlineStr">
        <is>
          <t>500 kcmil</t>
        </is>
      </c>
      <c r="K1503" s="12" t="n">
        <v>1</v>
      </c>
    </row>
    <row r="1504">
      <c r="A1504" s="12" t="inlineStr">
        <is>
          <t>SC-1 tempering-air fans (2 x 100 %)</t>
        </is>
      </c>
      <c r="B1504" s="12" t="inlineStr"/>
      <c r="C1504" s="12" t="inlineStr">
        <is>
          <t>I</t>
        </is>
      </c>
      <c r="D1504" s="12" t="inlineStr">
        <is>
          <t>Motor 2 of 2, 185 kW</t>
        </is>
      </c>
      <c r="E1504" s="12" t="n">
        <v>480</v>
      </c>
      <c r="F1504" s="12" t="n">
        <v>185</v>
      </c>
      <c r="G1504" s="12" t="n">
        <v>261.8</v>
      </c>
      <c r="H1504" s="12" t="inlineStr">
        <is>
          <t>SC-1 PCM + 15 kV GCB</t>
        </is>
      </c>
      <c r="I1504" s="12" t="inlineStr">
        <is>
          <t>LV 600 V</t>
        </is>
      </c>
      <c r="J1504" s="12" t="inlineStr">
        <is>
          <t>500 kcmil</t>
        </is>
      </c>
      <c r="K1504" s="12" t="n">
        <v>1</v>
      </c>
    </row>
    <row r="1505">
      <c r="A1505" s="12" t="inlineStr">
        <is>
          <t>SC-1 tempering-air fans (2 x 100 %)</t>
        </is>
      </c>
      <c r="B1505" s="12" t="inlineStr"/>
      <c r="C1505" s="12" t="inlineStr">
        <is>
          <t>I</t>
        </is>
      </c>
      <c r="D1505" s="12" t="inlineStr">
        <is>
          <t>Area / platform lighting circuit 1 (4 fixtures)</t>
        </is>
      </c>
      <c r="E1505" s="12" t="n">
        <v>480</v>
      </c>
      <c r="F1505" s="12" t="n">
        <v>3</v>
      </c>
      <c r="G1505" s="12" t="n">
        <v>5</v>
      </c>
      <c r="H1505" s="12" t="inlineStr">
        <is>
          <t>SC-1 PCM + 15 kV GCB</t>
        </is>
      </c>
      <c r="I1505" s="12" t="inlineStr">
        <is>
          <t>LV 600 V</t>
        </is>
      </c>
      <c r="J1505" s="12" t="inlineStr">
        <is>
          <t>10</t>
        </is>
      </c>
      <c r="K1505" s="12" t="n">
        <v>1</v>
      </c>
    </row>
    <row r="1506">
      <c r="A1506" s="12" t="inlineStr">
        <is>
          <t>SC-1: aeroderivative simple-cycle unit (LM6000 class)</t>
        </is>
      </c>
      <c r="B1506" s="12" t="inlineStr">
        <is>
          <t>SC-1</t>
        </is>
      </c>
      <c r="C1506" s="12" t="inlineStr">
        <is>
          <t>I</t>
        </is>
      </c>
      <c r="D1506" s="12" t="inlineStr">
        <is>
          <t>SC-1 emergency DC lube-oil pump (125 V DC, coast-down)</t>
        </is>
      </c>
      <c r="E1506" s="12" t="n">
        <v>125</v>
      </c>
      <c r="F1506" s="12" t="n">
        <v>7.5</v>
      </c>
      <c r="G1506" s="12" t="n">
        <v>65</v>
      </c>
      <c r="H1506" s="12" t="inlineStr">
        <is>
          <t>SC-1 PCM + 15 kV GCB</t>
        </is>
      </c>
      <c r="I1506" s="12" t="inlineStr">
        <is>
          <t>LV 600 V</t>
        </is>
      </c>
      <c r="J1506" s="12" t="inlineStr">
        <is>
          <t>2</t>
        </is>
      </c>
      <c r="K1506" s="12" t="n">
        <v>1</v>
      </c>
    </row>
    <row r="1507">
      <c r="A1507" s="12" t="inlineStr">
        <is>
          <t>SC-1: aeroderivative simple-cycle unit (LM6000 class)</t>
        </is>
      </c>
      <c r="B1507" s="12" t="inlineStr">
        <is>
          <t>SC-1</t>
        </is>
      </c>
      <c r="C1507" s="12" t="inlineStr">
        <is>
          <t>I</t>
        </is>
      </c>
      <c r="D1507" s="12" t="inlineStr">
        <is>
          <t>SC-1 120 V AC UPS to the unit control and protection</t>
        </is>
      </c>
      <c r="E1507" s="12" t="n">
        <v>120</v>
      </c>
      <c r="F1507" s="12" t="n">
        <v>5</v>
      </c>
      <c r="G1507" s="12" t="n"/>
      <c r="H1507" s="12" t="inlineStr">
        <is>
          <t>SC-1 PCM + 15 kV GCB</t>
        </is>
      </c>
      <c r="I1507" s="12" t="inlineStr">
        <is>
          <t>LV 600 V</t>
        </is>
      </c>
      <c r="J1507" s="12" t="inlineStr">
        <is>
          <t>6</t>
        </is>
      </c>
      <c r="K1507" s="12" t="n">
        <v>1</v>
      </c>
    </row>
    <row r="1508">
      <c r="A1508" s="12" t="inlineStr">
        <is>
          <t>SC-1: aeroderivative simple-cycle unit (LM6000 class)</t>
        </is>
      </c>
      <c r="B1508" s="12" t="inlineStr">
        <is>
          <t>SC-1</t>
        </is>
      </c>
      <c r="C1508" s="12" t="inlineStr">
        <is>
          <t>I</t>
        </is>
      </c>
      <c r="D1508" s="12" t="inlineStr">
        <is>
          <t>SC-1 hydraulic starter pump motor (start sequence only)</t>
        </is>
      </c>
      <c r="E1508" s="12" t="n">
        <v>480</v>
      </c>
      <c r="F1508" s="12" t="n">
        <v>225</v>
      </c>
      <c r="G1508" s="12" t="n">
        <v>318.4</v>
      </c>
      <c r="H1508" s="12" t="inlineStr">
        <is>
          <t>SC-1 PCM + 15 kV GCB</t>
        </is>
      </c>
      <c r="I1508" s="12" t="inlineStr">
        <is>
          <t>LV 600 V</t>
        </is>
      </c>
      <c r="J1508" s="12" t="inlineStr">
        <is>
          <t>3/0</t>
        </is>
      </c>
      <c r="K1508" s="12" t="n">
        <v>2</v>
      </c>
    </row>
    <row r="1509">
      <c r="A1509" s="12" t="inlineStr">
        <is>
          <t>SC-1: aeroderivative simple-cycle unit (LM6000 class)</t>
        </is>
      </c>
      <c r="B1509" s="12" t="inlineStr">
        <is>
          <t>SC-1</t>
        </is>
      </c>
      <c r="C1509" s="12" t="inlineStr">
        <is>
          <t>I</t>
        </is>
      </c>
      <c r="D1509" s="12" t="inlineStr">
        <is>
          <t>SC-1 480 V welding receptacle 1</t>
        </is>
      </c>
      <c r="E1509" s="12" t="n">
        <v>480</v>
      </c>
      <c r="F1509" s="12" t="n">
        <v>60</v>
      </c>
      <c r="G1509" s="12" t="n">
        <v>76</v>
      </c>
      <c r="H1509" s="12" t="inlineStr">
        <is>
          <t>SC-1 PCM + 15 kV GCB</t>
        </is>
      </c>
      <c r="I1509" s="12" t="inlineStr">
        <is>
          <t>LV 600 V</t>
        </is>
      </c>
      <c r="J1509" s="12" t="inlineStr">
        <is>
          <t>2</t>
        </is>
      </c>
      <c r="K1509" s="12" t="n">
        <v>1</v>
      </c>
    </row>
    <row r="1510">
      <c r="A1510" s="12" t="inlineStr">
        <is>
          <t>SC-1: aeroderivative simple-cycle unit (LM6000 class)</t>
        </is>
      </c>
      <c r="B1510" s="12" t="inlineStr">
        <is>
          <t>SC-1</t>
        </is>
      </c>
      <c r="C1510" s="12" t="inlineStr">
        <is>
          <t>I</t>
        </is>
      </c>
      <c r="D1510" s="12" t="inlineStr">
        <is>
          <t>SC-1 480 V welding receptacle 2</t>
        </is>
      </c>
      <c r="E1510" s="12" t="n">
        <v>480</v>
      </c>
      <c r="F1510" s="12" t="n">
        <v>60</v>
      </c>
      <c r="G1510" s="12" t="n">
        <v>76</v>
      </c>
      <c r="H1510" s="12" t="inlineStr">
        <is>
          <t>SC-1 PCM + 15 kV GCB</t>
        </is>
      </c>
      <c r="I1510" s="12" t="inlineStr">
        <is>
          <t>LV 600 V</t>
        </is>
      </c>
      <c r="J1510" s="12" t="inlineStr">
        <is>
          <t>2</t>
        </is>
      </c>
      <c r="K1510" s="12" t="n">
        <v>1</v>
      </c>
    </row>
    <row r="1511">
      <c r="A1511" s="12" t="inlineStr">
        <is>
          <t>SC-1: aeroderivative simple-cycle unit (LM6000 class)</t>
        </is>
      </c>
      <c r="B1511" s="12" t="inlineStr">
        <is>
          <t>SC-1</t>
        </is>
      </c>
      <c r="C1511" s="12" t="inlineStr">
        <is>
          <t>I</t>
        </is>
      </c>
      <c r="D1511" s="12" t="inlineStr">
        <is>
          <t>Motor 1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2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3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4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5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6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7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8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Motor 9 of 10, 30 kW</t>
        </is>
      </c>
      <c r="E1519" s="12" t="n">
        <v>480</v>
      </c>
      <c r="F1519" s="12" t="n">
        <v>30</v>
      </c>
      <c r="G1519" s="12" t="n">
        <v>42.5</v>
      </c>
      <c r="H1519" s="12" t="inlineStr">
        <is>
          <t>SC-1 PCM + 15 kV GCB</t>
        </is>
      </c>
      <c r="I1519" s="12" t="inlineStr">
        <is>
          <t>LV 600 V</t>
        </is>
      </c>
      <c r="J1519" s="12" t="inlineStr">
        <is>
          <t>6</t>
        </is>
      </c>
      <c r="K1519" s="12" t="n">
        <v>1</v>
      </c>
    </row>
    <row r="1520">
      <c r="A1520" s="12" t="inlineStr">
        <is>
          <t>SC-1: aeroderivative simple-cycle unit (LM6000 class)</t>
        </is>
      </c>
      <c r="B1520" s="12" t="inlineStr">
        <is>
          <t>SC-1</t>
        </is>
      </c>
      <c r="C1520" s="12" t="inlineStr">
        <is>
          <t>I</t>
        </is>
      </c>
      <c r="D1520" s="12" t="inlineStr">
        <is>
          <t>Motor 10 of 10, 30 kW</t>
        </is>
      </c>
      <c r="E1520" s="12" t="n">
        <v>480</v>
      </c>
      <c r="F1520" s="12" t="n">
        <v>30</v>
      </c>
      <c r="G1520" s="12" t="n">
        <v>42.5</v>
      </c>
      <c r="H1520" s="12" t="inlineStr">
        <is>
          <t>SC-1 PCM + 15 kV GCB</t>
        </is>
      </c>
      <c r="I1520" s="12" t="inlineStr">
        <is>
          <t>LV 600 V</t>
        </is>
      </c>
      <c r="J1520" s="12" t="inlineStr">
        <is>
          <t>6</t>
        </is>
      </c>
      <c r="K1520" s="12" t="n">
        <v>1</v>
      </c>
    </row>
    <row r="1521">
      <c r="A1521" s="12" t="inlineStr">
        <is>
          <t>SC-1: aeroderivative simple-cycle unit (LM6000 class)</t>
        </is>
      </c>
      <c r="B1521" s="12" t="inlineStr">
        <is>
          <t>SC-1</t>
        </is>
      </c>
      <c r="C1521" s="12" t="inlineStr">
        <is>
          <t>I</t>
        </is>
      </c>
      <c r="D1521" s="12" t="inlineStr">
        <is>
          <t>Area / platform lighting circuit 1 (8 fixtures)</t>
        </is>
      </c>
      <c r="E1521" s="12" t="n">
        <v>480</v>
      </c>
      <c r="F1521" s="12" t="n">
        <v>3</v>
      </c>
      <c r="G1521" s="12" t="n">
        <v>5</v>
      </c>
      <c r="H1521" s="12" t="inlineStr">
        <is>
          <t>SC-1 PCM + 15 kV GCB</t>
        </is>
      </c>
      <c r="I1521" s="12" t="inlineStr">
        <is>
          <t>LV 600 V</t>
        </is>
      </c>
      <c r="J1521" s="12" t="inlineStr">
        <is>
          <t>10</t>
        </is>
      </c>
      <c r="K1521" s="12" t="n">
        <v>1</v>
      </c>
    </row>
    <row r="1522">
      <c r="A1522" s="12" t="inlineStr">
        <is>
          <t>SC-2 CEMS shelter</t>
        </is>
      </c>
      <c r="B1522" s="12" t="inlineStr"/>
      <c r="C1522" s="12" t="inlineStr">
        <is>
          <t>I</t>
        </is>
      </c>
      <c r="D1522" s="12" t="inlineStr">
        <is>
          <t>SC-2 CEMS shelter panel: analysers, heated sample line, lighting</t>
        </is>
      </c>
      <c r="E1522" s="12" t="n">
        <v>480</v>
      </c>
      <c r="F1522" s="12" t="n">
        <v>15</v>
      </c>
      <c r="G1522" s="12" t="n">
        <v>19</v>
      </c>
      <c r="H1522" s="12" t="inlineStr">
        <is>
          <t>SC-2 PCM + 15 kV GCB</t>
        </is>
      </c>
      <c r="I1522" s="12" t="inlineStr">
        <is>
          <t>LV 600 V</t>
        </is>
      </c>
      <c r="J1522" s="12" t="inlineStr">
        <is>
          <t>10</t>
        </is>
      </c>
      <c r="K1522" s="12" t="n">
        <v>1</v>
      </c>
    </row>
    <row r="1523">
      <c r="A1523" s="12" t="inlineStr">
        <is>
          <t>SC-2 CEMS shelter</t>
        </is>
      </c>
      <c r="B1523" s="12" t="inlineStr"/>
      <c r="C1523" s="12" t="inlineStr">
        <is>
          <t>I</t>
        </is>
      </c>
      <c r="D1523" s="12" t="inlineStr">
        <is>
          <t>Motor 1 of 2, 5 kW</t>
        </is>
      </c>
      <c r="E1523" s="12" t="n">
        <v>480</v>
      </c>
      <c r="F1523" s="12" t="n">
        <v>5</v>
      </c>
      <c r="G1523" s="12" t="n">
        <v>7.1</v>
      </c>
      <c r="H1523" s="12" t="inlineStr">
        <is>
          <t>SC-2 PCM + 15 kV GCB</t>
        </is>
      </c>
      <c r="I1523" s="12" t="inlineStr">
        <is>
          <t>LV 600 V</t>
        </is>
      </c>
      <c r="J1523" s="12" t="inlineStr">
        <is>
          <t>10</t>
        </is>
      </c>
      <c r="K1523" s="12" t="n">
        <v>1</v>
      </c>
    </row>
    <row r="1524">
      <c r="A1524" s="12" t="inlineStr">
        <is>
          <t>SC-2 CEMS shelter</t>
        </is>
      </c>
      <c r="B1524" s="12" t="inlineStr"/>
      <c r="C1524" s="12" t="inlineStr">
        <is>
          <t>I</t>
        </is>
      </c>
      <c r="D1524" s="12" t="inlineStr">
        <is>
          <t>Motor 2 of 2, 5 kW</t>
        </is>
      </c>
      <c r="E1524" s="12" t="n">
        <v>480</v>
      </c>
      <c r="F1524" s="12" t="n">
        <v>5</v>
      </c>
      <c r="G1524" s="12" t="n">
        <v>7.1</v>
      </c>
      <c r="H1524" s="12" t="inlineStr">
        <is>
          <t>SC-2 PCM + 15 kV GCB</t>
        </is>
      </c>
      <c r="I1524" s="12" t="inlineStr">
        <is>
          <t>LV 600 V</t>
        </is>
      </c>
      <c r="J1524" s="12" t="inlineStr">
        <is>
          <t>10</t>
        </is>
      </c>
      <c r="K1524" s="12" t="n">
        <v>1</v>
      </c>
    </row>
    <row r="1525">
      <c r="A1525" s="12" t="inlineStr">
        <is>
          <t>SC-2 PCM + 15 kV GCB</t>
        </is>
      </c>
      <c r="B1525" s="12" t="inlineStr"/>
      <c r="C1525" s="12" t="inlineStr">
        <is>
          <t>I</t>
        </is>
      </c>
      <c r="D1525" s="12" t="inlineStr">
        <is>
          <t>SC-2 PCM lighting, receptacles and HVAC (from its own 480 V board)</t>
        </is>
      </c>
      <c r="E1525" s="12" t="n">
        <v>480</v>
      </c>
      <c r="F1525" s="12" t="n">
        <v>40</v>
      </c>
      <c r="G1525" s="12" t="n"/>
      <c r="H1525" s="12" t="inlineStr">
        <is>
          <t>SC-2 PCM + 15 kV GCB</t>
        </is>
      </c>
      <c r="I1525" s="12" t="inlineStr">
        <is>
          <t>LV 600 V</t>
        </is>
      </c>
      <c r="J1525" s="12" t="inlineStr">
        <is>
          <t>2</t>
        </is>
      </c>
      <c r="K1525" s="12" t="n">
        <v>1</v>
      </c>
    </row>
    <row r="1526">
      <c r="A1526" s="12" t="inlineStr">
        <is>
          <t>SC-2 SCR / CO catalyst</t>
        </is>
      </c>
      <c r="B1526" s="12" t="inlineStr"/>
      <c r="C1526" s="12" t="inlineStr">
        <is>
          <t>I</t>
        </is>
      </c>
      <c r="D1526" s="12" t="inlineStr">
        <is>
          <t>Area / platform lighting circuit 1 (10 fixtures)</t>
        </is>
      </c>
      <c r="E1526" s="12" t="n">
        <v>480</v>
      </c>
      <c r="F1526" s="12" t="n">
        <v>3</v>
      </c>
      <c r="G1526" s="12" t="n">
        <v>5</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SC-2 ammonia vaporiser electric heater</t>
        </is>
      </c>
      <c r="E1527" s="12" t="n">
        <v>480</v>
      </c>
      <c r="F1527" s="12" t="n">
        <v>45</v>
      </c>
      <c r="G1527" s="12" t="n">
        <v>57</v>
      </c>
      <c r="H1527" s="12" t="inlineStr">
        <is>
          <t>SC-2 PCM + 15 kV GCB</t>
        </is>
      </c>
      <c r="I1527" s="12" t="inlineStr">
        <is>
          <t>LV 600 V</t>
        </is>
      </c>
      <c r="J1527" s="12" t="inlineStr">
        <is>
          <t>4</t>
        </is>
      </c>
      <c r="K1527" s="12" t="n">
        <v>1</v>
      </c>
    </row>
    <row r="1528">
      <c r="A1528" s="12" t="inlineStr">
        <is>
          <t>SC-2 ammonia flow-control unit</t>
        </is>
      </c>
      <c r="B1528" s="12" t="inlineStr"/>
      <c r="C1528" s="12" t="inlineStr">
        <is>
          <t>I</t>
        </is>
      </c>
      <c r="D1528" s="12" t="inlineStr">
        <is>
          <t>Motor 1 of 2, 7.5 kW</t>
        </is>
      </c>
      <c r="E1528" s="12" t="n">
        <v>480</v>
      </c>
      <c r="F1528" s="12" t="n">
        <v>7.5</v>
      </c>
      <c r="G1528" s="12" t="n">
        <v>10.6</v>
      </c>
      <c r="H1528" s="12" t="inlineStr">
        <is>
          <t>SC-2 PCM + 15 kV GCB</t>
        </is>
      </c>
      <c r="I1528" s="12" t="inlineStr">
        <is>
          <t>LV 600 V</t>
        </is>
      </c>
      <c r="J1528" s="12" t="inlineStr">
        <is>
          <t>10</t>
        </is>
      </c>
      <c r="K1528" s="12" t="n">
        <v>1</v>
      </c>
    </row>
    <row r="1529">
      <c r="A1529" s="12" t="inlineStr">
        <is>
          <t>SC-2 ammonia flow-control unit</t>
        </is>
      </c>
      <c r="B1529" s="12" t="inlineStr"/>
      <c r="C1529" s="12" t="inlineStr">
        <is>
          <t>I</t>
        </is>
      </c>
      <c r="D1529" s="12" t="inlineStr">
        <is>
          <t>Motor 2 of 2,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auxiliary skids: fuel-gas module, water-wash skid</t>
        </is>
      </c>
      <c r="B1530" s="12" t="inlineStr"/>
      <c r="C1530" s="12" t="inlineStr">
        <is>
          <t>I</t>
        </is>
      </c>
      <c r="D1530" s="12" t="inlineStr">
        <is>
          <t>SC-2 water-wash tank heater</t>
        </is>
      </c>
      <c r="E1530" s="12" t="n">
        <v>480</v>
      </c>
      <c r="F1530" s="12" t="n">
        <v>6</v>
      </c>
      <c r="G1530" s="12" t="n">
        <v>7.6</v>
      </c>
      <c r="H1530" s="12" t="inlineStr">
        <is>
          <t>SC-2 PCM + 15 kV GCB</t>
        </is>
      </c>
      <c r="I1530" s="12" t="inlineStr">
        <is>
          <t>LV 600 V</t>
        </is>
      </c>
      <c r="J1530" s="12" t="inlineStr">
        <is>
          <t>10</t>
        </is>
      </c>
      <c r="K1530" s="12" t="n">
        <v>1</v>
      </c>
    </row>
    <row r="1531">
      <c r="A1531" s="12" t="inlineStr">
        <is>
          <t>SC-2 auxiliary skids: fuel-gas module, water-wash skid</t>
        </is>
      </c>
      <c r="B1531" s="12" t="inlineStr"/>
      <c r="C1531" s="12" t="inlineStr">
        <is>
          <t>I</t>
        </is>
      </c>
      <c r="D1531" s="12" t="inlineStr">
        <is>
          <t>Motor 1 of 1, 7.5 kW</t>
        </is>
      </c>
      <c r="E1531" s="12" t="n">
        <v>480</v>
      </c>
      <c r="F1531" s="12" t="n">
        <v>7.5</v>
      </c>
      <c r="G1531" s="12" t="n">
        <v>10.6</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1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2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lube-oil fin-fan cooler</t>
        </is>
      </c>
      <c r="B1534" s="12" t="inlineStr"/>
      <c r="C1534" s="12" t="inlineStr">
        <is>
          <t>I</t>
        </is>
      </c>
      <c r="D1534" s="12" t="inlineStr">
        <is>
          <t>Motor 3 of 4, 15 kW</t>
        </is>
      </c>
      <c r="E1534" s="12" t="n">
        <v>480</v>
      </c>
      <c r="F1534" s="12" t="n">
        <v>15</v>
      </c>
      <c r="G1534" s="12" t="n">
        <v>21.2</v>
      </c>
      <c r="H1534" s="12" t="inlineStr">
        <is>
          <t>SC-2 PCM + 15 kV GCB</t>
        </is>
      </c>
      <c r="I1534" s="12" t="inlineStr">
        <is>
          <t>LV 600 V</t>
        </is>
      </c>
      <c r="J1534" s="12" t="inlineStr">
        <is>
          <t>10</t>
        </is>
      </c>
      <c r="K1534" s="12" t="n">
        <v>1</v>
      </c>
    </row>
    <row r="1535">
      <c r="A1535" s="12" t="inlineStr">
        <is>
          <t>SC-2 lube-oil fin-fan cooler</t>
        </is>
      </c>
      <c r="B1535" s="12" t="inlineStr"/>
      <c r="C1535" s="12" t="inlineStr">
        <is>
          <t>I</t>
        </is>
      </c>
      <c r="D1535" s="12" t="inlineStr">
        <is>
          <t>Motor 4 of 4, 15 kW</t>
        </is>
      </c>
      <c r="E1535" s="12" t="n">
        <v>480</v>
      </c>
      <c r="F1535" s="12" t="n">
        <v>15</v>
      </c>
      <c r="G1535" s="12" t="n">
        <v>21.2</v>
      </c>
      <c r="H1535" s="12" t="inlineStr">
        <is>
          <t>SC-2 PCM + 15 kV GCB</t>
        </is>
      </c>
      <c r="I1535" s="12" t="inlineStr">
        <is>
          <t>LV 600 V</t>
        </is>
      </c>
      <c r="J1535" s="12" t="inlineStr">
        <is>
          <t>10</t>
        </is>
      </c>
      <c r="K1535" s="12" t="n">
        <v>1</v>
      </c>
    </row>
    <row r="1536">
      <c r="A1536" s="12" t="inlineStr">
        <is>
          <t>SC-2 stack (80 ft)</t>
        </is>
      </c>
      <c r="B1536" s="12" t="inlineStr"/>
      <c r="C1536" s="12" t="inlineStr">
        <is>
          <t>I</t>
        </is>
      </c>
      <c r="D1536" s="12" t="inlineStr">
        <is>
          <t>Area / platform lighting circuit 1 (4 fixtures)</t>
        </is>
      </c>
      <c r="E1536" s="12" t="n">
        <v>480</v>
      </c>
      <c r="F1536" s="12" t="n">
        <v>3</v>
      </c>
      <c r="G1536" s="12" t="n">
        <v>5</v>
      </c>
      <c r="H1536" s="12" t="inlineStr">
        <is>
          <t>SC-2 PCM + 15 kV GCB</t>
        </is>
      </c>
      <c r="I1536" s="12" t="inlineStr">
        <is>
          <t>LV 600 V</t>
        </is>
      </c>
      <c r="J1536" s="12" t="inlineStr">
        <is>
          <t>10</t>
        </is>
      </c>
      <c r="K1536" s="12" t="n">
        <v>1</v>
      </c>
    </row>
    <row r="1537">
      <c r="A1537" s="12" t="inlineStr">
        <is>
          <t>SC-2 tempering-air fans (2 x 100 %)</t>
        </is>
      </c>
      <c r="B1537" s="12" t="inlineStr"/>
      <c r="C1537" s="12" t="inlineStr">
        <is>
          <t>I</t>
        </is>
      </c>
      <c r="D1537" s="12" t="inlineStr">
        <is>
          <t>Motor 1 of 2, 185 kW</t>
        </is>
      </c>
      <c r="E1537" s="12" t="n">
        <v>480</v>
      </c>
      <c r="F1537" s="12" t="n">
        <v>185</v>
      </c>
      <c r="G1537" s="12" t="n">
        <v>261.8</v>
      </c>
      <c r="H1537" s="12" t="inlineStr">
        <is>
          <t>SC-2 PCM + 15 kV GCB</t>
        </is>
      </c>
      <c r="I1537" s="12" t="inlineStr">
        <is>
          <t>LV 600 V</t>
        </is>
      </c>
      <c r="J1537" s="12" t="inlineStr">
        <is>
          <t>500 kcmil</t>
        </is>
      </c>
      <c r="K1537" s="12" t="n">
        <v>1</v>
      </c>
    </row>
    <row r="1538">
      <c r="A1538" s="12" t="inlineStr">
        <is>
          <t>SC-2 tempering-air fans (2 x 100 %)</t>
        </is>
      </c>
      <c r="B1538" s="12" t="inlineStr"/>
      <c r="C1538" s="12" t="inlineStr">
        <is>
          <t>I</t>
        </is>
      </c>
      <c r="D1538" s="12" t="inlineStr">
        <is>
          <t>Motor 2 of 2, 185 kW</t>
        </is>
      </c>
      <c r="E1538" s="12" t="n">
        <v>480</v>
      </c>
      <c r="F1538" s="12" t="n">
        <v>185</v>
      </c>
      <c r="G1538" s="12" t="n">
        <v>261.8</v>
      </c>
      <c r="H1538" s="12" t="inlineStr">
        <is>
          <t>SC-2 PCM + 15 kV GCB</t>
        </is>
      </c>
      <c r="I1538" s="12" t="inlineStr">
        <is>
          <t>LV 600 V</t>
        </is>
      </c>
      <c r="J1538" s="12" t="inlineStr">
        <is>
          <t>500 kcmil</t>
        </is>
      </c>
      <c r="K1538" s="12" t="n">
        <v>1</v>
      </c>
    </row>
    <row r="1539">
      <c r="A1539" s="12" t="inlineStr">
        <is>
          <t>SC-2 tempering-air fans (2 x 100 %)</t>
        </is>
      </c>
      <c r="B1539" s="12" t="inlineStr"/>
      <c r="C1539" s="12" t="inlineStr">
        <is>
          <t>I</t>
        </is>
      </c>
      <c r="D1539" s="12" t="inlineStr">
        <is>
          <t>Area / platform lighting circuit 1 (4 fixtures)</t>
        </is>
      </c>
      <c r="E1539" s="12" t="n">
        <v>480</v>
      </c>
      <c r="F1539" s="12" t="n">
        <v>3</v>
      </c>
      <c r="G1539" s="12" t="n">
        <v>5</v>
      </c>
      <c r="H1539" s="12" t="inlineStr">
        <is>
          <t>SC-2 PCM + 15 kV GCB</t>
        </is>
      </c>
      <c r="I1539" s="12" t="inlineStr">
        <is>
          <t>LV 600 V</t>
        </is>
      </c>
      <c r="J1539" s="12" t="inlineStr">
        <is>
          <t>10</t>
        </is>
      </c>
      <c r="K1539" s="12" t="n">
        <v>1</v>
      </c>
    </row>
    <row r="1540">
      <c r="A1540" s="12" t="inlineStr">
        <is>
          <t>SC-2: aeroderivative simple-cycle unit (LM6000 class)</t>
        </is>
      </c>
      <c r="B1540" s="12" t="inlineStr">
        <is>
          <t>SC-2</t>
        </is>
      </c>
      <c r="C1540" s="12" t="inlineStr">
        <is>
          <t>I</t>
        </is>
      </c>
      <c r="D1540" s="12" t="inlineStr">
        <is>
          <t>SC-2 emergency DC lube-oil pump (125 V DC, coast-down)</t>
        </is>
      </c>
      <c r="E1540" s="12" t="n">
        <v>125</v>
      </c>
      <c r="F1540" s="12" t="n">
        <v>7.5</v>
      </c>
      <c r="G1540" s="12" t="n">
        <v>65</v>
      </c>
      <c r="H1540" s="12" t="inlineStr">
        <is>
          <t>SC-2 PCM + 15 kV GCB</t>
        </is>
      </c>
      <c r="I1540" s="12" t="inlineStr">
        <is>
          <t>LV 600 V</t>
        </is>
      </c>
      <c r="J1540" s="12" t="inlineStr">
        <is>
          <t>2</t>
        </is>
      </c>
      <c r="K1540" s="12" t="n">
        <v>1</v>
      </c>
    </row>
    <row r="1541">
      <c r="A1541" s="12" t="inlineStr">
        <is>
          <t>SC-2: aeroderivative simple-cycle unit (LM6000 class)</t>
        </is>
      </c>
      <c r="B1541" s="12" t="inlineStr">
        <is>
          <t>SC-2</t>
        </is>
      </c>
      <c r="C1541" s="12" t="inlineStr">
        <is>
          <t>I</t>
        </is>
      </c>
      <c r="D1541" s="12" t="inlineStr">
        <is>
          <t>SC-2 120 V AC UPS to the unit control and protection</t>
        </is>
      </c>
      <c r="E1541" s="12" t="n">
        <v>120</v>
      </c>
      <c r="F1541" s="12" t="n">
        <v>5</v>
      </c>
      <c r="G1541" s="12" t="n"/>
      <c r="H1541" s="12" t="inlineStr">
        <is>
          <t>SC-2 PCM + 15 kV GCB</t>
        </is>
      </c>
      <c r="I1541" s="12" t="inlineStr">
        <is>
          <t>LV 600 V</t>
        </is>
      </c>
      <c r="J1541" s="12" t="inlineStr">
        <is>
          <t>6</t>
        </is>
      </c>
      <c r="K1541" s="12" t="n">
        <v>1</v>
      </c>
    </row>
    <row r="1542">
      <c r="A1542" s="12" t="inlineStr">
        <is>
          <t>SC-2: aeroderivative simple-cycle unit (LM6000 class)</t>
        </is>
      </c>
      <c r="B1542" s="12" t="inlineStr">
        <is>
          <t>SC-2</t>
        </is>
      </c>
      <c r="C1542" s="12" t="inlineStr">
        <is>
          <t>I</t>
        </is>
      </c>
      <c r="D1542" s="12" t="inlineStr">
        <is>
          <t>SC-2 hydraulic starter pump motor (start sequence only)</t>
        </is>
      </c>
      <c r="E1542" s="12" t="n">
        <v>480</v>
      </c>
      <c r="F1542" s="12" t="n">
        <v>225</v>
      </c>
      <c r="G1542" s="12" t="n">
        <v>318.4</v>
      </c>
      <c r="H1542" s="12" t="inlineStr">
        <is>
          <t>SC-2 PCM + 15 kV GCB</t>
        </is>
      </c>
      <c r="I1542" s="12" t="inlineStr">
        <is>
          <t>LV 600 V</t>
        </is>
      </c>
      <c r="J1542" s="12" t="inlineStr">
        <is>
          <t>3/0</t>
        </is>
      </c>
      <c r="K1542" s="12" t="n">
        <v>2</v>
      </c>
    </row>
    <row r="1543">
      <c r="A1543" s="12" t="inlineStr">
        <is>
          <t>SC-2: aeroderivative simple-cycle unit (LM6000 class)</t>
        </is>
      </c>
      <c r="B1543" s="12" t="inlineStr">
        <is>
          <t>SC-2</t>
        </is>
      </c>
      <c r="C1543" s="12" t="inlineStr">
        <is>
          <t>I</t>
        </is>
      </c>
      <c r="D1543" s="12" t="inlineStr">
        <is>
          <t>SC-2 480 V welding receptacle 1</t>
        </is>
      </c>
      <c r="E1543" s="12" t="n">
        <v>480</v>
      </c>
      <c r="F1543" s="12" t="n">
        <v>60</v>
      </c>
      <c r="G1543" s="12" t="n">
        <v>76</v>
      </c>
      <c r="H1543" s="12" t="inlineStr">
        <is>
          <t>SC-2 PCM + 15 kV GCB</t>
        </is>
      </c>
      <c r="I1543" s="12" t="inlineStr">
        <is>
          <t>LV 600 V</t>
        </is>
      </c>
      <c r="J1543" s="12" t="inlineStr">
        <is>
          <t>2</t>
        </is>
      </c>
      <c r="K1543" s="12" t="n">
        <v>1</v>
      </c>
    </row>
    <row r="1544">
      <c r="A1544" s="12" t="inlineStr">
        <is>
          <t>SC-2: aeroderivative simple-cycle unit (LM6000 class)</t>
        </is>
      </c>
      <c r="B1544" s="12" t="inlineStr">
        <is>
          <t>SC-2</t>
        </is>
      </c>
      <c r="C1544" s="12" t="inlineStr">
        <is>
          <t>I</t>
        </is>
      </c>
      <c r="D1544" s="12" t="inlineStr">
        <is>
          <t>SC-2 480 V welding receptacle 2</t>
        </is>
      </c>
      <c r="E1544" s="12" t="n">
        <v>480</v>
      </c>
      <c r="F1544" s="12" t="n">
        <v>60</v>
      </c>
      <c r="G1544" s="12" t="n">
        <v>76</v>
      </c>
      <c r="H1544" s="12" t="inlineStr">
        <is>
          <t>SC-2 PCM + 15 kV GCB</t>
        </is>
      </c>
      <c r="I1544" s="12" t="inlineStr">
        <is>
          <t>LV 600 V</t>
        </is>
      </c>
      <c r="J1544" s="12" t="inlineStr">
        <is>
          <t>2</t>
        </is>
      </c>
      <c r="K1544" s="12" t="n">
        <v>1</v>
      </c>
    </row>
    <row r="1545">
      <c r="A1545" s="12" t="inlineStr">
        <is>
          <t>SC-2: aeroderivative simple-cycle unit (LM6000 class)</t>
        </is>
      </c>
      <c r="B1545" s="12" t="inlineStr">
        <is>
          <t>SC-2</t>
        </is>
      </c>
      <c r="C1545" s="12" t="inlineStr">
        <is>
          <t>I</t>
        </is>
      </c>
      <c r="D1545" s="12" t="inlineStr">
        <is>
          <t>Motor 1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2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3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4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5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6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7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8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Motor 9 of 10, 30 kW</t>
        </is>
      </c>
      <c r="E1553" s="12" t="n">
        <v>480</v>
      </c>
      <c r="F1553" s="12" t="n">
        <v>30</v>
      </c>
      <c r="G1553" s="12" t="n">
        <v>42.5</v>
      </c>
      <c r="H1553" s="12" t="inlineStr">
        <is>
          <t>SC-2 PCM + 15 kV GCB</t>
        </is>
      </c>
      <c r="I1553" s="12" t="inlineStr">
        <is>
          <t>LV 600 V</t>
        </is>
      </c>
      <c r="J1553" s="12" t="inlineStr">
        <is>
          <t>6</t>
        </is>
      </c>
      <c r="K1553" s="12" t="n">
        <v>1</v>
      </c>
    </row>
    <row r="1554">
      <c r="A1554" s="12" t="inlineStr">
        <is>
          <t>SC-2: aeroderivative simple-cycle unit (LM6000 class)</t>
        </is>
      </c>
      <c r="B1554" s="12" t="inlineStr">
        <is>
          <t>SC-2</t>
        </is>
      </c>
      <c r="C1554" s="12" t="inlineStr">
        <is>
          <t>I</t>
        </is>
      </c>
      <c r="D1554" s="12" t="inlineStr">
        <is>
          <t>Motor 10 of 10, 30 kW</t>
        </is>
      </c>
      <c r="E1554" s="12" t="n">
        <v>480</v>
      </c>
      <c r="F1554" s="12" t="n">
        <v>30</v>
      </c>
      <c r="G1554" s="12" t="n">
        <v>42.5</v>
      </c>
      <c r="H1554" s="12" t="inlineStr">
        <is>
          <t>SC-2 PCM + 15 kV GCB</t>
        </is>
      </c>
      <c r="I1554" s="12" t="inlineStr">
        <is>
          <t>LV 600 V</t>
        </is>
      </c>
      <c r="J1554" s="12" t="inlineStr">
        <is>
          <t>6</t>
        </is>
      </c>
      <c r="K1554" s="12" t="n">
        <v>1</v>
      </c>
    </row>
    <row r="1555">
      <c r="A1555" s="12" t="inlineStr">
        <is>
          <t>SC-2: aeroderivative simple-cycle unit (LM6000 class)</t>
        </is>
      </c>
      <c r="B1555" s="12" t="inlineStr">
        <is>
          <t>SC-2</t>
        </is>
      </c>
      <c r="C1555" s="12" t="inlineStr">
        <is>
          <t>I</t>
        </is>
      </c>
      <c r="D1555" s="12" t="inlineStr">
        <is>
          <t>Area / platform lighting circuit 1 (8 fixtures)</t>
        </is>
      </c>
      <c r="E1555" s="12" t="n">
        <v>480</v>
      </c>
      <c r="F1555" s="12" t="n">
        <v>3</v>
      </c>
      <c r="G1555" s="12" t="n">
        <v>5</v>
      </c>
      <c r="H1555" s="12" t="inlineStr">
        <is>
          <t>SC-2 PCM + 15 kV GCB</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1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2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3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4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 230 kV take-off gantry with arresters</t>
        </is>
      </c>
      <c r="B1560" s="12" t="inlineStr"/>
      <c r="C1560" s="12" t="inlineStr">
        <is>
          <t>I</t>
        </is>
      </c>
      <c r="D1560" s="12" t="inlineStr">
        <is>
          <t>Motor 5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 230 kV take-off gantry with arresters</t>
        </is>
      </c>
      <c r="B1561" s="12" t="inlineStr"/>
      <c r="C1561" s="12" t="inlineStr">
        <is>
          <t>I</t>
        </is>
      </c>
      <c r="D1561" s="12" t="inlineStr">
        <is>
          <t>Motor 6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1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2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3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4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 T-MOD-2 firewall</t>
        </is>
      </c>
      <c r="B1566" s="12" t="inlineStr"/>
      <c r="C1566" s="12" t="inlineStr">
        <is>
          <t>I</t>
        </is>
      </c>
      <c r="D1566" s="12" t="inlineStr">
        <is>
          <t>Motor 5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 T-MOD-2 firewall</t>
        </is>
      </c>
      <c r="B1567" s="12" t="inlineStr"/>
      <c r="C1567" s="12" t="inlineStr">
        <is>
          <t>I</t>
        </is>
      </c>
      <c r="D1567" s="12" t="inlineStr">
        <is>
          <t>Motor 6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1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2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3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4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T-MOD-1: 13.8/230 kV</t>
        </is>
      </c>
      <c r="B1572" s="12" t="inlineStr">
        <is>
          <t>T-MOD-1</t>
        </is>
      </c>
      <c r="C1572" s="12" t="inlineStr">
        <is>
          <t>I</t>
        </is>
      </c>
      <c r="D1572" s="12" t="inlineStr">
        <is>
          <t>Motor 5 of 6, 2 kW</t>
        </is>
      </c>
      <c r="E1572" s="12" t="n">
        <v>480</v>
      </c>
      <c r="F1572" s="12" t="n">
        <v>2</v>
      </c>
      <c r="G1572" s="12" t="n">
        <v>2.8</v>
      </c>
      <c r="H1572" s="12" t="inlineStr">
        <is>
          <t>MOD-LV 480 V board + 480 V : 13.8 kV step-up</t>
        </is>
      </c>
      <c r="I1572" s="12" t="inlineStr">
        <is>
          <t>LV 600 V</t>
        </is>
      </c>
      <c r="J1572" s="12" t="inlineStr">
        <is>
          <t>10</t>
        </is>
      </c>
      <c r="K1572" s="12" t="n">
        <v>1</v>
      </c>
    </row>
    <row r="1573">
      <c r="A1573" s="12" t="inlineStr">
        <is>
          <t>T-MOD-1: 13.8/230 kV</t>
        </is>
      </c>
      <c r="B1573" s="12" t="inlineStr">
        <is>
          <t>T-MOD-1</t>
        </is>
      </c>
      <c r="C1573" s="12" t="inlineStr">
        <is>
          <t>I</t>
        </is>
      </c>
      <c r="D1573" s="12" t="inlineStr">
        <is>
          <t>Motor 6 of 6, 2 kW</t>
        </is>
      </c>
      <c r="E1573" s="12" t="n">
        <v>480</v>
      </c>
      <c r="F1573" s="12" t="n">
        <v>2</v>
      </c>
      <c r="G1573" s="12" t="n">
        <v>2.8</v>
      </c>
      <c r="H1573" s="12" t="inlineStr">
        <is>
          <t>MOD-LV 480 V board + 480 V : 13.8 kV step-up</t>
        </is>
      </c>
      <c r="I1573" s="12" t="inlineStr">
        <is>
          <t>LV 600 V</t>
        </is>
      </c>
      <c r="J1573" s="12" t="inlineStr">
        <is>
          <t>10</t>
        </is>
      </c>
      <c r="K1573" s="12" t="n">
        <v>1</v>
      </c>
    </row>
    <row r="1574">
      <c r="A1574" s="12" t="inlineStr">
        <is>
          <t>T-MOD-2: 13.8/230 kV</t>
        </is>
      </c>
      <c r="B1574" s="12" t="inlineStr">
        <is>
          <t>T-MOD-2</t>
        </is>
      </c>
      <c r="C1574" s="12" t="inlineStr">
        <is>
          <t>I</t>
        </is>
      </c>
      <c r="D1574" s="12" t="inlineStr">
        <is>
          <t>Motor 1 of 6, 2 kW</t>
        </is>
      </c>
      <c r="E1574" s="12" t="n">
        <v>480</v>
      </c>
      <c r="F1574" s="12" t="n">
        <v>2</v>
      </c>
      <c r="G1574" s="12" t="n">
        <v>2.8</v>
      </c>
      <c r="H1574" s="12" t="inlineStr">
        <is>
          <t>MOD-LV 480 V board + 480 V : 13.8 kV step-up</t>
        </is>
      </c>
      <c r="I1574" s="12" t="inlineStr">
        <is>
          <t>LV 600 V</t>
        </is>
      </c>
      <c r="J1574" s="12" t="inlineStr">
        <is>
          <t>8</t>
        </is>
      </c>
      <c r="K1574" s="12" t="n">
        <v>1</v>
      </c>
    </row>
    <row r="1575">
      <c r="A1575" s="12" t="inlineStr">
        <is>
          <t>T-MOD-2: 13.8/230 kV</t>
        </is>
      </c>
      <c r="B1575" s="12" t="inlineStr">
        <is>
          <t>T-MOD-2</t>
        </is>
      </c>
      <c r="C1575" s="12" t="inlineStr">
        <is>
          <t>I</t>
        </is>
      </c>
      <c r="D1575" s="12" t="inlineStr">
        <is>
          <t>Motor 2 of 6, 2 kW</t>
        </is>
      </c>
      <c r="E1575" s="12" t="n">
        <v>480</v>
      </c>
      <c r="F1575" s="12" t="n">
        <v>2</v>
      </c>
      <c r="G1575" s="12" t="n">
        <v>2.8</v>
      </c>
      <c r="H1575" s="12" t="inlineStr">
        <is>
          <t>MOD-LV 480 V board + 480 V : 13.8 kV step-up</t>
        </is>
      </c>
      <c r="I1575" s="12" t="inlineStr">
        <is>
          <t>LV 600 V</t>
        </is>
      </c>
      <c r="J1575" s="12" t="inlineStr">
        <is>
          <t>8</t>
        </is>
      </c>
      <c r="K1575" s="12" t="n">
        <v>1</v>
      </c>
    </row>
    <row r="1576">
      <c r="A1576" s="12" t="inlineStr">
        <is>
          <t>T-MOD-2: 13.8/230 kV</t>
        </is>
      </c>
      <c r="B1576" s="12" t="inlineStr">
        <is>
          <t>T-MOD-2</t>
        </is>
      </c>
      <c r="C1576" s="12" t="inlineStr">
        <is>
          <t>I</t>
        </is>
      </c>
      <c r="D1576" s="12" t="inlineStr">
        <is>
          <t>Motor 3 of 6, 2 kW</t>
        </is>
      </c>
      <c r="E1576" s="12" t="n">
        <v>480</v>
      </c>
      <c r="F1576" s="12" t="n">
        <v>2</v>
      </c>
      <c r="G1576" s="12" t="n">
        <v>2.8</v>
      </c>
      <c r="H1576" s="12" t="inlineStr">
        <is>
          <t>MOD-LV 480 V board + 480 V : 13.8 kV step-up</t>
        </is>
      </c>
      <c r="I1576" s="12" t="inlineStr">
        <is>
          <t>LV 600 V</t>
        </is>
      </c>
      <c r="J1576" s="12" t="inlineStr">
        <is>
          <t>8</t>
        </is>
      </c>
      <c r="K1576" s="12" t="n">
        <v>1</v>
      </c>
    </row>
    <row r="1577">
      <c r="A1577" s="12" t="inlineStr">
        <is>
          <t>T-MOD-2: 13.8/230 kV</t>
        </is>
      </c>
      <c r="B1577" s="12" t="inlineStr">
        <is>
          <t>T-MOD-2</t>
        </is>
      </c>
      <c r="C1577" s="12" t="inlineStr">
        <is>
          <t>I</t>
        </is>
      </c>
      <c r="D1577" s="12" t="inlineStr">
        <is>
          <t>Motor 4 of 6, 2 kW</t>
        </is>
      </c>
      <c r="E1577" s="12" t="n">
        <v>480</v>
      </c>
      <c r="F1577" s="12" t="n">
        <v>2</v>
      </c>
      <c r="G1577" s="12" t="n">
        <v>2.8</v>
      </c>
      <c r="H1577" s="12" t="inlineStr">
        <is>
          <t>MOD-LV 480 V board + 480 V : 13.8 kV step-up</t>
        </is>
      </c>
      <c r="I1577" s="12" t="inlineStr">
        <is>
          <t>LV 600 V</t>
        </is>
      </c>
      <c r="J1577" s="12" t="inlineStr">
        <is>
          <t>8</t>
        </is>
      </c>
      <c r="K1577" s="12" t="n">
        <v>1</v>
      </c>
    </row>
    <row r="1578">
      <c r="A1578" s="12" t="inlineStr">
        <is>
          <t>T-MOD-2: 13.8/230 kV</t>
        </is>
      </c>
      <c r="B1578" s="12" t="inlineStr">
        <is>
          <t>T-MOD-2</t>
        </is>
      </c>
      <c r="C1578" s="12" t="inlineStr">
        <is>
          <t>I</t>
        </is>
      </c>
      <c r="D1578" s="12" t="inlineStr">
        <is>
          <t>Motor 5 of 6, 2 kW</t>
        </is>
      </c>
      <c r="E1578" s="12" t="n">
        <v>480</v>
      </c>
      <c r="F1578" s="12" t="n">
        <v>2</v>
      </c>
      <c r="G1578" s="12" t="n">
        <v>2.8</v>
      </c>
      <c r="H1578" s="12" t="inlineStr">
        <is>
          <t>MOD-LV 480 V board + 480 V : 13.8 kV step-up</t>
        </is>
      </c>
      <c r="I1578" s="12" t="inlineStr">
        <is>
          <t>LV 600 V</t>
        </is>
      </c>
      <c r="J1578" s="12" t="inlineStr">
        <is>
          <t>8</t>
        </is>
      </c>
      <c r="K1578" s="12" t="n">
        <v>1</v>
      </c>
    </row>
    <row r="1579">
      <c r="A1579" s="12" t="inlineStr">
        <is>
          <t>T-MOD-2: 13.8/230 kV</t>
        </is>
      </c>
      <c r="B1579" s="12" t="inlineStr">
        <is>
          <t>T-MOD-2</t>
        </is>
      </c>
      <c r="C1579" s="12" t="inlineStr">
        <is>
          <t>I</t>
        </is>
      </c>
      <c r="D1579" s="12" t="inlineStr">
        <is>
          <t>Motor 6 of 6, 2 kW</t>
        </is>
      </c>
      <c r="E1579" s="12" t="n">
        <v>480</v>
      </c>
      <c r="F1579" s="12" t="n">
        <v>2</v>
      </c>
      <c r="G1579" s="12" t="n">
        <v>2.8</v>
      </c>
      <c r="H1579" s="12" t="inlineStr">
        <is>
          <t>MOD-LV 480 V board + 480 V : 13.8 kV step-up</t>
        </is>
      </c>
      <c r="I1579" s="12" t="inlineStr">
        <is>
          <t>LV 600 V</t>
        </is>
      </c>
      <c r="J1579" s="12" t="inlineStr">
        <is>
          <t>8</t>
        </is>
      </c>
      <c r="K1579" s="12" t="n">
        <v>1</v>
      </c>
    </row>
    <row r="1580">
      <c r="A1580" s="12" t="inlineStr">
        <is>
          <t>TM-1: trailer-mounted aeroderivative GT (TM2500 class, ~35 MW)</t>
        </is>
      </c>
      <c r="B1580" s="12" t="inlineStr">
        <is>
          <t>TM-1</t>
        </is>
      </c>
      <c r="C1580" s="12" t="inlineStr">
        <is>
          <t>I</t>
        </is>
      </c>
      <c r="D1580" s="12" t="inlineStr">
        <is>
          <t>Motor 1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2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3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4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TM-1: trailer-mounted aeroderivative GT (TM2500 class, ~35 MW)</t>
        </is>
      </c>
      <c r="B1584" s="12" t="inlineStr">
        <is>
          <t>TM-1</t>
        </is>
      </c>
      <c r="C1584" s="12" t="inlineStr">
        <is>
          <t>I</t>
        </is>
      </c>
      <c r="D1584" s="12" t="inlineStr">
        <is>
          <t>Motor 5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TM-1: trailer-mounted aeroderivative GT (TM2500 class, ~35 MW)</t>
        </is>
      </c>
      <c r="B1585" s="12" t="inlineStr">
        <is>
          <t>TM-1</t>
        </is>
      </c>
      <c r="C1585" s="12" t="inlineStr">
        <is>
          <t>I</t>
        </is>
      </c>
      <c r="D1585" s="12" t="inlineStr">
        <is>
          <t>Motor 6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1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2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3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4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TM-2: trailer-mounted aeroderivative GT (TM2500 class, ~35 MW)</t>
        </is>
      </c>
      <c r="B1590" s="12" t="inlineStr">
        <is>
          <t>TM-2</t>
        </is>
      </c>
      <c r="C1590" s="12" t="inlineStr">
        <is>
          <t>I</t>
        </is>
      </c>
      <c r="D1590" s="12" t="inlineStr">
        <is>
          <t>Motor 5 of 6, 22 kW</t>
        </is>
      </c>
      <c r="E1590" s="12" t="n">
        <v>480</v>
      </c>
      <c r="F1590" s="12" t="n">
        <v>22</v>
      </c>
      <c r="G1590" s="12" t="n">
        <v>31.1</v>
      </c>
      <c r="H1590" s="12" t="inlineStr">
        <is>
          <t>MOD-LV 480 V board + 480 V : 13.8 kV step-up</t>
        </is>
      </c>
      <c r="I1590" s="12" t="inlineStr">
        <is>
          <t>LV 600 V</t>
        </is>
      </c>
      <c r="J1590" s="12" t="inlineStr">
        <is>
          <t>4/0</t>
        </is>
      </c>
      <c r="K1590" s="12" t="n">
        <v>1</v>
      </c>
    </row>
    <row r="1591">
      <c r="A1591" s="12" t="inlineStr">
        <is>
          <t>TM-2: trailer-mounted aeroderivative GT (TM2500 class, ~35 MW)</t>
        </is>
      </c>
      <c r="B1591" s="12" t="inlineStr">
        <is>
          <t>TM-2</t>
        </is>
      </c>
      <c r="C1591" s="12" t="inlineStr">
        <is>
          <t>I</t>
        </is>
      </c>
      <c r="D1591" s="12" t="inlineStr">
        <is>
          <t>Motor 6 of 6, 22 kW</t>
        </is>
      </c>
      <c r="E1591" s="12" t="n">
        <v>480</v>
      </c>
      <c r="F1591" s="12" t="n">
        <v>22</v>
      </c>
      <c r="G1591" s="12" t="n">
        <v>31.1</v>
      </c>
      <c r="H1591" s="12" t="inlineStr">
        <is>
          <t>MOD-LV 480 V board + 480 V : 13.8 kV step-up</t>
        </is>
      </c>
      <c r="I1591" s="12" t="inlineStr">
        <is>
          <t>LV 600 V</t>
        </is>
      </c>
      <c r="J1591" s="12" t="inlineStr">
        <is>
          <t>4/0</t>
        </is>
      </c>
      <c r="K1591" s="12" t="n">
        <v>1</v>
      </c>
    </row>
    <row r="1592">
      <c r="A1592" s="12" t="inlineStr">
        <is>
          <t>Water-injection skid</t>
        </is>
      </c>
      <c r="B1592" s="12" t="inlineStr"/>
      <c r="C1592" s="12" t="inlineStr">
        <is>
          <t>I</t>
        </is>
      </c>
      <c r="D1592" s="12" t="inlineStr">
        <is>
          <t>Motor 1 of 2, 75 kW</t>
        </is>
      </c>
      <c r="E1592" s="12" t="n">
        <v>480</v>
      </c>
      <c r="F1592" s="12" t="n">
        <v>75</v>
      </c>
      <c r="G1592" s="12" t="n">
        <v>106.1</v>
      </c>
      <c r="H1592" s="12" t="inlineStr">
        <is>
          <t>SC-2 PCM + 15 kV GCB</t>
        </is>
      </c>
      <c r="I1592" s="12" t="inlineStr">
        <is>
          <t>LV 600 V</t>
        </is>
      </c>
      <c r="J1592" s="12" t="inlineStr">
        <is>
          <t>1/0</t>
        </is>
      </c>
      <c r="K1592" s="12" t="n">
        <v>1</v>
      </c>
    </row>
    <row r="1593">
      <c r="A1593" s="12" t="inlineStr">
        <is>
          <t>Water-injection skid</t>
        </is>
      </c>
      <c r="B1593" s="12" t="inlineStr"/>
      <c r="C1593" s="12" t="inlineStr">
        <is>
          <t>I</t>
        </is>
      </c>
      <c r="D1593" s="12" t="inlineStr">
        <is>
          <t>Motor 2 of 2, 75 kW</t>
        </is>
      </c>
      <c r="E1593" s="12" t="n">
        <v>480</v>
      </c>
      <c r="F1593" s="12" t="n">
        <v>75</v>
      </c>
      <c r="G1593" s="12" t="n">
        <v>106.1</v>
      </c>
      <c r="H1593" s="12" t="inlineStr">
        <is>
          <t>SC-2 PCM + 15 kV GCB</t>
        </is>
      </c>
      <c r="I1593" s="12" t="inlineStr">
        <is>
          <t>LV 600 V</t>
        </is>
      </c>
      <c r="J1593" s="12" t="inlineStr">
        <is>
          <t>1/0</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Fuel-gas compressors 3 x 100% electric</t>
        </is>
      </c>
      <c r="B1595" s="12" t="inlineStr"/>
      <c r="C1595" s="12" t="inlineStr">
        <is>
          <t>I</t>
        </is>
      </c>
      <c r="D1595" s="12" t="inlineStr">
        <is>
          <t>Modular-yard fuel-gas compressor</t>
        </is>
      </c>
      <c r="E1595" s="12" t="n">
        <v>13800</v>
      </c>
      <c r="F1595" s="12" t="n">
        <v>1500</v>
      </c>
      <c r="G1595" s="12" t="n">
        <v>70</v>
      </c>
      <c r="H1595" s="12" t="inlineStr">
        <is>
          <t>MOD-EH: 13.8 kV modular collector e-house</t>
        </is>
      </c>
      <c r="I1595" s="12" t="inlineStr">
        <is>
          <t>MV 15 kV</t>
        </is>
      </c>
      <c r="J1595" s="12" t="inlineStr">
        <is>
          <t>2</t>
        </is>
      </c>
      <c r="K1595" s="12" t="n">
        <v>1</v>
      </c>
    </row>
    <row r="1596">
      <c r="A1596" s="12" t="inlineStr">
        <is>
          <t>Fuel-gas compressors 3 x 100% electric</t>
        </is>
      </c>
      <c r="B1596" s="12" t="inlineStr"/>
      <c r="C1596" s="12" t="inlineStr">
        <is>
          <t>I</t>
        </is>
      </c>
      <c r="D1596" s="12" t="inlineStr">
        <is>
          <t>Modular-yard fuel-gas compressor</t>
        </is>
      </c>
      <c r="E1596" s="12" t="n">
        <v>13800</v>
      </c>
      <c r="F1596" s="12" t="n">
        <v>1500</v>
      </c>
      <c r="G1596" s="12" t="n">
        <v>70</v>
      </c>
      <c r="H1596" s="12" t="inlineStr">
        <is>
          <t>MOD-EH: 13.8 kV modular collector e-house</t>
        </is>
      </c>
      <c r="I1596" s="12" t="inlineStr">
        <is>
          <t>MV 15 kV</t>
        </is>
      </c>
      <c r="J1596" s="12" t="inlineStr">
        <is>
          <t>2</t>
        </is>
      </c>
      <c r="K1596" s="12" t="n">
        <v>1</v>
      </c>
    </row>
    <row r="1597">
      <c r="A1597" s="12" t="inlineStr">
        <is>
          <t>MOD-EH: 13.8 kV modular collector e-house</t>
        </is>
      </c>
      <c r="B1597" s="12" t="inlineStr">
        <is>
          <t>MOD-EH</t>
        </is>
      </c>
      <c r="C1597" s="12" t="inlineStr">
        <is>
          <t>I</t>
        </is>
      </c>
      <c r="D1597" s="12" t="inlineStr">
        <is>
          <t>SC-1 PCM to MOD-EH</t>
        </is>
      </c>
      <c r="E1597" s="12" t="n">
        <v>13800</v>
      </c>
      <c r="F1597" s="12" t="n">
        <v>50000</v>
      </c>
      <c r="G1597" s="12" t="n">
        <v>2092</v>
      </c>
      <c r="H1597" s="12" t="inlineStr">
        <is>
          <t>SC-1 PCM + 15 kV GCB</t>
        </is>
      </c>
      <c r="I1597" s="12" t="inlineStr">
        <is>
          <t>MV 15 kV</t>
        </is>
      </c>
      <c r="J1597" s="12" t="inlineStr">
        <is>
          <t>750 kcmil</t>
        </is>
      </c>
      <c r="K1597" s="12" t="n">
        <v>5</v>
      </c>
    </row>
    <row r="1598">
      <c r="A1598" s="12" t="inlineStr">
        <is>
          <t>MOD-EH: 13.8 kV modular collector e-house</t>
        </is>
      </c>
      <c r="B1598" s="12" t="inlineStr">
        <is>
          <t>MOD-EH</t>
        </is>
      </c>
      <c r="C1598" s="12" t="inlineStr">
        <is>
          <t>I</t>
        </is>
      </c>
      <c r="D1598" s="12" t="inlineStr">
        <is>
          <t>SC-2 PCM to MOD-EH</t>
        </is>
      </c>
      <c r="E1598" s="12" t="n">
        <v>13800</v>
      </c>
      <c r="F1598" s="12" t="n">
        <v>50000</v>
      </c>
      <c r="G1598" s="12" t="n">
        <v>2092</v>
      </c>
      <c r="H1598" s="12" t="inlineStr">
        <is>
          <t>SC-2 PCM + 15 kV GCB</t>
        </is>
      </c>
      <c r="I1598" s="12" t="inlineStr">
        <is>
          <t>MV 15 kV</t>
        </is>
      </c>
      <c r="J1598" s="12" t="inlineStr">
        <is>
          <t>750 kcmil</t>
        </is>
      </c>
      <c r="K1598" s="12" t="n">
        <v>5</v>
      </c>
    </row>
    <row r="1599">
      <c r="A1599" s="12" t="inlineStr">
        <is>
          <t>MOD-EH: 13.8 kV modular collector e-house</t>
        </is>
      </c>
      <c r="B1599" s="12" t="inlineStr">
        <is>
          <t>MOD-EH</t>
        </is>
      </c>
      <c r="C1599" s="12" t="inlineStr">
        <is>
          <t>I</t>
        </is>
      </c>
      <c r="D1599" s="12" t="inlineStr">
        <is>
          <t>MOD-LV step-up to MOD-EH</t>
        </is>
      </c>
      <c r="E1599" s="12" t="n">
        <v>13800</v>
      </c>
      <c r="F1599" s="12" t="n">
        <v>7500</v>
      </c>
      <c r="G1599" s="12" t="n">
        <v>314</v>
      </c>
      <c r="H1599" s="12" t="inlineStr">
        <is>
          <t>MOD-LV 480 V board + 480 V : 13.8 kV step-up</t>
        </is>
      </c>
      <c r="I1599" s="12" t="inlineStr">
        <is>
          <t>MV 15 kV</t>
        </is>
      </c>
      <c r="J1599" s="12" t="inlineStr">
        <is>
          <t>500 kcmil</t>
        </is>
      </c>
      <c r="K1599" s="12" t="n">
        <v>1</v>
      </c>
    </row>
    <row r="1600">
      <c r="A1600" s="12" t="inlineStr">
        <is>
          <t>PAD-EH 13.8 kV switchgear e-house</t>
        </is>
      </c>
      <c r="B1600" s="12" t="inlineStr">
        <is>
          <t>PAD-EH</t>
        </is>
      </c>
      <c r="C1600" s="12" t="inlineStr">
        <is>
          <t>I</t>
        </is>
      </c>
      <c r="D1600" s="12" t="inlineStr">
        <is>
          <t>CONT-3 13.8 kV to PAD-EH (extension section, ground tray)</t>
        </is>
      </c>
      <c r="E1600" s="12" t="n">
        <v>13800</v>
      </c>
      <c r="F1600" s="12" t="n">
        <v>2000</v>
      </c>
      <c r="G1600" s="12" t="n">
        <v>93</v>
      </c>
      <c r="H1600" s="12" t="inlineStr">
        <is>
          <t>CONT-3: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CONT-4 13.8 kV to PAD-EH (extension section, ground tray)</t>
        </is>
      </c>
      <c r="E1601" s="12" t="n">
        <v>13800</v>
      </c>
      <c r="F1601" s="12" t="n">
        <v>2000</v>
      </c>
      <c r="G1601" s="12" t="n">
        <v>93</v>
      </c>
      <c r="H1601" s="12" t="inlineStr">
        <is>
          <t>CONT-4: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CONT-5 13.8 kV to PAD-EH (extension section, ground tray)</t>
        </is>
      </c>
      <c r="E1602" s="12" t="n">
        <v>13800</v>
      </c>
      <c r="F1602" s="12" t="n">
        <v>2000</v>
      </c>
      <c r="G1602" s="12" t="n">
        <v>93</v>
      </c>
      <c r="H1602" s="12" t="inlineStr">
        <is>
          <t>CONT-5: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CONT-6 13.8 kV to PAD-EH (extension section, ground tray)</t>
        </is>
      </c>
      <c r="E1603" s="12" t="n">
        <v>13800</v>
      </c>
      <c r="F1603" s="12" t="n">
        <v>2000</v>
      </c>
      <c r="G1603" s="12" t="n">
        <v>93</v>
      </c>
      <c r="H1603" s="12" t="inlineStr">
        <is>
          <t>CONT-6: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CONT-7 13.8 kV to PAD-EH (extension section, ground tray)</t>
        </is>
      </c>
      <c r="E1604" s="12" t="n">
        <v>13800</v>
      </c>
      <c r="F1604" s="12" t="n">
        <v>2000</v>
      </c>
      <c r="G1604" s="12" t="n">
        <v>93</v>
      </c>
      <c r="H1604" s="12" t="inlineStr">
        <is>
          <t>CONT-7: containerized gas genset 13.8 kV (40 ft)</t>
        </is>
      </c>
      <c r="I1604" s="12" t="inlineStr">
        <is>
          <t>MV 15 kV</t>
        </is>
      </c>
      <c r="J1604" s="12" t="inlineStr">
        <is>
          <t>2</t>
        </is>
      </c>
      <c r="K1604" s="12" t="n">
        <v>1</v>
      </c>
    </row>
    <row r="1605">
      <c r="A1605" s="12" t="inlineStr">
        <is>
          <t>PAD-EH 13.8 kV switchgear e-house</t>
        </is>
      </c>
      <c r="B1605" s="12" t="inlineStr">
        <is>
          <t>PAD-EH</t>
        </is>
      </c>
      <c r="C1605" s="12" t="inlineStr">
        <is>
          <t>I</t>
        </is>
      </c>
      <c r="D1605" s="12" t="inlineStr">
        <is>
          <t>CONT-8 13.8 kV to PAD-EH (extension section, ground tray)</t>
        </is>
      </c>
      <c r="E1605" s="12" t="n">
        <v>13800</v>
      </c>
      <c r="F1605" s="12" t="n">
        <v>2000</v>
      </c>
      <c r="G1605" s="12" t="n">
        <v>93</v>
      </c>
      <c r="H1605" s="12" t="inlineStr">
        <is>
          <t>CONT-8: containerized gas genset 13.8 kV (40 ft)</t>
        </is>
      </c>
      <c r="I1605" s="12" t="inlineStr">
        <is>
          <t>MV 15 kV</t>
        </is>
      </c>
      <c r="J1605" s="12" t="inlineStr">
        <is>
          <t>2</t>
        </is>
      </c>
      <c r="K1605" s="12" t="n">
        <v>1</v>
      </c>
    </row>
    <row r="1606">
      <c r="A1606" s="12" t="inlineStr">
        <is>
          <t>PAD-EH 13.8 kV switchgear e-house</t>
        </is>
      </c>
      <c r="B1606" s="12" t="inlineStr">
        <is>
          <t>PAD-EH</t>
        </is>
      </c>
      <c r="C1606" s="12" t="inlineStr">
        <is>
          <t>I</t>
        </is>
      </c>
      <c r="D1606" s="12" t="inlineStr">
        <is>
          <t>TM-1 (TM2500) generator leads to PAD-EH</t>
        </is>
      </c>
      <c r="E1606" s="12" t="n">
        <v>13800</v>
      </c>
      <c r="F1606" s="12" t="n">
        <v>35000</v>
      </c>
      <c r="G1606" s="12" t="n">
        <v>1464</v>
      </c>
      <c r="H1606" s="12" t="inlineStr">
        <is>
          <t>TM-1: trailer-mounted aeroderivative GT (TM2500 class, ~35 M</t>
        </is>
      </c>
      <c r="I1606" s="12" t="inlineStr">
        <is>
          <t>MV 15 kV</t>
        </is>
      </c>
      <c r="J1606" s="12" t="inlineStr">
        <is>
          <t>1000 kcmil</t>
        </is>
      </c>
      <c r="K1606" s="12" t="n">
        <v>3</v>
      </c>
    </row>
    <row r="1607">
      <c r="A1607" s="12" t="inlineStr">
        <is>
          <t>PAD-EH 13.8 kV switchgear e-house</t>
        </is>
      </c>
      <c r="B1607" s="12" t="inlineStr">
        <is>
          <t>PAD-EH</t>
        </is>
      </c>
      <c r="C1607" s="12" t="inlineStr">
        <is>
          <t>I</t>
        </is>
      </c>
      <c r="D1607" s="12" t="inlineStr">
        <is>
          <t>TM-2 (TM2500) generator leads to PAD-EH</t>
        </is>
      </c>
      <c r="E1607" s="12" t="n">
        <v>13800</v>
      </c>
      <c r="F1607" s="12" t="n">
        <v>35000</v>
      </c>
      <c r="G1607" s="12" t="n">
        <v>1464</v>
      </c>
      <c r="H1607" s="12" t="inlineStr">
        <is>
          <t>TM-2: trailer-mounted aeroderivative GT (TM2500 class, ~35 M</t>
        </is>
      </c>
      <c r="I1607" s="12" t="inlineStr">
        <is>
          <t>MV 15 kV</t>
        </is>
      </c>
      <c r="J1607" s="12" t="inlineStr">
        <is>
          <t>1000 kcmil</t>
        </is>
      </c>
      <c r="K1607" s="12" t="n">
        <v>3</v>
      </c>
    </row>
    <row r="1608">
      <c r="A1608" s="12" t="inlineStr">
        <is>
          <t>PCM: power control module</t>
        </is>
      </c>
      <c r="B1608" s="12" t="inlineStr"/>
      <c r="C1608" s="12" t="inlineStr">
        <is>
          <t>I</t>
        </is>
      </c>
      <c r="D1608" s="12" t="inlineStr">
        <is>
          <t>RICE-1 generator leads to the PCM</t>
        </is>
      </c>
      <c r="E1608" s="12" t="n">
        <v>13800</v>
      </c>
      <c r="F1608" s="12" t="n">
        <v>18400</v>
      </c>
      <c r="G1608" s="12" t="n">
        <v>770</v>
      </c>
      <c r="H1608" s="12" t="inlineStr">
        <is>
          <t>RICE engine-generator 1</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RICE-2 generator leads to the PCM</t>
        </is>
      </c>
      <c r="E1609" s="12" t="n">
        <v>13800</v>
      </c>
      <c r="F1609" s="12" t="n">
        <v>18400</v>
      </c>
      <c r="G1609" s="12" t="n">
        <v>770</v>
      </c>
      <c r="H1609" s="12" t="inlineStr">
        <is>
          <t>RICE engine-generator 2</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RICE-3 generator leads to the PCM</t>
        </is>
      </c>
      <c r="E1610" s="12" t="n">
        <v>13800</v>
      </c>
      <c r="F1610" s="12" t="n">
        <v>18400</v>
      </c>
      <c r="G1610" s="12" t="n">
        <v>770</v>
      </c>
      <c r="H1610" s="12" t="inlineStr">
        <is>
          <t>RICE engine-generator 3</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RICE-4 generator leads to the PCM</t>
        </is>
      </c>
      <c r="E1611" s="12" t="n">
        <v>13800</v>
      </c>
      <c r="F1611" s="12" t="n">
        <v>18400</v>
      </c>
      <c r="G1611" s="12" t="n">
        <v>770</v>
      </c>
      <c r="H1611" s="12" t="inlineStr">
        <is>
          <t>RICE engine-generator 4</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RICE-5 generator leads to the PCM</t>
        </is>
      </c>
      <c r="E1612" s="12" t="n">
        <v>13800</v>
      </c>
      <c r="F1612" s="12" t="n">
        <v>18400</v>
      </c>
      <c r="G1612" s="12" t="n">
        <v>770</v>
      </c>
      <c r="H1612" s="12" t="inlineStr">
        <is>
          <t>RICE engine-generator 5</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RICE-6 generator leads to the PCM</t>
        </is>
      </c>
      <c r="E1613" s="12" t="n">
        <v>13800</v>
      </c>
      <c r="F1613" s="12" t="n">
        <v>18400</v>
      </c>
      <c r="G1613" s="12" t="n">
        <v>770</v>
      </c>
      <c r="H1613" s="12" t="inlineStr">
        <is>
          <t>RICE engine-generator 6</t>
        </is>
      </c>
      <c r="I1613" s="12" t="inlineStr">
        <is>
          <t>MV 15 kV</t>
        </is>
      </c>
      <c r="J1613" s="12" t="inlineStr">
        <is>
          <t>750 kcmil</t>
        </is>
      </c>
      <c r="K1613" s="12" t="n">
        <v>2</v>
      </c>
    </row>
    <row r="1614">
      <c r="A1614" s="12" t="inlineStr">
        <is>
          <t>PCM: power control module</t>
        </is>
      </c>
      <c r="B1614" s="12" t="inlineStr"/>
      <c r="C1614" s="12" t="inlineStr">
        <is>
          <t>I</t>
        </is>
      </c>
      <c r="D1614" s="12" t="inlineStr">
        <is>
          <t>RICE-7 generator leads to the PCM</t>
        </is>
      </c>
      <c r="E1614" s="12" t="n">
        <v>13800</v>
      </c>
      <c r="F1614" s="12" t="n">
        <v>18400</v>
      </c>
      <c r="G1614" s="12" t="n">
        <v>770</v>
      </c>
      <c r="H1614" s="12" t="inlineStr">
        <is>
          <t>RICE engine-generator 7</t>
        </is>
      </c>
      <c r="I1614" s="12" t="inlineStr">
        <is>
          <t>MV 15 kV</t>
        </is>
      </c>
      <c r="J1614" s="12" t="inlineStr">
        <is>
          <t>750 kcmil</t>
        </is>
      </c>
      <c r="K1614" s="12" t="n">
        <v>2</v>
      </c>
    </row>
    <row r="1615">
      <c r="A1615" s="12" t="inlineStr">
        <is>
          <t>PCM: power control module</t>
        </is>
      </c>
      <c r="B1615" s="12" t="inlineStr"/>
      <c r="C1615" s="12" t="inlineStr">
        <is>
          <t>I</t>
        </is>
      </c>
      <c r="D1615" s="12" t="inlineStr">
        <is>
          <t>RICE-8 generator leads to the PCM</t>
        </is>
      </c>
      <c r="E1615" s="12" t="n">
        <v>13800</v>
      </c>
      <c r="F1615" s="12" t="n">
        <v>18400</v>
      </c>
      <c r="G1615" s="12" t="n">
        <v>770</v>
      </c>
      <c r="H1615" s="12" t="inlineStr">
        <is>
          <t>RICE engine-generator 8</t>
        </is>
      </c>
      <c r="I1615" s="12" t="inlineStr">
        <is>
          <t>MV 15 kV</t>
        </is>
      </c>
      <c r="J1615" s="12" t="inlineStr">
        <is>
          <t>750 kcmil</t>
        </is>
      </c>
      <c r="K1615" s="12" t="n">
        <v>2</v>
      </c>
    </row>
    <row r="1616">
      <c r="A1616" s="12" t="inlineStr">
        <is>
          <t>SC-1 PCM + 15 kV GCB</t>
        </is>
      </c>
      <c r="B1616" s="12" t="inlineStr"/>
      <c r="C1616" s="12" t="inlineStr">
        <is>
          <t>I</t>
        </is>
      </c>
      <c r="D1616" s="12" t="inlineStr">
        <is>
          <t>SC-1 (LM6000 class) generator leads to its PCM / GCB</t>
        </is>
      </c>
      <c r="E1616" s="12" t="n">
        <v>13800</v>
      </c>
      <c r="F1616" s="12" t="n">
        <v>50000</v>
      </c>
      <c r="G1616" s="12" t="n">
        <v>2092</v>
      </c>
      <c r="H1616" s="12" t="inlineStr">
        <is>
          <t>SC-1: aeroderivative simple-cycle unit (LM6000 class)</t>
        </is>
      </c>
      <c r="I1616" s="12" t="inlineStr">
        <is>
          <t>MV 15 kV</t>
        </is>
      </c>
      <c r="J1616" s="12" t="inlineStr">
        <is>
          <t>750 kcmil</t>
        </is>
      </c>
      <c r="K1616" s="12" t="n">
        <v>5</v>
      </c>
    </row>
    <row r="1617">
      <c r="A1617" s="12" t="inlineStr">
        <is>
          <t>SC-1 PCM + 15 kV GCB</t>
        </is>
      </c>
      <c r="B1617" s="12" t="inlineStr"/>
      <c r="C1617" s="12" t="inlineStr">
        <is>
          <t>I</t>
        </is>
      </c>
      <c r="D1617" s="12" t="inlineStr">
        <is>
          <t>SC-1 PCM auxiliary transformer primary, 2 MVA 13.8 kV / 480 V (from the GCB bus)</t>
        </is>
      </c>
      <c r="E1617" s="12" t="n">
        <v>13800</v>
      </c>
      <c r="F1617" s="12" t="n">
        <v>2000</v>
      </c>
      <c r="G1617" s="12" t="n">
        <v>84</v>
      </c>
      <c r="H1617" s="12" t="inlineStr">
        <is>
          <t>SC-1 PCM + 15 kV GCB</t>
        </is>
      </c>
      <c r="I1617" s="12" t="inlineStr">
        <is>
          <t>MV 15 kV</t>
        </is>
      </c>
      <c r="J1617" s="12" t="inlineStr">
        <is>
          <t>2</t>
        </is>
      </c>
      <c r="K1617" s="12" t="n">
        <v>1</v>
      </c>
    </row>
    <row r="1618">
      <c r="A1618" s="12" t="inlineStr">
        <is>
          <t>SC-2 PCM + 15 kV GCB</t>
        </is>
      </c>
      <c r="B1618" s="12" t="inlineStr"/>
      <c r="C1618" s="12" t="inlineStr">
        <is>
          <t>I</t>
        </is>
      </c>
      <c r="D1618" s="12" t="inlineStr">
        <is>
          <t>SC-2 (LM6000 class) generator leads to its PCM / GCB</t>
        </is>
      </c>
      <c r="E1618" s="12" t="n">
        <v>13800</v>
      </c>
      <c r="F1618" s="12" t="n">
        <v>50000</v>
      </c>
      <c r="G1618" s="12" t="n">
        <v>2092</v>
      </c>
      <c r="H1618" s="12" t="inlineStr">
        <is>
          <t>SC-2: aeroderivative simple-cycle unit (LM6000 class)</t>
        </is>
      </c>
      <c r="I1618" s="12" t="inlineStr">
        <is>
          <t>MV 15 kV</t>
        </is>
      </c>
      <c r="J1618" s="12" t="inlineStr">
        <is>
          <t>750 kcmil</t>
        </is>
      </c>
      <c r="K1618" s="12" t="n">
        <v>5</v>
      </c>
    </row>
    <row r="1619">
      <c r="A1619" s="12" t="inlineStr">
        <is>
          <t>SC-2 PCM + 15 kV GCB</t>
        </is>
      </c>
      <c r="B1619" s="12" t="inlineStr"/>
      <c r="C1619" s="12" t="inlineStr">
        <is>
          <t>I</t>
        </is>
      </c>
      <c r="D1619" s="12" t="inlineStr">
        <is>
          <t>SC-2 PCM auxiliary transformer primary, 2 MVA 13.8 kV / 480 V (from the GCB bus)</t>
        </is>
      </c>
      <c r="E1619" s="12" t="n">
        <v>13800</v>
      </c>
      <c r="F1619" s="12" t="n">
        <v>2000</v>
      </c>
      <c r="G1619" s="12" t="n">
        <v>84</v>
      </c>
      <c r="H1619" s="12" t="inlineStr">
        <is>
          <t>SC-2 PCM + 15 kV GCB</t>
        </is>
      </c>
      <c r="I1619" s="12" t="inlineStr">
        <is>
          <t>MV 15 kV</t>
        </is>
      </c>
      <c r="J1619" s="12" t="inlineStr">
        <is>
          <t>2</t>
        </is>
      </c>
      <c r="K1619" s="12" t="n">
        <v>1</v>
      </c>
    </row>
    <row r="1620">
      <c r="A1620" s="12" t="inlineStr">
        <is>
          <t>PAD-LV 480 V paralleling switchboard</t>
        </is>
      </c>
      <c r="B1620" s="12" t="inlineStr">
        <is>
          <t>PAD-LV</t>
        </is>
      </c>
      <c r="C1620" s="12" t="inlineStr">
        <is>
          <t>I</t>
        </is>
      </c>
      <c r="D1620" s="12" t="inlineStr">
        <is>
          <t>GEN-E 480 V to PAD-LV (Type W sets, cam-lock)</t>
        </is>
      </c>
      <c r="E1620" s="12" t="n">
        <v>480</v>
      </c>
      <c r="F1620" s="12" t="n">
        <v>2000</v>
      </c>
      <c r="G1620" s="12" t="n">
        <v>2406</v>
      </c>
      <c r="H1620" s="12" t="inlineStr">
        <is>
          <t>GEN-E: enclosed industrial gas genset 2 MW</t>
        </is>
      </c>
      <c r="I1620" s="12" t="inlineStr">
        <is>
          <t>Portable LV</t>
        </is>
      </c>
      <c r="J1620" s="12" t="inlineStr">
        <is>
          <t>4/0</t>
        </is>
      </c>
      <c r="K1620" s="12" t="n">
        <v>8</v>
      </c>
    </row>
    <row r="1621">
      <c r="A1621" s="12" t="inlineStr">
        <is>
          <t>PAD-LV 480 V paralleling switchboard</t>
        </is>
      </c>
      <c r="B1621" s="12" t="inlineStr">
        <is>
          <t>PAD-LV</t>
        </is>
      </c>
      <c r="C1621" s="12" t="inlineStr">
        <is>
          <t>I</t>
        </is>
      </c>
      <c r="D1621" s="12" t="inlineStr">
        <is>
          <t>GEN-O 480 V to PAD-LV (Type W sets, cam-lock)</t>
        </is>
      </c>
      <c r="E1621" s="12" t="n">
        <v>480</v>
      </c>
      <c r="F1621" s="12" t="n">
        <v>1000</v>
      </c>
      <c r="G1621" s="12" t="n">
        <v>1203</v>
      </c>
      <c r="H1621" s="12" t="inlineStr">
        <is>
          <t>GEN-O: open engine-generator skid</t>
        </is>
      </c>
      <c r="I1621" s="12" t="inlineStr">
        <is>
          <t>Portable LV</t>
        </is>
      </c>
      <c r="J1621" s="12" t="inlineStr">
        <is>
          <t>4/0</t>
        </is>
      </c>
      <c r="K1621" s="12" t="n">
        <v>4</v>
      </c>
    </row>
    <row r="1622">
      <c r="A1622" s="12" t="inlineStr">
        <is>
          <t>GSP-1: generator breaker / protection</t>
        </is>
      </c>
      <c r="B1622" s="12" t="inlineStr">
        <is>
          <t>GSP-1</t>
        </is>
      </c>
      <c r="C1622" s="12" t="inlineStr">
        <is>
          <t>I</t>
        </is>
      </c>
      <c r="D1622" s="12" t="inlineStr">
        <is>
          <t>CONT-1 13.8 kV leads to GSP-1</t>
        </is>
      </c>
      <c r="E1622" s="12" t="n">
        <v>13800</v>
      </c>
      <c r="F1622" s="12" t="n">
        <v>2000</v>
      </c>
      <c r="G1622" s="12" t="n">
        <v>93</v>
      </c>
      <c r="H1622" s="12" t="inlineStr">
        <is>
          <t>CONT-1: containerized genset 13.8 kV (40 ft)</t>
        </is>
      </c>
      <c r="I1622" s="12" t="inlineStr">
        <is>
          <t>Portable MV</t>
        </is>
      </c>
      <c r="J1622" s="12" t="inlineStr">
        <is>
          <t>2</t>
        </is>
      </c>
      <c r="K1622" s="12" t="n">
        <v>1</v>
      </c>
    </row>
    <row r="1623">
      <c r="A1623" s="12" t="inlineStr">
        <is>
          <t>GSP-2: generator breaker / protection</t>
        </is>
      </c>
      <c r="B1623" s="12" t="inlineStr">
        <is>
          <t>GSP-2</t>
        </is>
      </c>
      <c r="C1623" s="12" t="inlineStr">
        <is>
          <t>I</t>
        </is>
      </c>
      <c r="D1623" s="12" t="inlineStr">
        <is>
          <t>CONT-2 13.8 kV leads to GSP-2</t>
        </is>
      </c>
      <c r="E1623" s="12" t="n">
        <v>13800</v>
      </c>
      <c r="F1623" s="12" t="n">
        <v>2000</v>
      </c>
      <c r="G1623" s="12" t="n">
        <v>93</v>
      </c>
      <c r="H1623" s="12" t="inlineStr">
        <is>
          <t>CONT-2: containerized genset 13.8 kV (40 ft)</t>
        </is>
      </c>
      <c r="I1623" s="12" t="inlineStr">
        <is>
          <t>Portable MV</t>
        </is>
      </c>
      <c r="J1623" s="12" t="inlineStr">
        <is>
          <t>2</t>
        </is>
      </c>
      <c r="K1623" s="12" t="n">
        <v>1</v>
      </c>
    </row>
    <row r="1624">
      <c r="A1624" s="12" t="inlineStr">
        <is>
          <t>LB: commissioning load bank (trailer)</t>
        </is>
      </c>
      <c r="B1624" s="12" t="inlineStr">
        <is>
          <t>LB</t>
        </is>
      </c>
      <c r="C1624" s="12" t="inlineStr">
        <is>
          <t>I</t>
        </is>
      </c>
      <c r="D1624" s="12" t="inlineStr">
        <is>
          <t>PIC to commissioning load bank</t>
        </is>
      </c>
      <c r="E1624" s="12" t="n">
        <v>13800</v>
      </c>
      <c r="F1624" s="12" t="n">
        <v>2000</v>
      </c>
      <c r="G1624" s="12" t="n">
        <v>93</v>
      </c>
      <c r="H1624" s="12" t="inlineStr">
        <is>
          <t>PIC: portable input cabinet</t>
        </is>
      </c>
      <c r="I1624" s="12" t="inlineStr">
        <is>
          <t>Portable MV</t>
        </is>
      </c>
      <c r="J1624" s="12" t="inlineStr">
        <is>
          <t>2</t>
        </is>
      </c>
      <c r="K1624" s="12" t="n">
        <v>1</v>
      </c>
    </row>
    <row r="1625">
      <c r="A1625" s="12" t="inlineStr">
        <is>
          <t>PAD-EH 13.8 kV switchgear e-house</t>
        </is>
      </c>
      <c r="B1625" s="12" t="inlineStr">
        <is>
          <t>PAD-EH</t>
        </is>
      </c>
      <c r="C1625" s="12" t="inlineStr">
        <is>
          <t>I</t>
        </is>
      </c>
      <c r="D1625" s="12" t="inlineStr">
        <is>
          <t>GSP-1 to PAD-EH</t>
        </is>
      </c>
      <c r="E1625" s="12" t="n">
        <v>13800</v>
      </c>
      <c r="F1625" s="12" t="n">
        <v>2000</v>
      </c>
      <c r="G1625" s="12" t="n">
        <v>93</v>
      </c>
      <c r="H1625" s="12" t="inlineStr">
        <is>
          <t>GSP-1: generator breaker / protection</t>
        </is>
      </c>
      <c r="I1625" s="12" t="inlineStr">
        <is>
          <t>Portable MV</t>
        </is>
      </c>
      <c r="J1625" s="12" t="inlineStr">
        <is>
          <t>2</t>
        </is>
      </c>
      <c r="K1625" s="12" t="n">
        <v>1</v>
      </c>
    </row>
    <row r="1626">
      <c r="A1626" s="12" t="inlineStr">
        <is>
          <t>PAD-EH 13.8 kV switchgear e-house</t>
        </is>
      </c>
      <c r="B1626" s="12" t="inlineStr">
        <is>
          <t>PAD-EH</t>
        </is>
      </c>
      <c r="C1626" s="12" t="inlineStr">
        <is>
          <t>I</t>
        </is>
      </c>
      <c r="D1626" s="12" t="inlineStr">
        <is>
          <t>GSP-2 to PAD-EH</t>
        </is>
      </c>
      <c r="E1626" s="12" t="n">
        <v>13800</v>
      </c>
      <c r="F1626" s="12" t="n">
        <v>2000</v>
      </c>
      <c r="G1626" s="12" t="n">
        <v>93</v>
      </c>
      <c r="H1626" s="12" t="inlineStr">
        <is>
          <t>GSP-2: generator breaker / protection</t>
        </is>
      </c>
      <c r="I1626" s="12" t="inlineStr">
        <is>
          <t>Portable MV</t>
        </is>
      </c>
      <c r="J1626" s="12" t="inlineStr">
        <is>
          <t>2</t>
        </is>
      </c>
      <c r="K1626" s="12" t="n">
        <v>1</v>
      </c>
    </row>
    <row r="1627">
      <c r="A1627" s="12" t="inlineStr">
        <is>
          <t>PIC: portable input cabinet</t>
        </is>
      </c>
      <c r="B1627" s="12" t="inlineStr">
        <is>
          <t>PIC</t>
        </is>
      </c>
      <c r="C1627" s="12" t="inlineStr">
        <is>
          <t>I</t>
        </is>
      </c>
      <c r="D1627" s="12" t="inlineStr">
        <is>
          <t>MOB-1 13.8 kV to PIC through the C-L01 ramp</t>
        </is>
      </c>
      <c r="E1627" s="12" t="n">
        <v>13800</v>
      </c>
      <c r="F1627" s="12" t="n">
        <v>2000</v>
      </c>
      <c r="G1627" s="12" t="n">
        <v>93</v>
      </c>
      <c r="H1627" s="12" t="inlineStr">
        <is>
          <t>MOB-1: trailer genset</t>
        </is>
      </c>
      <c r="I1627" s="12" t="inlineStr">
        <is>
          <t>Portable MV</t>
        </is>
      </c>
      <c r="J1627" s="12" t="inlineStr">
        <is>
          <t>2</t>
        </is>
      </c>
      <c r="K1627" s="12" t="n">
        <v>1</v>
      </c>
    </row>
    <row r="1628">
      <c r="A1628" s="12" t="inlineStr">
        <is>
          <t>CHW pumps</t>
        </is>
      </c>
      <c r="B1628" s="12" t="inlineStr"/>
      <c r="C1628" s="12" t="inlineStr">
        <is>
          <t>J</t>
        </is>
      </c>
      <c r="D1628" s="12" t="inlineStr">
        <is>
          <t>Motor 1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2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CHW pumps</t>
        </is>
      </c>
      <c r="B1630" s="12" t="inlineStr"/>
      <c r="C1630" s="12" t="inlineStr">
        <is>
          <t>J</t>
        </is>
      </c>
      <c r="D1630" s="12" t="inlineStr">
        <is>
          <t>Motor 3 of 4, 150 kW</t>
        </is>
      </c>
      <c r="E1630" s="12" t="n">
        <v>480</v>
      </c>
      <c r="F1630" s="12" t="n">
        <v>150</v>
      </c>
      <c r="G1630" s="12" t="n">
        <v>212.3</v>
      </c>
      <c r="H1630" s="12" t="inlineStr">
        <is>
          <t>Inlet-chilling e-house / transformer</t>
        </is>
      </c>
      <c r="I1630" s="12" t="inlineStr">
        <is>
          <t>LV 600 V</t>
        </is>
      </c>
      <c r="J1630" s="12" t="inlineStr">
        <is>
          <t>350 kcmil</t>
        </is>
      </c>
      <c r="K1630" s="12" t="n">
        <v>1</v>
      </c>
    </row>
    <row r="1631">
      <c r="A1631" s="12" t="inlineStr">
        <is>
          <t>CHW pumps</t>
        </is>
      </c>
      <c r="B1631" s="12" t="inlineStr"/>
      <c r="C1631" s="12" t="inlineStr">
        <is>
          <t>J</t>
        </is>
      </c>
      <c r="D1631" s="12" t="inlineStr">
        <is>
          <t>Motor 4 of 4, 150 kW</t>
        </is>
      </c>
      <c r="E1631" s="12" t="n">
        <v>480</v>
      </c>
      <c r="F1631" s="12" t="n">
        <v>150</v>
      </c>
      <c r="G1631" s="12" t="n">
        <v>212.3</v>
      </c>
      <c r="H1631" s="12" t="inlineStr">
        <is>
          <t>Inlet-chilling e-house / transformer</t>
        </is>
      </c>
      <c r="I1631" s="12" t="inlineStr">
        <is>
          <t>LV 600 V</t>
        </is>
      </c>
      <c r="J1631" s="12" t="inlineStr">
        <is>
          <t>350 kcmil</t>
        </is>
      </c>
      <c r="K1631" s="12" t="n">
        <v>1</v>
      </c>
    </row>
    <row r="1632">
      <c r="A1632" s="12" t="inlineStr">
        <is>
          <t>CONDITIONAL: TES chilled-water tank</t>
        </is>
      </c>
      <c r="B1632" s="12" t="inlineStr"/>
      <c r="C1632" s="12" t="inlineStr">
        <is>
          <t>J</t>
        </is>
      </c>
      <c r="D1632" s="12" t="inlineStr">
        <is>
          <t>LV power feeder</t>
        </is>
      </c>
      <c r="E1632" s="12" t="n">
        <v>480</v>
      </c>
      <c r="F1632" s="12" t="n">
        <v>10</v>
      </c>
      <c r="G1632" s="12" t="n">
        <v>14.2</v>
      </c>
      <c r="H1632" s="12" t="inlineStr">
        <is>
          <t>Inlet-chilling e-house / transformer</t>
        </is>
      </c>
      <c r="I1632" s="12" t="inlineStr">
        <is>
          <t>LV 600 V</t>
        </is>
      </c>
      <c r="J1632" s="12" t="inlineStr">
        <is>
          <t>8</t>
        </is>
      </c>
      <c r="K1632" s="12" t="n">
        <v>1</v>
      </c>
    </row>
    <row r="1633">
      <c r="A1633" s="12" t="inlineStr">
        <is>
          <t>Chillers x6 (water-cooled)</t>
        </is>
      </c>
      <c r="B1633" s="12" t="inlineStr"/>
      <c r="C1633" s="12" t="inlineStr">
        <is>
          <t>J</t>
        </is>
      </c>
      <c r="D1633" s="12" t="inlineStr">
        <is>
          <t>Motor 1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2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3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4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Chillers x6 (water-cooled)</t>
        </is>
      </c>
      <c r="B1637" s="12" t="inlineStr"/>
      <c r="C1637" s="12" t="inlineStr">
        <is>
          <t>J</t>
        </is>
      </c>
      <c r="D1637" s="12" t="inlineStr">
        <is>
          <t>Motor 5 of 6, 7 kW</t>
        </is>
      </c>
      <c r="E1637" s="12" t="n">
        <v>480</v>
      </c>
      <c r="F1637" s="12" t="n">
        <v>7</v>
      </c>
      <c r="G1637" s="12" t="n">
        <v>9.9</v>
      </c>
      <c r="H1637" s="12" t="inlineStr">
        <is>
          <t>Inlet-chilling e-house / transformer</t>
        </is>
      </c>
      <c r="I1637" s="12" t="inlineStr">
        <is>
          <t>LV 600 V</t>
        </is>
      </c>
      <c r="J1637" s="12" t="inlineStr">
        <is>
          <t>10</t>
        </is>
      </c>
      <c r="K1637" s="12" t="n">
        <v>1</v>
      </c>
    </row>
    <row r="1638">
      <c r="A1638" s="12" t="inlineStr">
        <is>
          <t>Chillers x6 (water-cooled)</t>
        </is>
      </c>
      <c r="B1638" s="12" t="inlineStr"/>
      <c r="C1638" s="12" t="inlineStr">
        <is>
          <t>J</t>
        </is>
      </c>
      <c r="D1638" s="12" t="inlineStr">
        <is>
          <t>Motor 6 of 6, 7 kW</t>
        </is>
      </c>
      <c r="E1638" s="12" t="n">
        <v>480</v>
      </c>
      <c r="F1638" s="12" t="n">
        <v>7</v>
      </c>
      <c r="G1638" s="12" t="n">
        <v>9.9</v>
      </c>
      <c r="H1638" s="12" t="inlineStr">
        <is>
          <t>Inlet-chilling e-house / transformer</t>
        </is>
      </c>
      <c r="I1638" s="12" t="inlineStr">
        <is>
          <t>LV 600 V</t>
        </is>
      </c>
      <c r="J1638" s="12" t="inlineStr">
        <is>
          <t>10</t>
        </is>
      </c>
      <c r="K1638" s="12" t="n">
        <v>1</v>
      </c>
    </row>
    <row r="1639">
      <c r="A1639" s="12" t="inlineStr">
        <is>
          <t>Inlet-chilling tower (12 cells): chiller heat rejection</t>
        </is>
      </c>
      <c r="B1639" s="12" t="inlineStr"/>
      <c r="C1639" s="12" t="inlineStr">
        <is>
          <t>J</t>
        </is>
      </c>
      <c r="D1639" s="12" t="inlineStr">
        <is>
          <t>Motor 1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2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3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4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5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6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7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8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9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10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Motor 11 of 12, 75 kW (VFD output)</t>
        </is>
      </c>
      <c r="E1649" s="12" t="n">
        <v>480</v>
      </c>
      <c r="F1649" s="12" t="n">
        <v>75</v>
      </c>
      <c r="G1649" s="12" t="n">
        <v>106</v>
      </c>
      <c r="H1649" s="12" t="inlineStr">
        <is>
          <t>Inlet-chilling e-house / transformer</t>
        </is>
      </c>
      <c r="I1649" s="12" t="inlineStr">
        <is>
          <t>LV 600 V</t>
        </is>
      </c>
      <c r="J1649" s="12" t="inlineStr">
        <is>
          <t>2/0</t>
        </is>
      </c>
      <c r="K1649" s="12" t="n">
        <v>1</v>
      </c>
    </row>
    <row r="1650">
      <c r="A1650" s="12" t="inlineStr">
        <is>
          <t>Inlet-chilling tower (12 cells): chiller heat rejection</t>
        </is>
      </c>
      <c r="B1650" s="12" t="inlineStr"/>
      <c r="C1650" s="12" t="inlineStr">
        <is>
          <t>J</t>
        </is>
      </c>
      <c r="D1650" s="12" t="inlineStr">
        <is>
          <t>Motor 12 of 12, 75 kW (VFD output)</t>
        </is>
      </c>
      <c r="E1650" s="12" t="n">
        <v>480</v>
      </c>
      <c r="F1650" s="12" t="n">
        <v>75</v>
      </c>
      <c r="G1650" s="12" t="n">
        <v>106</v>
      </c>
      <c r="H1650" s="12" t="inlineStr">
        <is>
          <t>Inlet-chilling e-house / transformer</t>
        </is>
      </c>
      <c r="I1650" s="12" t="inlineStr">
        <is>
          <t>LV 600 V</t>
        </is>
      </c>
      <c r="J1650" s="12" t="inlineStr">
        <is>
          <t>2/0</t>
        </is>
      </c>
      <c r="K1650" s="12" t="n">
        <v>1</v>
      </c>
    </row>
    <row r="1651">
      <c r="A1651" s="12" t="inlineStr">
        <is>
          <t>Inlet-chilling tower (12 cells): chiller heat rejection</t>
        </is>
      </c>
      <c r="B1651" s="12" t="inlineStr"/>
      <c r="C1651" s="12" t="inlineStr">
        <is>
          <t>J</t>
        </is>
      </c>
      <c r="D1651" s="12" t="inlineStr">
        <is>
          <t>Area / platform lighting circuit 1 (12 fixtures)</t>
        </is>
      </c>
      <c r="E1651" s="12" t="n">
        <v>480</v>
      </c>
      <c r="F1651" s="12" t="n">
        <v>3</v>
      </c>
      <c r="G1651" s="12" t="n">
        <v>5</v>
      </c>
      <c r="H1651" s="12" t="inlineStr">
        <is>
          <t>Inlet-chilling e-house / transformer</t>
        </is>
      </c>
      <c r="I1651" s="12" t="inlineStr">
        <is>
          <t>LV 600 V</t>
        </is>
      </c>
      <c r="J1651" s="12" t="inlineStr">
        <is>
          <t>10</t>
        </is>
      </c>
      <c r="K1651" s="12" t="n">
        <v>1</v>
      </c>
    </row>
    <row r="1652">
      <c r="A1652" s="12" t="inlineStr">
        <is>
          <t>Inlet-chilling e-house / transformer</t>
        </is>
      </c>
      <c r="B1652" s="12" t="inlineStr"/>
      <c r="C1652" s="12" t="inlineStr">
        <is>
          <t>J</t>
        </is>
      </c>
      <c r="D1652" s="12" t="inlineStr">
        <is>
          <t>Inlet-chilling e-house / transformer</t>
        </is>
      </c>
      <c r="E1652" s="12" t="n">
        <v>13800</v>
      </c>
      <c r="F1652" s="12" t="n">
        <v>12000</v>
      </c>
      <c r="G1652" s="12" t="n">
        <v>502</v>
      </c>
      <c r="H1652" s="12" t="inlineStr">
        <is>
          <t>R1 SWGR-13.8-1 (11 x 36 in cubicles, 15 kV metal-clad)</t>
        </is>
      </c>
      <c r="I1652" s="12" t="inlineStr">
        <is>
          <t>MV 15 kV</t>
        </is>
      </c>
      <c r="J1652" s="12" t="inlineStr">
        <is>
          <t>1000 kcmil</t>
        </is>
      </c>
      <c r="K1652" s="12" t="n">
        <v>1</v>
      </c>
    </row>
    <row r="1653">
      <c r="A1653" s="12" t="inlineStr">
        <is>
          <t>CW pumps (inlet chilling)</t>
        </is>
      </c>
      <c r="B1653" s="12" t="inlineStr"/>
      <c r="C1653" s="12" t="inlineStr">
        <is>
          <t>J</t>
        </is>
      </c>
      <c r="D1653" s="12" t="inlineStr">
        <is>
          <t>Inlet-chilling CW pump 1</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2</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CW pumps (inlet chilling)</t>
        </is>
      </c>
      <c r="B1655" s="12" t="inlineStr"/>
      <c r="C1655" s="12" t="inlineStr">
        <is>
          <t>J</t>
        </is>
      </c>
      <c r="D1655" s="12" t="inlineStr">
        <is>
          <t>Inlet-chilling CW pump 3</t>
        </is>
      </c>
      <c r="E1655" s="12" t="n">
        <v>4160</v>
      </c>
      <c r="F1655" s="12" t="n">
        <v>450</v>
      </c>
      <c r="G1655" s="12" t="n">
        <v>69</v>
      </c>
      <c r="H1655" s="12" t="inlineStr">
        <is>
          <t>Inlet-chilling e-house / transformer</t>
        </is>
      </c>
      <c r="I1655" s="12" t="inlineStr">
        <is>
          <t>MV 5 kV</t>
        </is>
      </c>
      <c r="J1655" s="12" t="inlineStr">
        <is>
          <t>2</t>
        </is>
      </c>
      <c r="K1655" s="12" t="n">
        <v>1</v>
      </c>
    </row>
    <row r="1656">
      <c r="A1656" s="12" t="inlineStr">
        <is>
          <t>CW pumps (inlet chilling)</t>
        </is>
      </c>
      <c r="B1656" s="12" t="inlineStr"/>
      <c r="C1656" s="12" t="inlineStr">
        <is>
          <t>J</t>
        </is>
      </c>
      <c r="D1656" s="12" t="inlineStr">
        <is>
          <t>Inlet-chilling CW pump 4</t>
        </is>
      </c>
      <c r="E1656" s="12" t="n">
        <v>4160</v>
      </c>
      <c r="F1656" s="12" t="n">
        <v>450</v>
      </c>
      <c r="G1656" s="12" t="n">
        <v>69</v>
      </c>
      <c r="H1656" s="12" t="inlineStr">
        <is>
          <t>Inlet-chilling e-house / transformer</t>
        </is>
      </c>
      <c r="I1656" s="12" t="inlineStr">
        <is>
          <t>MV 5 kV</t>
        </is>
      </c>
      <c r="J1656" s="12" t="inlineStr">
        <is>
          <t>2</t>
        </is>
      </c>
      <c r="K1656" s="12" t="n">
        <v>1</v>
      </c>
    </row>
    <row r="1657">
      <c r="A1657" s="12" t="inlineStr">
        <is>
          <t>Chillers x6 (water-cooled)</t>
        </is>
      </c>
      <c r="B1657" s="12" t="inlineStr"/>
      <c r="C1657" s="12" t="inlineStr">
        <is>
          <t>J</t>
        </is>
      </c>
      <c r="D1657" s="12" t="inlineStr">
        <is>
          <t>Water-cooled chiller CH-1</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CH-2</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CH-3</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CH-4</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Chillers x6 (water-cooled)</t>
        </is>
      </c>
      <c r="B1661" s="12" t="inlineStr"/>
      <c r="C1661" s="12" t="inlineStr">
        <is>
          <t>J</t>
        </is>
      </c>
      <c r="D1661" s="12" t="inlineStr">
        <is>
          <t>Water-cooled chiller CH-5</t>
        </is>
      </c>
      <c r="E1661" s="12" t="n">
        <v>4160</v>
      </c>
      <c r="F1661" s="12" t="n">
        <v>1500</v>
      </c>
      <c r="G1661" s="12" t="n">
        <v>231</v>
      </c>
      <c r="H1661" s="12" t="inlineStr">
        <is>
          <t>Inlet-chilling e-house / transformer</t>
        </is>
      </c>
      <c r="I1661" s="12" t="inlineStr">
        <is>
          <t>MV 5 kV</t>
        </is>
      </c>
      <c r="J1661" s="12" t="inlineStr">
        <is>
          <t>250 kcmil</t>
        </is>
      </c>
      <c r="K1661" s="12" t="n">
        <v>1</v>
      </c>
    </row>
    <row r="1662">
      <c r="A1662" s="12" t="inlineStr">
        <is>
          <t>Chillers x6 (water-cooled)</t>
        </is>
      </c>
      <c r="B1662" s="12" t="inlineStr"/>
      <c r="C1662" s="12" t="inlineStr">
        <is>
          <t>J</t>
        </is>
      </c>
      <c r="D1662" s="12" t="inlineStr">
        <is>
          <t>Water-cooled chiller CH-6</t>
        </is>
      </c>
      <c r="E1662" s="12" t="n">
        <v>4160</v>
      </c>
      <c r="F1662" s="12" t="n">
        <v>1500</v>
      </c>
      <c r="G1662" s="12" t="n">
        <v>231</v>
      </c>
      <c r="H1662" s="12" t="inlineStr">
        <is>
          <t>Inlet-chilling e-house / transformer</t>
        </is>
      </c>
      <c r="I1662" s="12" t="inlineStr">
        <is>
          <t>MV 5 kV</t>
        </is>
      </c>
      <c r="J1662" s="12" t="inlineStr">
        <is>
          <t>250 kcmil</t>
        </is>
      </c>
      <c r="K1662" s="12" t="n">
        <v>1</v>
      </c>
    </row>
    <row r="1663">
      <c r="A1663" s="12" t="inlineStr">
        <is>
          <t>H2 19: T-H2 230/13.8 kV (about 40 MVA)</t>
        </is>
      </c>
      <c r="B1663" s="12" t="inlineStr">
        <is>
          <t>T-H2</t>
        </is>
      </c>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10</t>
        </is>
      </c>
      <c r="K1663" s="12" t="n">
        <v>1</v>
      </c>
    </row>
    <row r="1664">
      <c r="A1664" s="12" t="inlineStr">
        <is>
          <t>H2 20: 13.8 kV e-house</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10</t>
        </is>
      </c>
      <c r="K1664" s="12" t="n">
        <v>1</v>
      </c>
    </row>
    <row r="1665">
      <c r="A1665" s="12" t="inlineStr">
        <is>
          <t>H2 21: rectifier transformer 1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2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3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8</t>
        </is>
      </c>
      <c r="K1667" s="12" t="n">
        <v>1</v>
      </c>
    </row>
    <row r="1668">
      <c r="A1668" s="12" t="inlineStr">
        <is>
          <t>H2 21: rectifier transformer 4 (7 MVA)</t>
        </is>
      </c>
      <c r="B1668" s="12" t="inlineStr"/>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21: rectifier transformer 5 (7 MVA)</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22: electrolyzer building (5 x HyLYZER-1000 + 5 rectifiers)</t>
        </is>
      </c>
      <c r="B1670" s="12" t="inlineStr">
        <is>
          <t>H2-EL</t>
        </is>
      </c>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8</t>
        </is>
      </c>
      <c r="K1670" s="12" t="n">
        <v>1</v>
      </c>
    </row>
    <row r="1671">
      <c r="A1671" s="12" t="inlineStr">
        <is>
          <t>H2 23: dry coolers</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24: water purification (RO / EDI)</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25: H2 dryer / purification</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26: H2 compressor 1 (40 ft ISO)</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26: H2 compressor 2 (40 ft ISO)</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27: storage tube bank (~40 ft tubes)</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27: storage tube bank (~40 ft tubes)</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28: N2 purge supply</t>
        </is>
      </c>
      <c r="B1680" s="12" t="inlineStr"/>
      <c r="C1680" s="12" t="inlineStr">
        <is>
          <t>K</t>
        </is>
      </c>
      <c r="D1680" s="12" t="inlineStr">
        <is>
          <t>Motor 1 of 1, 15 kW</t>
        </is>
      </c>
      <c r="E1680" s="12" t="n">
        <v>480</v>
      </c>
      <c r="F1680" s="12" t="n">
        <v>15</v>
      </c>
      <c r="G1680" s="12" t="n">
        <v>21.2</v>
      </c>
      <c r="H1680" s="12" t="inlineStr">
        <is>
          <t>H2 20: 13.8 kV e-house</t>
        </is>
      </c>
      <c r="I1680" s="12" t="inlineStr">
        <is>
          <t>LV 600 V</t>
        </is>
      </c>
      <c r="J1680" s="12" t="inlineStr">
        <is>
          <t>10</t>
        </is>
      </c>
      <c r="K1680" s="12" t="n">
        <v>1</v>
      </c>
    </row>
    <row r="1681">
      <c r="A1681" s="12" t="inlineStr">
        <is>
          <t>H2 29: vent stack</t>
        </is>
      </c>
      <c r="B1681" s="12" t="inlineStr"/>
      <c r="C1681" s="12" t="inlineStr">
        <is>
          <t>K</t>
        </is>
      </c>
      <c r="D1681" s="12" t="inlineStr">
        <is>
          <t>Motor 1 of 1, 15 kW</t>
        </is>
      </c>
      <c r="E1681" s="12" t="n">
        <v>480</v>
      </c>
      <c r="F1681" s="12" t="n">
        <v>15</v>
      </c>
      <c r="G1681" s="12" t="n">
        <v>21.2</v>
      </c>
      <c r="H1681" s="12" t="inlineStr">
        <is>
          <t>H2 20: 13.8 kV e-house</t>
        </is>
      </c>
      <c r="I1681" s="12" t="inlineStr">
        <is>
          <t>LV 600 V</t>
        </is>
      </c>
      <c r="J1681" s="12" t="inlineStr">
        <is>
          <t>10</t>
        </is>
      </c>
      <c r="K1681" s="12" t="n">
        <v>1</v>
      </c>
    </row>
    <row r="1682">
      <c r="A1682" s="12" t="inlineStr">
        <is>
          <t>H2 30: H2 / gas blending station (plant gas yard)</t>
        </is>
      </c>
      <c r="B1682" s="12" t="inlineStr"/>
      <c r="C1682" s="12" t="inlineStr">
        <is>
          <t>K</t>
        </is>
      </c>
      <c r="D1682" s="12" t="inlineStr">
        <is>
          <t>Motor 1 of 1, 15 kW</t>
        </is>
      </c>
      <c r="E1682" s="12" t="n">
        <v>480</v>
      </c>
      <c r="F1682" s="12" t="n">
        <v>15</v>
      </c>
      <c r="G1682" s="12" t="n">
        <v>21.2</v>
      </c>
      <c r="H1682" s="12" t="inlineStr">
        <is>
          <t>LNG 17: LNG e-house (13.8 kV / 480 V)</t>
        </is>
      </c>
      <c r="I1682" s="12" t="inlineStr">
        <is>
          <t>LV 600 V</t>
        </is>
      </c>
      <c r="J1682" s="12" t="inlineStr">
        <is>
          <t>4</t>
        </is>
      </c>
      <c r="K1682" s="12" t="n">
        <v>1</v>
      </c>
    </row>
    <row r="1683">
      <c r="A1683" s="12" t="inlineStr">
        <is>
          <t>H2 pipe track and cable trench, hall -&gt; dryer / compressors (N2, instr</t>
        </is>
      </c>
      <c r="B1683" s="12" t="inlineStr"/>
      <c r="C1683" s="12" t="inlineStr">
        <is>
          <t>K</t>
        </is>
      </c>
      <c r="D1683" s="12" t="inlineStr">
        <is>
          <t>Motor 1 of 2, 250 kW</t>
        </is>
      </c>
      <c r="E1683" s="12" t="n">
        <v>480</v>
      </c>
      <c r="F1683" s="12" t="n">
        <v>250</v>
      </c>
      <c r="G1683" s="12" t="n">
        <v>353.8</v>
      </c>
      <c r="H1683" s="12" t="inlineStr">
        <is>
          <t>H2 20: 13.8 kV e-house</t>
        </is>
      </c>
      <c r="I1683" s="12" t="inlineStr">
        <is>
          <t>LV 600 V</t>
        </is>
      </c>
      <c r="J1683" s="12" t="inlineStr">
        <is>
          <t>4/0</t>
        </is>
      </c>
      <c r="K1683" s="12" t="n">
        <v>2</v>
      </c>
    </row>
    <row r="1684">
      <c r="A1684" s="12" t="inlineStr">
        <is>
          <t>H2 pipe track and cable trench, hall -&gt; dryer / compressors (N2, instr</t>
        </is>
      </c>
      <c r="B1684" s="12" t="inlineStr"/>
      <c r="C1684" s="12" t="inlineStr">
        <is>
          <t>K</t>
        </is>
      </c>
      <c r="D1684" s="12" t="inlineStr">
        <is>
          <t>Motor 2 of 2, 250 kW</t>
        </is>
      </c>
      <c r="E1684" s="12" t="n">
        <v>480</v>
      </c>
      <c r="F1684" s="12" t="n">
        <v>250</v>
      </c>
      <c r="G1684" s="12" t="n">
        <v>353.8</v>
      </c>
      <c r="H1684" s="12" t="inlineStr">
        <is>
          <t>H2 20: 13.8 kV e-house</t>
        </is>
      </c>
      <c r="I1684" s="12" t="inlineStr">
        <is>
          <t>LV 600 V</t>
        </is>
      </c>
      <c r="J1684" s="12" t="inlineStr">
        <is>
          <t>4/0</t>
        </is>
      </c>
      <c r="K1684" s="12" t="n">
        <v>2</v>
      </c>
    </row>
    <row r="1685">
      <c r="A1685" s="12" t="inlineStr">
        <is>
          <t>H2 storage tube banks x4</t>
        </is>
      </c>
      <c r="B1685" s="12" t="inlineStr">
        <is>
          <t>H2-ST</t>
        </is>
      </c>
      <c r="C1685" s="12" t="inlineStr">
        <is>
          <t>K</t>
        </is>
      </c>
      <c r="D1685" s="12" t="inlineStr">
        <is>
          <t>LV power feeder</t>
        </is>
      </c>
      <c r="E1685" s="12" t="n">
        <v>480</v>
      </c>
      <c r="F1685" s="12" t="n">
        <v>15</v>
      </c>
      <c r="G1685" s="12" t="n">
        <v>21.2</v>
      </c>
      <c r="H1685" s="12" t="inlineStr">
        <is>
          <t>H2 20: 13.8 kV e-house</t>
        </is>
      </c>
      <c r="I1685" s="12" t="inlineStr">
        <is>
          <t>LV 600 V</t>
        </is>
      </c>
      <c r="J1685" s="12" t="inlineStr">
        <is>
          <t>10</t>
        </is>
      </c>
      <c r="K1685" s="12" t="n">
        <v>1</v>
      </c>
    </row>
    <row r="1686">
      <c r="A1686" s="12" t="inlineStr">
        <is>
          <t>H2R: hydrogen pipeline receiving station (pig receiver, filters, meter</t>
        </is>
      </c>
      <c r="B1686" s="12" t="inlineStr">
        <is>
          <t>H2R</t>
        </is>
      </c>
      <c r="C1686" s="12" t="inlineStr">
        <is>
          <t>K</t>
        </is>
      </c>
      <c r="D1686" s="12" t="inlineStr">
        <is>
          <t>LV power feeder</t>
        </is>
      </c>
      <c r="E1686" s="12" t="n">
        <v>480</v>
      </c>
      <c r="F1686" s="12" t="n">
        <v>15</v>
      </c>
      <c r="G1686" s="12" t="n">
        <v>21.2</v>
      </c>
      <c r="H1686" s="12" t="inlineStr">
        <is>
          <t>H2 20: 13.8 kV e-house</t>
        </is>
      </c>
      <c r="I1686" s="12" t="inlineStr">
        <is>
          <t>LV 600 V</t>
        </is>
      </c>
      <c r="J1686" s="12" t="inlineStr">
        <is>
          <t>10</t>
        </is>
      </c>
      <c r="K1686" s="12" t="n">
        <v>1</v>
      </c>
    </row>
    <row r="1687">
      <c r="A1687" s="12" t="inlineStr">
        <is>
          <t>LNG 10: truck unloading bay 1</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8</t>
        </is>
      </c>
      <c r="K1687" s="12" t="n">
        <v>1</v>
      </c>
    </row>
    <row r="1688">
      <c r="A1688" s="12" t="inlineStr">
        <is>
          <t>LNG 10: truck unloading bay 2</t>
        </is>
      </c>
      <c r="B1688" s="12" t="inlineStr"/>
      <c r="C1688" s="12" t="inlineStr">
        <is>
          <t>K</t>
        </is>
      </c>
      <c r="D1688" s="12" t="inlineStr">
        <is>
          <t>Motor 1 of 1, 15 kW</t>
        </is>
      </c>
      <c r="E1688" s="12" t="n">
        <v>480</v>
      </c>
      <c r="F1688" s="12" t="n">
        <v>15</v>
      </c>
      <c r="G1688" s="12" t="n">
        <v>21.2</v>
      </c>
      <c r="H1688" s="12" t="inlineStr">
        <is>
          <t>LNG 17: LNG e-house (13.8 kV / 480 V)</t>
        </is>
      </c>
      <c r="I1688" s="12" t="inlineStr">
        <is>
          <t>LV 600 V</t>
        </is>
      </c>
      <c r="J1688" s="12" t="inlineStr">
        <is>
          <t>10</t>
        </is>
      </c>
      <c r="K1688" s="12" t="n">
        <v>1</v>
      </c>
    </row>
    <row r="1689">
      <c r="A1689" s="12" t="inlineStr">
        <is>
          <t>LNG 10: unloading skid</t>
        </is>
      </c>
      <c r="B1689" s="12" t="inlineStr"/>
      <c r="C1689" s="12" t="inlineStr">
        <is>
          <t>K</t>
        </is>
      </c>
      <c r="D1689" s="12" t="inlineStr">
        <is>
          <t>Motor 1 of 1, 15 kW</t>
        </is>
      </c>
      <c r="E1689" s="12" t="n">
        <v>480</v>
      </c>
      <c r="F1689" s="12" t="n">
        <v>15</v>
      </c>
      <c r="G1689" s="12" t="n">
        <v>21.2</v>
      </c>
      <c r="H1689" s="12" t="inlineStr">
        <is>
          <t>LNG 17: LNG e-house (13.8 kV / 480 V)</t>
        </is>
      </c>
      <c r="I1689" s="12" t="inlineStr">
        <is>
          <t>LV 600 V</t>
        </is>
      </c>
      <c r="J1689" s="12" t="inlineStr">
        <is>
          <t>10</t>
        </is>
      </c>
      <c r="K1689" s="12" t="n">
        <v>1</v>
      </c>
    </row>
    <row r="1690">
      <c r="A1690" s="12" t="inlineStr">
        <is>
          <t>LNG 11: tank 1, Chart HS 50000 (51,780 gal)</t>
        </is>
      </c>
      <c r="B1690" s="12" t="inlineStr">
        <is>
          <t>LNG-T1</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2, Chart HS 50000 (51,780 gal)</t>
        </is>
      </c>
      <c r="B1691" s="12" t="inlineStr">
        <is>
          <t>LNG-T2</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3, Chart HS 50000 (51,780 gal)</t>
        </is>
      </c>
      <c r="B1692" s="12" t="inlineStr">
        <is>
          <t>LNG-T3</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4, Chart HS 50000 (51,780 gal)</t>
        </is>
      </c>
      <c r="B1693" s="12" t="inlineStr">
        <is>
          <t>LNG-T4</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5, Chart HS 50000 (51,780 gal)</t>
        </is>
      </c>
      <c r="B1694" s="12" t="inlineStr">
        <is>
          <t>LNG-T5</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6, Chart HS 50000 (51,780 gal)</t>
        </is>
      </c>
      <c r="B1695" s="12" t="inlineStr">
        <is>
          <t>LNG-T6</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11: tank 7, Chart HS 50000 (51,780 gal)</t>
        </is>
      </c>
      <c r="B1696" s="12" t="inlineStr">
        <is>
          <t>LNG-T7</t>
        </is>
      </c>
      <c r="C1696" s="12" t="inlineStr">
        <is>
          <t>K</t>
        </is>
      </c>
      <c r="D1696" s="12" t="inlineStr">
        <is>
          <t>LV power feeder</t>
        </is>
      </c>
      <c r="E1696" s="12" t="n">
        <v>480</v>
      </c>
      <c r="F1696" s="12" t="n">
        <v>10</v>
      </c>
      <c r="G1696" s="12" t="n">
        <v>14.2</v>
      </c>
      <c r="H1696" s="12" t="inlineStr">
        <is>
          <t>LNG 17: LNG e-house (13.8 kV / 480 V)</t>
        </is>
      </c>
      <c r="I1696" s="12" t="inlineStr">
        <is>
          <t>LV 600 V</t>
        </is>
      </c>
      <c r="J1696" s="12" t="inlineStr">
        <is>
          <t>10</t>
        </is>
      </c>
      <c r="K1696" s="12" t="n">
        <v>1</v>
      </c>
    </row>
    <row r="1697">
      <c r="A1697" s="12" t="inlineStr">
        <is>
          <t>LNG 11: tank 8, Chart HS 50000 (51,780 gal)</t>
        </is>
      </c>
      <c r="B1697" s="12" t="inlineStr">
        <is>
          <t>LNG-T8</t>
        </is>
      </c>
      <c r="C1697" s="12" t="inlineStr">
        <is>
          <t>K</t>
        </is>
      </c>
      <c r="D1697" s="12" t="inlineStr">
        <is>
          <t>LV power feeder</t>
        </is>
      </c>
      <c r="E1697" s="12" t="n">
        <v>480</v>
      </c>
      <c r="F1697" s="12" t="n">
        <v>10</v>
      </c>
      <c r="G1697" s="12" t="n">
        <v>14.2</v>
      </c>
      <c r="H1697" s="12" t="inlineStr">
        <is>
          <t>LNG 17: LNG e-house (13.8 kV / 480 V)</t>
        </is>
      </c>
      <c r="I1697" s="12" t="inlineStr">
        <is>
          <t>LV 600 V</t>
        </is>
      </c>
      <c r="J1697" s="12" t="inlineStr">
        <is>
          <t>10</t>
        </is>
      </c>
      <c r="K1697" s="12" t="n">
        <v>1</v>
      </c>
    </row>
    <row r="1698">
      <c r="A1698" s="12" t="inlineStr">
        <is>
          <t>LNG 12: spill impoundment (NFPA 59A, to verify)</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13: send-out pumps 2 x 100%</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14: vaporizers + glycol heater</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15: boil-off gas compressor</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16: send-out metering + pressure control</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17: LNG e-house (13.8 kV / 480 V)</t>
        </is>
      </c>
      <c r="B1703" s="12" t="inlineStr"/>
      <c r="C1703" s="12" t="inlineStr">
        <is>
          <t>K</t>
        </is>
      </c>
      <c r="D1703" s="12" t="inlineStr">
        <is>
          <t>Motor 1 of 1, 15 kW</t>
        </is>
      </c>
      <c r="E1703" s="12" t="n">
        <v>480</v>
      </c>
      <c r="F1703" s="12" t="n">
        <v>15</v>
      </c>
      <c r="G1703" s="12" t="n">
        <v>21.2</v>
      </c>
      <c r="H1703" s="12" t="inlineStr">
        <is>
          <t>LNG 17: LNG e-house (13.8 kV / 480 V)</t>
        </is>
      </c>
      <c r="I1703" s="12" t="inlineStr">
        <is>
          <t>LV 600 V</t>
        </is>
      </c>
      <c r="J1703" s="12" t="inlineStr">
        <is>
          <t>10</t>
        </is>
      </c>
      <c r="K1703" s="12" t="n">
        <v>1</v>
      </c>
    </row>
    <row r="1704">
      <c r="A1704" s="12" t="inlineStr">
        <is>
          <t>LNG 18: vent stack</t>
        </is>
      </c>
      <c r="B1704" s="12" t="inlineStr"/>
      <c r="C1704" s="12" t="inlineStr">
        <is>
          <t>K</t>
        </is>
      </c>
      <c r="D1704" s="12" t="inlineStr">
        <is>
          <t>Motor 1 of 1, 15 kW</t>
        </is>
      </c>
      <c r="E1704" s="12" t="n">
        <v>480</v>
      </c>
      <c r="F1704" s="12" t="n">
        <v>15</v>
      </c>
      <c r="G1704" s="12" t="n">
        <v>21.2</v>
      </c>
      <c r="H1704" s="12" t="inlineStr">
        <is>
          <t>LNG 17: LNG e-house (13.8 kV / 480 V)</t>
        </is>
      </c>
      <c r="I1704" s="12" t="inlineStr">
        <is>
          <t>LV 600 V</t>
        </is>
      </c>
      <c r="J1704" s="12" t="inlineStr">
        <is>
          <t>10</t>
        </is>
      </c>
      <c r="K1704" s="12" t="n">
        <v>1</v>
      </c>
    </row>
    <row r="1705">
      <c r="A1705" s="12" t="inlineStr">
        <is>
          <t>LNG impoundment sump pump</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8</t>
        </is>
      </c>
      <c r="K1705" s="12" t="n">
        <v>1</v>
      </c>
    </row>
    <row r="1706">
      <c r="A1706" s="12" t="inlineStr">
        <is>
          <t>M&amp;R 2: insulating joint + ESD valve</t>
        </is>
      </c>
      <c r="B1706" s="12" t="inlineStr"/>
      <c r="C1706" s="12" t="inlineStr">
        <is>
          <t>K</t>
        </is>
      </c>
      <c r="D1706" s="12" t="inlineStr">
        <is>
          <t>LV power feeder</t>
        </is>
      </c>
      <c r="E1706" s="12" t="n">
        <v>480</v>
      </c>
      <c r="F1706" s="12" t="n">
        <v>10</v>
      </c>
      <c r="G1706" s="12" t="n">
        <v>14.2</v>
      </c>
      <c r="H1706" s="12" t="inlineStr">
        <is>
          <t>LNG 17: LNG e-house (13.8 kV / 480 V)</t>
        </is>
      </c>
      <c r="I1706" s="12" t="inlineStr">
        <is>
          <t>LV 600 V</t>
        </is>
      </c>
      <c r="J1706" s="12" t="inlineStr">
        <is>
          <t>6</t>
        </is>
      </c>
      <c r="K1706" s="12" t="n">
        <v>1</v>
      </c>
    </row>
    <row r="1707">
      <c r="A1707" s="12" t="inlineStr">
        <is>
          <t>M&amp;R 3: horizontal filter-separator</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4</t>
        </is>
      </c>
      <c r="K1707" s="12" t="n">
        <v>1</v>
      </c>
    </row>
    <row r="1708">
      <c r="A1708" s="12" t="inlineStr">
        <is>
          <t>M&amp;R 4: line heater 1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4: line heater 2 (water bath)</t>
        </is>
      </c>
      <c r="B1709" s="12" t="inlineStr"/>
      <c r="C1709" s="12" t="inlineStr">
        <is>
          <t>K</t>
        </is>
      </c>
      <c r="D1709" s="12" t="inlineStr">
        <is>
          <t>LV power feeder</t>
        </is>
      </c>
      <c r="E1709" s="12" t="n">
        <v>480</v>
      </c>
      <c r="F1709" s="12" t="n">
        <v>15</v>
      </c>
      <c r="G1709" s="12" t="n">
        <v>21.2</v>
      </c>
      <c r="H1709" s="12" t="inlineStr">
        <is>
          <t>LNG 17: LNG e-house (13.8 kV / 480 V)</t>
        </is>
      </c>
      <c r="I1709" s="12" t="inlineStr">
        <is>
          <t>LV 600 V</t>
        </is>
      </c>
      <c r="J1709" s="12" t="inlineStr">
        <is>
          <t>6</t>
        </is>
      </c>
      <c r="K1709" s="12" t="n">
        <v>1</v>
      </c>
    </row>
    <row r="1710">
      <c r="A1710" s="12" t="inlineStr">
        <is>
          <t>M&amp;R 4: line heater 3 (water bath)</t>
        </is>
      </c>
      <c r="B1710" s="12" t="inlineStr"/>
      <c r="C1710" s="12" t="inlineStr">
        <is>
          <t>K</t>
        </is>
      </c>
      <c r="D1710" s="12" t="inlineStr">
        <is>
          <t>LV power feeder</t>
        </is>
      </c>
      <c r="E1710" s="12" t="n">
        <v>480</v>
      </c>
      <c r="F1710" s="12" t="n">
        <v>15</v>
      </c>
      <c r="G1710" s="12" t="n">
        <v>21.2</v>
      </c>
      <c r="H1710" s="12" t="inlineStr">
        <is>
          <t>LNG 17: LNG e-house (13.8 kV / 480 V)</t>
        </is>
      </c>
      <c r="I1710" s="12" t="inlineStr">
        <is>
          <t>LV 600 V</t>
        </is>
      </c>
      <c r="J1710" s="12" t="inlineStr">
        <is>
          <t>6</t>
        </is>
      </c>
      <c r="K1710" s="12" t="n">
        <v>1</v>
      </c>
    </row>
    <row r="1711">
      <c r="A1711" s="12" t="inlineStr">
        <is>
          <t>M&amp;R 6: regulation / flow control building</t>
        </is>
      </c>
      <c r="B1711" s="12" t="inlineStr"/>
      <c r="C1711" s="12" t="inlineStr">
        <is>
          <t>K</t>
        </is>
      </c>
      <c r="D1711" s="12" t="inlineStr">
        <is>
          <t>LV panel / distribution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7: gas quality + measurement building</t>
        </is>
      </c>
      <c r="B1712" s="12" t="inlineStr"/>
      <c r="C1712" s="12" t="inlineStr">
        <is>
          <t>K</t>
        </is>
      </c>
      <c r="D1712" s="12" t="inlineStr">
        <is>
          <t>LV panel / distribution feeder</t>
        </is>
      </c>
      <c r="E1712" s="12" t="n">
        <v>480</v>
      </c>
      <c r="F1712" s="12" t="n">
        <v>30</v>
      </c>
      <c r="G1712" s="12" t="n">
        <v>42.5</v>
      </c>
      <c r="H1712" s="12" t="inlineStr">
        <is>
          <t>LNG 17: LNG e-house (13.8 kV / 480 V)</t>
        </is>
      </c>
      <c r="I1712" s="12" t="inlineStr">
        <is>
          <t>LV 600 V</t>
        </is>
      </c>
      <c r="J1712" s="12" t="inlineStr">
        <is>
          <t>2</t>
        </is>
      </c>
      <c r="K1712" s="12" t="n">
        <v>1</v>
      </c>
    </row>
    <row r="1713">
      <c r="A1713" s="12" t="inlineStr">
        <is>
          <t>M&amp;R 8: condensate tank</t>
        </is>
      </c>
      <c r="B1713" s="12" t="inlineStr"/>
      <c r="C1713" s="12" t="inlineStr">
        <is>
          <t>K</t>
        </is>
      </c>
      <c r="D1713" s="12" t="inlineStr">
        <is>
          <t>LV power feeder</t>
        </is>
      </c>
      <c r="E1713" s="12" t="n">
        <v>480</v>
      </c>
      <c r="F1713" s="12" t="n">
        <v>10</v>
      </c>
      <c r="G1713" s="12" t="n">
        <v>14.2</v>
      </c>
      <c r="H1713" s="12" t="inlineStr">
        <is>
          <t>LNG 17: LNG e-house (13.8 kV / 480 V)</t>
        </is>
      </c>
      <c r="I1713" s="12" t="inlineStr">
        <is>
          <t>LV 600 V</t>
        </is>
      </c>
      <c r="J1713" s="12" t="inlineStr">
        <is>
          <t>8</t>
        </is>
      </c>
      <c r="K1713" s="12" t="n">
        <v>1</v>
      </c>
    </row>
    <row r="1714">
      <c r="A1714" s="12" t="inlineStr">
        <is>
          <t>M&amp;R 9: service panel + UPS, SCADA RTU, CP</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6</t>
        </is>
      </c>
      <c r="K1714" s="12" t="n">
        <v>1</v>
      </c>
    </row>
    <row r="1715">
      <c r="A1715" s="12" t="inlineStr">
        <is>
          <t>M&amp;R CP test station (as drawn)</t>
        </is>
      </c>
      <c r="B1715" s="12" t="inlineStr"/>
      <c r="C1715" s="12" t="inlineStr">
        <is>
          <t>K</t>
        </is>
      </c>
      <c r="D1715" s="12" t="inlineStr">
        <is>
          <t>LV power feeder</t>
        </is>
      </c>
      <c r="E1715" s="12" t="n">
        <v>480</v>
      </c>
      <c r="F1715" s="12" t="n">
        <v>15</v>
      </c>
      <c r="G1715" s="12" t="n">
        <v>21.2</v>
      </c>
      <c r="H1715" s="12" t="inlineStr">
        <is>
          <t>LNG 17: LNG e-house (13.8 kV / 480 V)</t>
        </is>
      </c>
      <c r="I1715" s="12" t="inlineStr">
        <is>
          <t>LV 600 V</t>
        </is>
      </c>
      <c r="J1715" s="12" t="inlineStr">
        <is>
          <t>6</t>
        </is>
      </c>
      <c r="K1715" s="12" t="n">
        <v>1</v>
      </c>
    </row>
    <row r="1716">
      <c r="A1716" s="12" t="inlineStr">
        <is>
          <t>M&amp;R SCADA antenna mast base (as drawn)</t>
        </is>
      </c>
      <c r="B1716" s="12" t="inlineStr"/>
      <c r="C1716" s="12" t="inlineStr">
        <is>
          <t>K</t>
        </is>
      </c>
      <c r="D1716" s="12" t="inlineStr">
        <is>
          <t>LV power feeder</t>
        </is>
      </c>
      <c r="E1716" s="12" t="n">
        <v>480</v>
      </c>
      <c r="F1716" s="12" t="n">
        <v>15</v>
      </c>
      <c r="G1716" s="12" t="n">
        <v>21.2</v>
      </c>
      <c r="H1716" s="12" t="inlineStr">
        <is>
          <t>LNG 17: LNG e-house (13.8 kV / 480 V)</t>
        </is>
      </c>
      <c r="I1716" s="12" t="inlineStr">
        <is>
          <t>LV 600 V</t>
        </is>
      </c>
      <c r="J1716" s="12" t="inlineStr">
        <is>
          <t>8</t>
        </is>
      </c>
      <c r="K1716" s="12" t="n">
        <v>1</v>
      </c>
    </row>
    <row r="1717">
      <c r="A1717" s="12" t="inlineStr">
        <is>
          <t>H2 20: 13.8 kV e-house</t>
        </is>
      </c>
      <c r="B1717" s="12" t="inlineStr"/>
      <c r="C1717" s="12" t="inlineStr">
        <is>
          <t>K</t>
        </is>
      </c>
      <c r="D1717" s="12" t="inlineStr">
        <is>
          <t>H2 13.8 kV e-house (electrolyzers)</t>
        </is>
      </c>
      <c r="E1717" s="12" t="n">
        <v>13800</v>
      </c>
      <c r="F1717" s="12" t="n">
        <v>20000</v>
      </c>
      <c r="G1717" s="12" t="n">
        <v>837</v>
      </c>
      <c r="H1717" s="12" t="inlineStr">
        <is>
          <t>R1 SWGR-13.8-3 (11 x 36 in cubicles, 15 kV metal-clad)</t>
        </is>
      </c>
      <c r="I1717" s="12" t="inlineStr">
        <is>
          <t>MV 15 kV</t>
        </is>
      </c>
      <c r="J1717" s="12" t="inlineStr">
        <is>
          <t>750 kcmil</t>
        </is>
      </c>
      <c r="K1717" s="12" t="n">
        <v>2</v>
      </c>
    </row>
    <row r="1718">
      <c r="A1718" s="12" t="inlineStr">
        <is>
          <t>LNG 17: LNG e-house (13.8 kV / 480 V)</t>
        </is>
      </c>
      <c r="B1718" s="12" t="inlineStr"/>
      <c r="C1718" s="12" t="inlineStr">
        <is>
          <t>K</t>
        </is>
      </c>
      <c r="D1718" s="12" t="inlineStr">
        <is>
          <t>LNG e-house</t>
        </is>
      </c>
      <c r="E1718" s="12" t="n">
        <v>13800</v>
      </c>
      <c r="F1718" s="12" t="n">
        <v>5000</v>
      </c>
      <c r="G1718" s="12" t="n">
        <v>209</v>
      </c>
      <c r="H1718" s="12" t="inlineStr">
        <is>
          <t>R1 SWGR-13.8-3 (11 x 36 in cubicles, 15 kV metal-clad)</t>
        </is>
      </c>
      <c r="I1718" s="12" t="inlineStr">
        <is>
          <t>MV 15 kV</t>
        </is>
      </c>
      <c r="J1718" s="12" t="inlineStr">
        <is>
          <t>4/0</t>
        </is>
      </c>
      <c r="K1718" s="12" t="n">
        <v>1</v>
      </c>
    </row>
    <row r="1719">
      <c r="A1719" s="12" t="inlineStr">
        <is>
          <t xml:space="preserve">CO2 compression 3 x ~19 MW + dehydration: rooftop HVAC, exhaust fans, </t>
        </is>
      </c>
      <c r="B1719" s="12" t="inlineStr"/>
      <c r="C1719" s="12" t="inlineStr"/>
      <c r="D1719" s="12" t="inlineStr">
        <is>
          <t>Motor 1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2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3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4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5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6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7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8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Motor 9 of 10, 30 kW</t>
        </is>
      </c>
      <c r="E1727" s="12" t="n">
        <v>480</v>
      </c>
      <c r="F1727" s="12" t="n">
        <v>30</v>
      </c>
      <c r="G1727" s="12" t="n">
        <v>42.5</v>
      </c>
      <c r="H1727" s="12" t="inlineStr">
        <is>
          <t>R1 MCC-C1</t>
        </is>
      </c>
      <c r="I1727" s="12" t="inlineStr">
        <is>
          <t>LV 600 V</t>
        </is>
      </c>
      <c r="J1727" s="12" t="inlineStr">
        <is>
          <t>3/0</t>
        </is>
      </c>
      <c r="K1727" s="12" t="n">
        <v>1</v>
      </c>
    </row>
    <row r="1728">
      <c r="A1728" s="12" t="inlineStr">
        <is>
          <t xml:space="preserve">CO2 compression 3 x ~19 MW + dehydration: rooftop HVAC, exhaust fans, </t>
        </is>
      </c>
      <c r="B1728" s="12" t="inlineStr"/>
      <c r="C1728" s="12" t="inlineStr"/>
      <c r="D1728" s="12" t="inlineStr">
        <is>
          <t>Motor 10 of 10, 30 kW</t>
        </is>
      </c>
      <c r="E1728" s="12" t="n">
        <v>480</v>
      </c>
      <c r="F1728" s="12" t="n">
        <v>30</v>
      </c>
      <c r="G1728" s="12" t="n">
        <v>42.5</v>
      </c>
      <c r="H1728" s="12" t="inlineStr">
        <is>
          <t>R1 MCC-C1</t>
        </is>
      </c>
      <c r="I1728" s="12" t="inlineStr">
        <is>
          <t>LV 600 V</t>
        </is>
      </c>
      <c r="J1728" s="12" t="inlineStr">
        <is>
          <t>3/0</t>
        </is>
      </c>
      <c r="K1728" s="12" t="n">
        <v>1</v>
      </c>
    </row>
    <row r="1729">
      <c r="A1729" s="12" t="inlineStr">
        <is>
          <t xml:space="preserve">CO2 compression 3 x ~19 MW + dehydration: rooftop HVAC, exhaust fans, </t>
        </is>
      </c>
      <c r="B1729" s="12" t="inlineStr"/>
      <c r="C1729" s="12" t="inlineStr"/>
      <c r="D1729" s="12" t="inlineStr">
        <is>
          <t>480 V welding receptacle 1</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2</t>
        </is>
      </c>
      <c r="E1730" s="12" t="n">
        <v>480</v>
      </c>
      <c r="F1730" s="12" t="n">
        <v>60</v>
      </c>
      <c r="G1730" s="12" t="n">
        <v>76</v>
      </c>
      <c r="H1730" s="12" t="inlineStr">
        <is>
          <t>R1 MCC-C1</t>
        </is>
      </c>
      <c r="I1730" s="12" t="inlineStr">
        <is>
          <t>LV 600 V</t>
        </is>
      </c>
      <c r="J1730" s="12" t="inlineStr">
        <is>
          <t>250 kcmil</t>
        </is>
      </c>
      <c r="K1730" s="12" t="n">
        <v>1</v>
      </c>
    </row>
    <row r="1731">
      <c r="A1731" s="12" t="inlineStr">
        <is>
          <t xml:space="preserve">CO2 compression 3 x ~19 MW + dehydration: rooftop HVAC, exhaust fans, </t>
        </is>
      </c>
      <c r="B1731" s="12" t="inlineStr"/>
      <c r="C1731" s="12" t="inlineStr"/>
      <c r="D1731" s="12" t="inlineStr">
        <is>
          <t>480 V welding receptacle 3</t>
        </is>
      </c>
      <c r="E1731" s="12" t="n">
        <v>480</v>
      </c>
      <c r="F1731" s="12" t="n">
        <v>60</v>
      </c>
      <c r="G1731" s="12" t="n">
        <v>76</v>
      </c>
      <c r="H1731" s="12" t="inlineStr">
        <is>
          <t>R1 MCC-C1</t>
        </is>
      </c>
      <c r="I1731" s="12" t="inlineStr">
        <is>
          <t>LV 600 V</t>
        </is>
      </c>
      <c r="J1731" s="12" t="inlineStr">
        <is>
          <t>250 kcmil</t>
        </is>
      </c>
      <c r="K1731" s="12" t="n">
        <v>1</v>
      </c>
    </row>
    <row r="1732">
      <c r="A1732" s="12" t="inlineStr">
        <is>
          <t xml:space="preserve">CO2 compression 3 x ~19 MW + dehydration: rooftop HVAC, exhaust fans, </t>
        </is>
      </c>
      <c r="B1732" s="12" t="inlineStr"/>
      <c r="C1732" s="12" t="inlineStr"/>
      <c r="D1732" s="12" t="inlineStr">
        <is>
          <t>480 V welding receptacle 4</t>
        </is>
      </c>
      <c r="E1732" s="12" t="n">
        <v>480</v>
      </c>
      <c r="F1732" s="12" t="n">
        <v>60</v>
      </c>
      <c r="G1732" s="12" t="n">
        <v>76</v>
      </c>
      <c r="H1732" s="12" t="inlineStr">
        <is>
          <t>R1 MCC-C1</t>
        </is>
      </c>
      <c r="I1732" s="12" t="inlineStr">
        <is>
          <t>LV 600 V</t>
        </is>
      </c>
      <c r="J1732" s="12" t="inlineStr">
        <is>
          <t>250 kcmil</t>
        </is>
      </c>
      <c r="K1732" s="12" t="n">
        <v>1</v>
      </c>
    </row>
    <row r="1733">
      <c r="A1733" s="12" t="inlineStr">
        <is>
          <t>Small-bore piping: instrument air, service water, nitrogen, HRSG drain</t>
        </is>
      </c>
      <c r="B1733" s="12" t="inlineStr"/>
      <c r="C1733" s="12" t="inlineStr"/>
      <c r="D1733" s="12" t="inlineStr">
        <is>
          <t>Motor 1 of 2, 250 kW</t>
        </is>
      </c>
      <c r="E1733" s="12" t="n">
        <v>480</v>
      </c>
      <c r="F1733" s="12" t="n">
        <v>250</v>
      </c>
      <c r="G1733" s="12" t="n">
        <v>353.8</v>
      </c>
      <c r="H1733" s="12" t="inlineStr">
        <is>
          <t>R1 MCC-C1</t>
        </is>
      </c>
      <c r="I1733" s="12" t="inlineStr">
        <is>
          <t>LV 600 V</t>
        </is>
      </c>
      <c r="J1733" s="12" t="inlineStr">
        <is>
          <t>250 kcmil</t>
        </is>
      </c>
      <c r="K1733" s="12" t="n">
        <v>2</v>
      </c>
    </row>
    <row r="1734">
      <c r="A1734" s="12" t="inlineStr">
        <is>
          <t>Small-bore piping: instrument air, service water, nitrogen, HRSG drain</t>
        </is>
      </c>
      <c r="B1734" s="12" t="inlineStr"/>
      <c r="C1734" s="12" t="inlineStr"/>
      <c r="D1734" s="12" t="inlineStr">
        <is>
          <t>Motor 2 of 2, 250 kW</t>
        </is>
      </c>
      <c r="E1734" s="12" t="n">
        <v>480</v>
      </c>
      <c r="F1734" s="12" t="n">
        <v>250</v>
      </c>
      <c r="G1734" s="12" t="n">
        <v>353.8</v>
      </c>
      <c r="H1734" s="12" t="inlineStr">
        <is>
          <t>R1 MCC-C1</t>
        </is>
      </c>
      <c r="I1734" s="12" t="inlineStr">
        <is>
          <t>LV 600 V</t>
        </is>
      </c>
      <c r="J1734" s="12" t="inlineStr">
        <is>
          <t>250 kcmil</t>
        </is>
      </c>
      <c r="K1734" s="12" t="n">
        <v>2</v>
      </c>
    </row>
    <row r="1735">
      <c r="A1735" s="12" t="inlineStr">
        <is>
          <t>Wastewater treatment: rooftop HVAC, exhaust fans, vents</t>
        </is>
      </c>
      <c r="B1735" s="12" t="inlineStr"/>
      <c r="C1735" s="12" t="inlineStr"/>
      <c r="D1735" s="12" t="inlineStr">
        <is>
          <t>Motor 1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2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3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4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5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6 of 8, 15 kW</t>
        </is>
      </c>
      <c r="E1740" s="12" t="n">
        <v>480</v>
      </c>
      <c r="F1740" s="12" t="n">
        <v>15</v>
      </c>
      <c r="G1740" s="12" t="n">
        <v>21.2</v>
      </c>
      <c r="H1740" s="12" t="inlineStr">
        <is>
          <t>R1 MCC-C1</t>
        </is>
      </c>
      <c r="I1740" s="12" t="inlineStr">
        <is>
          <t>LV 600 V</t>
        </is>
      </c>
      <c r="J1740" s="12" t="inlineStr">
        <is>
          <t>1</t>
        </is>
      </c>
      <c r="K1740" s="12" t="n">
        <v>1</v>
      </c>
    </row>
    <row r="1741">
      <c r="A1741" s="12" t="inlineStr">
        <is>
          <t>Wastewater treatment: rooftop HVAC, exhaust fans, vents</t>
        </is>
      </c>
      <c r="B1741" s="12" t="inlineStr"/>
      <c r="C1741" s="12" t="inlineStr"/>
      <c r="D1741" s="12" t="inlineStr">
        <is>
          <t>Motor 7 of 8, 15 kW</t>
        </is>
      </c>
      <c r="E1741" s="12" t="n">
        <v>480</v>
      </c>
      <c r="F1741" s="12" t="n">
        <v>15</v>
      </c>
      <c r="G1741" s="12" t="n">
        <v>21.2</v>
      </c>
      <c r="H1741" s="12" t="inlineStr">
        <is>
          <t>R1 MCC-C1</t>
        </is>
      </c>
      <c r="I1741" s="12" t="inlineStr">
        <is>
          <t>LV 600 V</t>
        </is>
      </c>
      <c r="J1741" s="12" t="inlineStr">
        <is>
          <t>1</t>
        </is>
      </c>
      <c r="K1741" s="12" t="n">
        <v>1</v>
      </c>
    </row>
    <row r="1742">
      <c r="A1742" s="12" t="inlineStr">
        <is>
          <t>Wastewater treatment: rooftop HVAC, exhaust fans, vents</t>
        </is>
      </c>
      <c r="B1742" s="12" t="inlineStr"/>
      <c r="C1742" s="12" t="inlineStr"/>
      <c r="D1742" s="12" t="inlineStr">
        <is>
          <t>Motor 8 of 8, 15 kW</t>
        </is>
      </c>
      <c r="E1742" s="12" t="n">
        <v>480</v>
      </c>
      <c r="F1742" s="12" t="n">
        <v>15</v>
      </c>
      <c r="G1742" s="12" t="n">
        <v>21.2</v>
      </c>
      <c r="H1742" s="12" t="inlineStr">
        <is>
          <t>R1 MCC-C1</t>
        </is>
      </c>
      <c r="I1742" s="12" t="inlineStr">
        <is>
          <t>LV 600 V</t>
        </is>
      </c>
      <c r="J1742" s="12" t="inlineStr">
        <is>
          <t>1</t>
        </is>
      </c>
      <c r="K1742" s="12" t="n">
        <v>1</v>
      </c>
    </row>
    <row r="1743">
      <c r="A1743" s="12" t="inlineStr">
        <is>
          <t>Water treatment building: rooftop HVAC, exhaust fans, vents</t>
        </is>
      </c>
      <c r="B1743" s="12" t="inlineStr"/>
      <c r="C1743" s="12" t="inlineStr"/>
      <c r="D1743" s="12" t="inlineStr">
        <is>
          <t>Motor 1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2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3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4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5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6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7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8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9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10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11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12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13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14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15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16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17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18 of 20, 15 kW</t>
        </is>
      </c>
      <c r="E1760" s="12" t="n">
        <v>480</v>
      </c>
      <c r="F1760" s="12" t="n">
        <v>15</v>
      </c>
      <c r="G1760" s="12" t="n">
        <v>21.2</v>
      </c>
      <c r="H1760" s="12" t="inlineStr">
        <is>
          <t>R1 MCC-C1</t>
        </is>
      </c>
      <c r="I1760" s="12" t="inlineStr">
        <is>
          <t>LV 600 V</t>
        </is>
      </c>
      <c r="J1760" s="12" t="inlineStr">
        <is>
          <t>2</t>
        </is>
      </c>
      <c r="K1760" s="12" t="n">
        <v>1</v>
      </c>
    </row>
    <row r="1761">
      <c r="A1761" s="12" t="inlineStr">
        <is>
          <t>Water treatment building: rooftop HVAC, exhaust fans, vents</t>
        </is>
      </c>
      <c r="B1761" s="12" t="inlineStr"/>
      <c r="C1761" s="12" t="inlineStr"/>
      <c r="D1761" s="12" t="inlineStr">
        <is>
          <t>Motor 19 of 20, 15 kW</t>
        </is>
      </c>
      <c r="E1761" s="12" t="n">
        <v>480</v>
      </c>
      <c r="F1761" s="12" t="n">
        <v>15</v>
      </c>
      <c r="G1761" s="12" t="n">
        <v>21.2</v>
      </c>
      <c r="H1761" s="12" t="inlineStr">
        <is>
          <t>R1 MCC-C1</t>
        </is>
      </c>
      <c r="I1761" s="12" t="inlineStr">
        <is>
          <t>LV 600 V</t>
        </is>
      </c>
      <c r="J1761" s="12" t="inlineStr">
        <is>
          <t>2</t>
        </is>
      </c>
      <c r="K1761" s="12" t="n">
        <v>1</v>
      </c>
    </row>
    <row r="1762">
      <c r="A1762" s="12" t="inlineStr">
        <is>
          <t>Water treatment building: rooftop HVAC, exhaust fans, vents</t>
        </is>
      </c>
      <c r="B1762" s="12" t="inlineStr"/>
      <c r="C1762" s="12" t="inlineStr"/>
      <c r="D1762" s="12" t="inlineStr">
        <is>
          <t>Motor 20 of 20, 15 kW</t>
        </is>
      </c>
      <c r="E1762" s="12" t="n">
        <v>480</v>
      </c>
      <c r="F1762" s="12" t="n">
        <v>15</v>
      </c>
      <c r="G1762" s="12" t="n">
        <v>21.2</v>
      </c>
      <c r="H1762" s="12" t="inlineStr">
        <is>
          <t>R1 MCC-C1</t>
        </is>
      </c>
      <c r="I1762" s="12" t="inlineStr">
        <is>
          <t>LV 600 V</t>
        </is>
      </c>
      <c r="J1762" s="12" t="inlineStr">
        <is>
          <t>2</t>
        </is>
      </c>
      <c r="K1762"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2026-10-23T19:46:46Z</dcterms:created>
  <dcterms:modified xsi:type="dcterms:W3CDTF">2026-10-23T19:46:49Z</dcterms:modified>
</cp:coreProperties>
</file>