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Schedule'!$A$1:$AA$6266</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6265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6265</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1234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74040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1501</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1485</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1555</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1559</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1501</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1555</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1559</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1501</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Surface</t>
        </is>
      </c>
      <c r="T4294" s="15" t="n">
        <v>280</v>
      </c>
      <c r="U4294" s="15" t="n">
        <v>63</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3737</v>
      </c>
      <c r="U4546" s="15" t="n">
        <v>51</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328</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83</v>
      </c>
      <c r="U4549" s="15" t="n">
        <v>37</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3638</v>
      </c>
      <c r="U4553" s="15" t="n">
        <v>51</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3887</v>
      </c>
      <c r="U4555" s="15" t="n">
        <v>43</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4072</v>
      </c>
      <c r="U4557" s="15" t="n">
        <v>43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4116</v>
      </c>
      <c r="U4559" s="15" t="n">
        <v>43</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4015</v>
      </c>
      <c r="U4560" s="15" t="n">
        <v>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4097</v>
      </c>
      <c r="U4562" s="15" t="n">
        <v>48</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4047</v>
      </c>
      <c r="U4563" s="15" t="n">
        <v>67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4178</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4130</v>
      </c>
      <c r="U4566" s="15" t="n">
        <v>67</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122</v>
      </c>
      <c r="U4567" s="15" t="n">
        <v>37</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3444</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3404</v>
      </c>
      <c r="U4570" s="15" t="n">
        <v>50</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198</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251</v>
      </c>
      <c r="U4578" s="15" t="n">
        <v>44</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251</v>
      </c>
      <c r="U4579" s="15" t="n">
        <v>37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239</v>
      </c>
      <c r="U4580" s="15" t="n">
        <v>37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210</v>
      </c>
      <c r="U4581" s="15" t="n">
        <v>39</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Lube oil / starting air / oily water building</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344</v>
      </c>
      <c r="U4582" s="15" t="n">
        <v>164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is>
          <t>MOB-1</t>
        </is>
      </c>
      <c r="H4583" s="12" t="inlineStr">
        <is>
          <t>MOB-1: trailer genset</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238</v>
      </c>
      <c r="U4583" s="15" t="n">
        <v>53</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c r="F4584" s="12" t="inlineStr">
        <is>
          <t>PCM: power control module</t>
        </is>
      </c>
      <c r="G4584" s="12" t="inlineStr">
        <is>
          <t>MOD-EH</t>
        </is>
      </c>
      <c r="H4584" s="12" t="inlineStr">
        <is>
          <t>MOD-EH: 34.5 kV modular collector e-house (2 bus sections + 13.8 kV st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300</v>
      </c>
      <c r="U4584" s="15" t="n">
        <v>32</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is>
          <t>PAD-EH</t>
        </is>
      </c>
      <c r="F4585" s="12" t="inlineStr">
        <is>
          <t>PAD-EH 13.8 kV switchgear e-house</t>
        </is>
      </c>
      <c r="G4585" s="12" t="inlineStr"/>
      <c r="H4585" s="12" t="inlineStr">
        <is>
          <t>MT-4..6 480 V switchboard</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234</v>
      </c>
      <c r="U4585" s="15" t="n">
        <v>37</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is>
          <t>MT-4</t>
        </is>
      </c>
      <c r="H4586" s="12" t="inlineStr">
        <is>
          <t>MT-4: microturbine 1 MW (1 MW package class)</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318</v>
      </c>
      <c r="U4586" s="15" t="n">
        <v>33</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MT-5</t>
        </is>
      </c>
      <c r="H4587" s="12" t="inlineStr">
        <is>
          <t>MT-5: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304</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MT-6</t>
        </is>
      </c>
      <c r="H4588" s="12" t="inlineStr">
        <is>
          <t>MT-6: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234</v>
      </c>
      <c r="U4588" s="15" t="n">
        <v>38</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c r="F4589" s="12" t="inlineStr">
        <is>
          <t>PCM: power control module</t>
        </is>
      </c>
      <c r="G4589" s="12" t="inlineStr"/>
      <c r="H4589" s="12" t="inlineStr">
        <is>
          <t>PCM: power control module</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Tray</t>
        </is>
      </c>
      <c r="T4589" s="15" t="n">
        <v>0</v>
      </c>
      <c r="U4589" s="15" t="n">
        <v>32</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RICE CEMS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Duct bank</t>
        </is>
      </c>
      <c r="T4590" s="15" t="n">
        <v>158</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is>
          <t>RICE</t>
        </is>
      </c>
      <c r="H4591" s="12" t="inlineStr">
        <is>
          <t>RICE engine hall (8 engines)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57</v>
      </c>
      <c r="U4591" s="15" t="n">
        <v>83</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SC-1 CEMS shelter fire alarm loop</t>
        </is>
      </c>
      <c r="E4592" s="12" t="inlineStr"/>
      <c r="F4592" s="12" t="inlineStr">
        <is>
          <t>SC-1 PCM + 15 kV GCB</t>
        </is>
      </c>
      <c r="G4592" s="12" t="inlineStr"/>
      <c r="H4592" s="12" t="inlineStr">
        <is>
          <t>SC-1 CEMS shelter</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81</v>
      </c>
      <c r="U4592" s="15" t="n">
        <v>106</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PCM fire alarm / F&amp;G node to the plant FACP</t>
        </is>
      </c>
      <c r="E4593" s="12" t="inlineStr">
        <is>
          <t>CR</t>
        </is>
      </c>
      <c r="F4593" s="12" t="inlineStr">
        <is>
          <t>Control / admin building (main control room)</t>
        </is>
      </c>
      <c r="G4593" s="12" t="inlineStr"/>
      <c r="H4593" s="12" t="inlineStr">
        <is>
          <t>SC-1 PCM + 15 kV GCB</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4097</v>
      </c>
      <c r="U4593" s="15" t="n">
        <v>48</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Fire alarm / F&amp;G loop (to the local FACP / F&amp;G node)</t>
        </is>
      </c>
      <c r="E4594" s="12" t="inlineStr"/>
      <c r="F4594" s="12" t="inlineStr">
        <is>
          <t>SC-1 PCM + 15 kV GCB</t>
        </is>
      </c>
      <c r="G4594" s="12" t="inlineStr">
        <is>
          <t>SC-1</t>
        </is>
      </c>
      <c r="H4594" s="12" t="inlineStr">
        <is>
          <t>SC-1: aeroderivative simple-cycle unit (LM6000 class)</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Tray</t>
        </is>
      </c>
      <c r="T4594" s="15" t="n">
        <v>5</v>
      </c>
      <c r="U4594" s="15" t="n">
        <v>62</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SC-2 CEMS shelter fire alarm loop</t>
        </is>
      </c>
      <c r="E4595" s="12" t="inlineStr"/>
      <c r="F4595" s="12" t="inlineStr">
        <is>
          <t>SC-2 PCM + 15 kV GCB</t>
        </is>
      </c>
      <c r="G4595" s="12" t="inlineStr"/>
      <c r="H4595" s="12" t="inlineStr">
        <is>
          <t>SC-2 CEMS shelter</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74</v>
      </c>
      <c r="U4595" s="15" t="n">
        <v>112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PCM fire alarm / F&amp;G node to the plant FACP</t>
        </is>
      </c>
      <c r="E4596" s="12" t="inlineStr">
        <is>
          <t>CR</t>
        </is>
      </c>
      <c r="F4596" s="12" t="inlineStr">
        <is>
          <t>Control / admin building (main control room)</t>
        </is>
      </c>
      <c r="G4596" s="12" t="inlineStr"/>
      <c r="H4596" s="12" t="inlineStr">
        <is>
          <t>SC-2 PCM + 15 kV GCB</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4178</v>
      </c>
      <c r="U4596" s="15" t="n">
        <v>43</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Fire alarm / F&amp;G loop (to the local FACP / F&amp;G node)</t>
        </is>
      </c>
      <c r="E4597" s="12" t="inlineStr"/>
      <c r="F4597" s="12" t="inlineStr">
        <is>
          <t>SC-2 PCM + 15 kV GCB</t>
        </is>
      </c>
      <c r="G4597" s="12" t="inlineStr">
        <is>
          <t>SC-2</t>
        </is>
      </c>
      <c r="H4597" s="12" t="inlineStr">
        <is>
          <t>SC-2: aeroderivative simple-cycle unit (LM6000 class)</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35</v>
      </c>
      <c r="U4597" s="15" t="n">
        <v>32</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TM-1</t>
        </is>
      </c>
      <c r="H4598" s="12" t="inlineStr">
        <is>
          <t>TM-1: trailer-mounted aeroderivative GT (TM2500 class, ~35 MW)</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437</v>
      </c>
      <c r="U4598" s="15" t="n">
        <v>39</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I-G-0001</t>
        </is>
      </c>
      <c r="B4599" s="12" t="inlineStr">
        <is>
          <t>I</t>
        </is>
      </c>
      <c r="C4599" s="12" t="inlineStr">
        <is>
          <t>Modular / portable power</t>
        </is>
      </c>
      <c r="D4599" s="12" t="inlineStr">
        <is>
          <t>L6 GB-1 block ground ring (4/0 bare Cu) + 7 taps</t>
        </is>
      </c>
      <c r="E4599" s="12" t="inlineStr">
        <is>
          <t>GBT-1</t>
        </is>
      </c>
      <c r="F4599" s="12" t="inlineStr">
        <is>
          <t>GBT-1: block GB-1 step-up 480 V : 34.5 kV, ~3 MVA pad-mount (on the 35</t>
        </is>
      </c>
      <c r="G4599" s="12" t="inlineStr">
        <is>
          <t>GBT-1</t>
        </is>
      </c>
      <c r="H4599" s="12" t="inlineStr">
        <is>
          <t>GBT-1: block GB-1 step-up 480 V : 34.5 kV, ~3 MVA pad-mount (on the 35</t>
        </is>
      </c>
      <c r="I4599" s="12" t="inlineStr">
        <is>
          <t>Grounding</t>
        </is>
      </c>
      <c r="J4599" s="12" t="inlineStr">
        <is>
          <t>Bare Cu 4/0 AWG, 19 strand (ground grid and equipment grounds)</t>
        </is>
      </c>
      <c r="K4599" s="12" t="inlineStr">
        <is>
          <t>BARE|1/C|4/0</t>
        </is>
      </c>
      <c r="L4599" s="12" t="inlineStr">
        <is>
          <t>1/C</t>
        </is>
      </c>
      <c r="M4599" s="12" t="inlineStr">
        <is>
          <t>4/0</t>
        </is>
      </c>
      <c r="N4599" s="12" t="n">
        <v>1</v>
      </c>
      <c r="O4599" s="12" t="n">
        <v>1</v>
      </c>
      <c r="P4599" s="12" t="n"/>
      <c r="Q4599" s="12" t="n"/>
      <c r="R4599" s="12" t="n"/>
      <c r="S4599" s="12" t="inlineStr">
        <is>
          <t>Buried</t>
        </is>
      </c>
      <c r="T4599" s="15" t="n">
        <v>236</v>
      </c>
      <c r="U4599" s="15" t="n">
        <v>0</v>
      </c>
      <c r="V4599" s="15">
        <f>ROUNDUP((T4599+U4599+2*'Read Me'!$B$13)*(1+'Read Me'!$B$12),-1)</f>
        <v/>
      </c>
      <c r="W4599" s="15">
        <f>V4599*N4599*O4599</f>
        <v/>
      </c>
      <c r="X4599" s="12">
        <f>IF(LEFT(I4599,2)="MV",2*N4599*IF(L4599="1/C",O4599,1),0)</f>
        <v/>
      </c>
      <c r="Y4599" s="12">
        <f>IF(OR(LEFT(K4599,4)="LVAX",LEFT(K4599,6)="MV15AX",LEFT(K4599,4)="CTAX",LEFT(K4599,2)="W|"),2*N4599*O4599,0)</f>
        <v/>
      </c>
      <c r="Z4599" s="12" t="inlineStr">
        <is>
          <t>ring 2 x (74 + 23) ft + 7 taps x 6 ft</t>
        </is>
      </c>
      <c r="AA4599" s="12">
        <f>N4599*O4599</f>
        <v/>
      </c>
    </row>
    <row r="4600">
      <c r="A4600" s="12" t="inlineStr">
        <is>
          <t>I-G-0002</t>
        </is>
      </c>
      <c r="B4600" s="12" t="inlineStr">
        <is>
          <t>I</t>
        </is>
      </c>
      <c r="C4600" s="12" t="inlineStr">
        <is>
          <t>Modular / portable power</t>
        </is>
      </c>
      <c r="D4600" s="12" t="inlineStr">
        <is>
          <t>L6 GB-2 block ground ring (4/0 bare Cu) + 7 taps</t>
        </is>
      </c>
      <c r="E4600" s="12" t="inlineStr">
        <is>
          <t>GBT-2</t>
        </is>
      </c>
      <c r="F4600" s="12" t="inlineStr">
        <is>
          <t>GBT-2: block GB-2 step-up 480 V : 34.5 kV, ~3 MVA pad-mount (on the 35</t>
        </is>
      </c>
      <c r="G4600" s="12" t="inlineStr">
        <is>
          <t>GBT-2</t>
        </is>
      </c>
      <c r="H4600" s="12" t="inlineStr">
        <is>
          <t>GBT-2: block GB-2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I-G-0003</t>
        </is>
      </c>
      <c r="B4601" s="12" t="inlineStr">
        <is>
          <t>I</t>
        </is>
      </c>
      <c r="C4601" s="12" t="inlineStr">
        <is>
          <t>Modular / portable power</t>
        </is>
      </c>
      <c r="D4601" s="12" t="inlineStr">
        <is>
          <t>L6 GB-3 block ground ring (4/0 bare Cu) + 7 taps</t>
        </is>
      </c>
      <c r="E4601" s="12" t="inlineStr">
        <is>
          <t>GBT-3</t>
        </is>
      </c>
      <c r="F4601" s="12" t="inlineStr">
        <is>
          <t>GBT-3: block GB-3 step-up 480 V : 34.5 kV, ~3 MVA pad-mount (on the 35</t>
        </is>
      </c>
      <c r="G4601" s="12" t="inlineStr">
        <is>
          <t>GBT-3</t>
        </is>
      </c>
      <c r="H4601" s="12" t="inlineStr">
        <is>
          <t>GBT-3: block GB-3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I-G-0004</t>
        </is>
      </c>
      <c r="B4602" s="12" t="inlineStr">
        <is>
          <t>I</t>
        </is>
      </c>
      <c r="C4602" s="12" t="inlineStr">
        <is>
          <t>Modular / portable power</t>
        </is>
      </c>
      <c r="D4602" s="12" t="inlineStr">
        <is>
          <t>L6 GB-4 block ground ring (4/0 bare Cu) + 7 taps</t>
        </is>
      </c>
      <c r="E4602" s="12" t="inlineStr">
        <is>
          <t>GBT-4</t>
        </is>
      </c>
      <c r="F4602" s="12" t="inlineStr">
        <is>
          <t>GBT-4: block GB-4 step-up 480 V : 34.5 kV, ~3 MVA pad-mount (on the 35</t>
        </is>
      </c>
      <c r="G4602" s="12" t="inlineStr">
        <is>
          <t>GBT-4</t>
        </is>
      </c>
      <c r="H4602" s="12" t="inlineStr">
        <is>
          <t>GBT-4: block GB-4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I-I-0001</t>
        </is>
      </c>
      <c r="B4603" s="12" t="inlineStr">
        <is>
          <t>I</t>
        </is>
      </c>
      <c r="C4603" s="12" t="inlineStr">
        <is>
          <t>Modular / portable power</t>
        </is>
      </c>
      <c r="D4603" s="12" t="inlineStr">
        <is>
          <t>AX-GSU monitoring: temperatures, gas relay, oil level</t>
        </is>
      </c>
      <c r="E4603" s="12" t="inlineStr">
        <is>
          <t>AX-1</t>
        </is>
      </c>
      <c r="F4603" s="12" t="inlineStr">
        <is>
          <t xml:space="preserve">AX-1: compact modular aeroderivative installation, LM2500XPRESS class </t>
        </is>
      </c>
      <c r="G4603" s="12" t="inlineStr">
        <is>
          <t>AX-GSU</t>
        </is>
      </c>
      <c r="H4603" s="12" t="inlineStr">
        <is>
          <t>AX-GSU: 13.8 / 34.5 kV step-up, ~45 MVA (AX-1 unit step-up)</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Duct bank</t>
        </is>
      </c>
      <c r="T4603" s="15" t="n">
        <v>28</v>
      </c>
      <c r="U4603" s="15" t="n">
        <v>32</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I-I-0002</t>
        </is>
      </c>
      <c r="B4604" s="12" t="inlineStr">
        <is>
          <t>I</t>
        </is>
      </c>
      <c r="C4604" s="12" t="inlineStr">
        <is>
          <t>Modular / portable power</t>
        </is>
      </c>
      <c r="D4604" s="12" t="inlineStr">
        <is>
          <t>Analog instrument to JB JB-Aqueous ammonia (S-AI01: 6 x 1 pr (field cables)</t>
        </is>
      </c>
      <c r="E4604" s="12" t="inlineStr"/>
      <c r="F4604" s="12" t="inlineStr">
        <is>
          <t>Aqueous ammonia (SC units)</t>
        </is>
      </c>
      <c r="G4604" s="12" t="inlineStr">
        <is>
          <t>JB-Aqueous ammonia (S-AI01</t>
        </is>
      </c>
      <c r="H4604" s="12" t="inlineStr">
        <is>
          <t>Aqueous ammonia (SC units)</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6</v>
      </c>
      <c r="O4604" s="12" t="n">
        <v>1</v>
      </c>
      <c r="P4604" s="12" t="n"/>
      <c r="Q4604" s="12" t="n"/>
      <c r="R4604" s="12" t="n"/>
      <c r="S4604" s="12" t="inlineStr">
        <is>
          <t>Tray / conduit</t>
        </is>
      </c>
      <c r="T4604" s="15" t="n">
        <v>55</v>
      </c>
      <c r="U4604" s="15" t="n">
        <v>10</v>
      </c>
      <c r="V4604" s="15">
        <f>ROUNDUP((T4604+U4604+2*'Read Me'!$B$13)*(1+'Read Me'!$B$12),-1)</f>
        <v/>
      </c>
      <c r="W4604" s="15">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I-I-0003</t>
        </is>
      </c>
      <c r="B4605" s="12" t="inlineStr">
        <is>
          <t>I</t>
        </is>
      </c>
      <c r="C4605" s="12" t="inlineStr">
        <is>
          <t>Modular / portable power</t>
        </is>
      </c>
      <c r="D4605" s="12" t="inlineStr">
        <is>
          <t>Home run JB-Aqueous ammonia (S-AI01 to the control / marshalling room</t>
        </is>
      </c>
      <c r="E4605" s="12" t="inlineStr"/>
      <c r="F4605" s="12" t="inlineStr">
        <is>
          <t>SC-2 PCM + 15 kV GCB</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5" t="n">
        <v>0</v>
      </c>
      <c r="U4605" s="15" t="n">
        <v>98</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I-I-0004</t>
        </is>
      </c>
      <c r="B4606" s="12" t="inlineStr">
        <is>
          <t>I</t>
        </is>
      </c>
      <c r="C4606" s="12" t="inlineStr">
        <is>
          <t>Modular / portable power</t>
        </is>
      </c>
      <c r="D4606" s="12" t="inlineStr">
        <is>
          <t>Discrete device to JB JB-Aqueous ammonia (S-DI01: 6 x 1 pr (field cables)</t>
        </is>
      </c>
      <c r="E4606" s="12" t="inlineStr"/>
      <c r="F4606" s="12" t="inlineStr">
        <is>
          <t>Aqueous ammonia (SC units)</t>
        </is>
      </c>
      <c r="G4606" s="12" t="inlineStr">
        <is>
          <t>JB-Aqueous ammonia (S-DI01</t>
        </is>
      </c>
      <c r="H4606" s="12" t="inlineStr">
        <is>
          <t>Aqueous ammonia (SC units)</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5" t="n">
        <v>55</v>
      </c>
      <c r="U4606" s="15" t="n">
        <v>10</v>
      </c>
      <c r="V4606" s="15">
        <f>ROUNDUP((T4606+U4606+2*'Read Me'!$B$13)*(1+'Read Me'!$B$12),-1)</f>
        <v/>
      </c>
      <c r="W4606" s="15">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I-I-0005</t>
        </is>
      </c>
      <c r="B4607" s="12" t="inlineStr">
        <is>
          <t>I</t>
        </is>
      </c>
      <c r="C4607" s="12" t="inlineStr">
        <is>
          <t>Modular / portable power</t>
        </is>
      </c>
      <c r="D4607" s="12" t="inlineStr">
        <is>
          <t>Home run JB-Aqueous ammonia (S-DI01 to the control / marshalling room</t>
        </is>
      </c>
      <c r="E4607" s="12" t="inlineStr"/>
      <c r="F4607" s="12" t="inlineStr">
        <is>
          <t>SC-2 PCM + 15 kV GCB</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5" t="n">
        <v>0</v>
      </c>
      <c r="U4607" s="15" t="n">
        <v>98</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I-I-0006</t>
        </is>
      </c>
      <c r="B4608" s="12" t="inlineStr">
        <is>
          <t>I</t>
        </is>
      </c>
      <c r="C4608" s="12" t="inlineStr">
        <is>
          <t>Modular / portable power</t>
        </is>
      </c>
      <c r="D4608" s="12" t="inlineStr">
        <is>
          <t>Analog instrument to JB JB-Black-start genset-AI01: 20 x 1 pr (field cables)</t>
        </is>
      </c>
      <c r="E4608" s="12" t="inlineStr"/>
      <c r="F4608" s="12" t="inlineStr">
        <is>
          <t>Black-start genset (proposed; requires study)</t>
        </is>
      </c>
      <c r="G4608" s="12" t="inlineStr">
        <is>
          <t>JB-Black-start genset-AI01</t>
        </is>
      </c>
      <c r="H4608" s="12" t="inlineStr">
        <is>
          <t>Black-start genset (proposed; requires study)</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5" t="n">
        <v>59</v>
      </c>
      <c r="U4608" s="15" t="n">
        <v>10</v>
      </c>
      <c r="V4608" s="15">
        <f>ROUNDUP((T4608+U4608+2*'Read Me'!$B$13)*(1+'Read Me'!$B$12),-1)</f>
        <v/>
      </c>
      <c r="W4608" s="15">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I-I-0007</t>
        </is>
      </c>
      <c r="B4609" s="12" t="inlineStr">
        <is>
          <t>I</t>
        </is>
      </c>
      <c r="C4609" s="12" t="inlineStr">
        <is>
          <t>Modular / portable power</t>
        </is>
      </c>
      <c r="D4609" s="12" t="inlineStr">
        <is>
          <t>Home run JB-Black-start genset-AI01 to the control / marshalling room</t>
        </is>
      </c>
      <c r="E4609" s="12" t="inlineStr"/>
      <c r="F4609" s="12" t="inlineStr">
        <is>
          <t>PCM: power control module</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5" t="n">
        <v>590</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I-I-0008</t>
        </is>
      </c>
      <c r="B4610" s="12" t="inlineStr">
        <is>
          <t>I</t>
        </is>
      </c>
      <c r="C4610" s="12" t="inlineStr">
        <is>
          <t>Modular / portable power</t>
        </is>
      </c>
      <c r="D4610" s="12" t="inlineStr">
        <is>
          <t>Discrete device to JB JB-Black-start genset-DI01: 20 x 1 pr (field cables)</t>
        </is>
      </c>
      <c r="E4610" s="12" t="inlineStr"/>
      <c r="F4610" s="12" t="inlineStr">
        <is>
          <t>Black-start genset (proposed; requires study)</t>
        </is>
      </c>
      <c r="G4610" s="12" t="inlineStr">
        <is>
          <t>JB-Black-start genset-DI01</t>
        </is>
      </c>
      <c r="H4610" s="12" t="inlineStr">
        <is>
          <t>Black-start genset (proposed; requires study)</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5" t="n">
        <v>59</v>
      </c>
      <c r="U4610" s="15" t="n">
        <v>10</v>
      </c>
      <c r="V4610" s="15">
        <f>ROUNDUP((T4610+U4610+2*'Read Me'!$B$13)*(1+'Read Me'!$B$12),-1)</f>
        <v/>
      </c>
      <c r="W4610" s="15">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I-I-0009</t>
        </is>
      </c>
      <c r="B4611" s="12" t="inlineStr">
        <is>
          <t>I</t>
        </is>
      </c>
      <c r="C4611" s="12" t="inlineStr">
        <is>
          <t>Modular / portable power</t>
        </is>
      </c>
      <c r="D4611" s="12" t="inlineStr">
        <is>
          <t>Home run JB-Black-start genset-DI01 to the control / marshalling room</t>
        </is>
      </c>
      <c r="E4611" s="12" t="inlineStr"/>
      <c r="F4611" s="12" t="inlineStr">
        <is>
          <t>PCM: power control module</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5" t="n">
        <v>590</v>
      </c>
      <c r="U4611" s="15" t="n">
        <v>32</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I-I-0010</t>
        </is>
      </c>
      <c r="B4612" s="12" t="inlineStr">
        <is>
          <t>I</t>
        </is>
      </c>
      <c r="C4612" s="12" t="inlineStr">
        <is>
          <t>Modular / portable power</t>
        </is>
      </c>
      <c r="D4612" s="12" t="inlineStr">
        <is>
          <t>Analog instrument to JB JB-Black-start genset-AI01: 20 x 1 pr (field cables)</t>
        </is>
      </c>
      <c r="E4612" s="12" t="inlineStr"/>
      <c r="F4612" s="12" t="inlineStr">
        <is>
          <t>Black-start genset (proposed; requires study)</t>
        </is>
      </c>
      <c r="G4612" s="12" t="inlineStr">
        <is>
          <t>JB-Black-start genset-AI01</t>
        </is>
      </c>
      <c r="H4612" s="12" t="inlineStr">
        <is>
          <t>Black-start genset (proposed; requires study)</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5" t="n">
        <v>59</v>
      </c>
      <c r="U4612" s="15" t="n">
        <v>10</v>
      </c>
      <c r="V4612" s="15">
        <f>ROUNDUP((T4612+U4612+2*'Read Me'!$B$13)*(1+'Read Me'!$B$12),-1)</f>
        <v/>
      </c>
      <c r="W4612" s="15">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I-I-0011</t>
        </is>
      </c>
      <c r="B4613" s="12" t="inlineStr">
        <is>
          <t>I</t>
        </is>
      </c>
      <c r="C4613" s="12" t="inlineStr">
        <is>
          <t>Modular / portable power</t>
        </is>
      </c>
      <c r="D4613" s="12" t="inlineStr">
        <is>
          <t>Home run JB-Black-start genset-AI01 to the control / marshalling room</t>
        </is>
      </c>
      <c r="E4613" s="12" t="inlineStr"/>
      <c r="F4613" s="12" t="inlineStr">
        <is>
          <t>PCM: power control module</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5" t="n">
        <v>590</v>
      </c>
      <c r="U4613" s="15" t="n">
        <v>40</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I-I-0012</t>
        </is>
      </c>
      <c r="B4614" s="12" t="inlineStr">
        <is>
          <t>I</t>
        </is>
      </c>
      <c r="C4614" s="12" t="inlineStr">
        <is>
          <t>Modular / portable power</t>
        </is>
      </c>
      <c r="D4614" s="12" t="inlineStr">
        <is>
          <t>Discrete device to JB JB-Black-start genset-DI01: 20 x 1 pr (field cables)</t>
        </is>
      </c>
      <c r="E4614" s="12" t="inlineStr"/>
      <c r="F4614" s="12" t="inlineStr">
        <is>
          <t>Black-start genset (proposed; requires study)</t>
        </is>
      </c>
      <c r="G4614" s="12" t="inlineStr">
        <is>
          <t>JB-Black-start genset-DI01</t>
        </is>
      </c>
      <c r="H4614" s="12" t="inlineStr">
        <is>
          <t>Black-start genset (proposed; requires study)</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5" t="n">
        <v>59</v>
      </c>
      <c r="U4614" s="15" t="n">
        <v>10</v>
      </c>
      <c r="V4614" s="15">
        <f>ROUNDUP((T4614+U4614+2*'Read Me'!$B$13)*(1+'Read Me'!$B$12),-1)</f>
        <v/>
      </c>
      <c r="W4614" s="15">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I-I-0013</t>
        </is>
      </c>
      <c r="B4615" s="12" t="inlineStr">
        <is>
          <t>I</t>
        </is>
      </c>
      <c r="C4615" s="12" t="inlineStr">
        <is>
          <t>Modular / portable power</t>
        </is>
      </c>
      <c r="D4615" s="12" t="inlineStr">
        <is>
          <t>Home run JB-Black-start genset-DI01 to the control / marshalling room</t>
        </is>
      </c>
      <c r="E4615" s="12" t="inlineStr"/>
      <c r="F4615" s="12" t="inlineStr">
        <is>
          <t>PCM: power control module</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5" t="n">
        <v>590</v>
      </c>
      <c r="U4615" s="15" t="n">
        <v>40</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I-I-0014</t>
        </is>
      </c>
      <c r="B4616" s="12" t="inlineStr">
        <is>
          <t>I</t>
        </is>
      </c>
      <c r="C4616" s="12" t="inlineStr">
        <is>
          <t>Modular / portable power</t>
        </is>
      </c>
      <c r="D4616" s="12" t="inlineStr">
        <is>
          <t>CGE-1 instrumentation</t>
        </is>
      </c>
      <c r="E4616" s="12" t="inlineStr">
        <is>
          <t>CGE-SWG</t>
        </is>
      </c>
      <c r="F4616" s="12" t="inlineStr">
        <is>
          <t>CGE-SWG: 13.8 kV switchgear container (engine breakers, site feeder)</t>
        </is>
      </c>
      <c r="G4616" s="12" t="inlineStr">
        <is>
          <t>CGE-1</t>
        </is>
      </c>
      <c r="H4616" s="12" t="inlineStr">
        <is>
          <t>CGE-1: containerized gas-engine generator ~4.4 MW, 13.8 kV (40 ft engi</t>
        </is>
      </c>
      <c r="I4616" s="12" t="inlineStr">
        <is>
          <t>Instrumentation</t>
        </is>
      </c>
      <c r="J4616" s="12" t="inlineStr">
        <is>
          <t>Instrumentation ITC / PLTC, IS, #18 shielded pairs, blue jacket</t>
        </is>
      </c>
      <c r="K4616" s="12" t="inlineStr">
        <is>
          <t>ITC|4 pr|18</t>
        </is>
      </c>
      <c r="L4616" s="12" t="inlineStr">
        <is>
          <t>4 pr</t>
        </is>
      </c>
      <c r="M4616" s="12" t="inlineStr">
        <is>
          <t>18</t>
        </is>
      </c>
      <c r="N4616" s="12" t="n">
        <v>1</v>
      </c>
      <c r="O4616" s="12" t="n">
        <v>1</v>
      </c>
      <c r="P4616" s="12" t="n"/>
      <c r="Q4616" s="12" t="n"/>
      <c r="R4616" s="12" t="n"/>
      <c r="S4616" s="12" t="inlineStr">
        <is>
          <t>Duct bank</t>
        </is>
      </c>
      <c r="T4616" s="15" t="n">
        <v>65</v>
      </c>
      <c r="U4616" s="15" t="n">
        <v>46</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I-I-0015</t>
        </is>
      </c>
      <c r="B4617" s="12" t="inlineStr">
        <is>
          <t>I</t>
        </is>
      </c>
      <c r="C4617" s="12" t="inlineStr">
        <is>
          <t>Modular / portable power</t>
        </is>
      </c>
      <c r="D4617" s="12" t="inlineStr">
        <is>
          <t>CGE-2 instrumentation</t>
        </is>
      </c>
      <c r="E4617" s="12" t="inlineStr">
        <is>
          <t>CGE-SWG</t>
        </is>
      </c>
      <c r="F4617" s="12" t="inlineStr">
        <is>
          <t>CGE-SWG: 13.8 kV switchgear container (engine breakers, site feeder)</t>
        </is>
      </c>
      <c r="G4617" s="12" t="inlineStr">
        <is>
          <t>CGE-2</t>
        </is>
      </c>
      <c r="H4617" s="12" t="inlineStr">
        <is>
          <t>CGE-2: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47</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I-I-0016</t>
        </is>
      </c>
      <c r="B4618" s="12" t="inlineStr">
        <is>
          <t>I</t>
        </is>
      </c>
      <c r="C4618" s="12" t="inlineStr">
        <is>
          <t>Modular / portable power</t>
        </is>
      </c>
      <c r="D4618" s="12" t="inlineStr">
        <is>
          <t>CGE-3 instrumentation</t>
        </is>
      </c>
      <c r="E4618" s="12" t="inlineStr">
        <is>
          <t>CGE-SWG</t>
        </is>
      </c>
      <c r="F4618" s="12" t="inlineStr">
        <is>
          <t>CGE-SWG: 13.8 kV switchgear container (engine breakers, site feeder)</t>
        </is>
      </c>
      <c r="G4618" s="12" t="inlineStr">
        <is>
          <t>CGE-3</t>
        </is>
      </c>
      <c r="H4618" s="12" t="inlineStr">
        <is>
          <t>CGE-3: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29</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I-I-0017</t>
        </is>
      </c>
      <c r="B4619" s="12" t="inlineStr">
        <is>
          <t>I</t>
        </is>
      </c>
      <c r="C4619" s="12" t="inlineStr">
        <is>
          <t>Modular / portable power</t>
        </is>
      </c>
      <c r="D4619" s="12" t="inlineStr">
        <is>
          <t>CGE-4 instrumentation</t>
        </is>
      </c>
      <c r="E4619" s="12" t="inlineStr">
        <is>
          <t>CGE-SWG</t>
        </is>
      </c>
      <c r="F4619" s="12" t="inlineStr">
        <is>
          <t>CGE-SWG: 13.8 kV switchgear container (engine breakers, site feeder)</t>
        </is>
      </c>
      <c r="G4619" s="12" t="inlineStr">
        <is>
          <t>CGE-4</t>
        </is>
      </c>
      <c r="H4619" s="12" t="inlineStr">
        <is>
          <t>CGE-4: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32</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I-I-0018</t>
        </is>
      </c>
      <c r="B4620" s="12" t="inlineStr">
        <is>
          <t>I</t>
        </is>
      </c>
      <c r="C4620" s="12" t="inlineStr">
        <is>
          <t>Modular / portable power</t>
        </is>
      </c>
      <c r="D4620" s="12" t="inlineStr">
        <is>
          <t>CGE-AUX monitoring: temperatures, gas relay, oil level</t>
        </is>
      </c>
      <c r="E4620" s="12" t="inlineStr">
        <is>
          <t>CGE-SWG</t>
        </is>
      </c>
      <c r="F4620" s="12" t="inlineStr">
        <is>
          <t>CGE-SWG: 13.8 kV switchgear container (engine breakers, site feeder)</t>
        </is>
      </c>
      <c r="G4620" s="12" t="inlineStr">
        <is>
          <t>CGE-AUX</t>
        </is>
      </c>
      <c r="H4620" s="12" t="inlineStr">
        <is>
          <t>CGE-AUX: 13.8 / 0.48 kV auxiliary transformer (cooling containers, rad</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12</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I-I-0019</t>
        </is>
      </c>
      <c r="B4621" s="12" t="inlineStr">
        <is>
          <t>I</t>
        </is>
      </c>
      <c r="C4621" s="12" t="inlineStr">
        <is>
          <t>Modular / portable power</t>
        </is>
      </c>
      <c r="D4621" s="12" t="inlineStr">
        <is>
          <t>CGE-GSU monitoring: temperatures, gas relay, oil level</t>
        </is>
      </c>
      <c r="E4621" s="12" t="inlineStr">
        <is>
          <t>CGE-SWG</t>
        </is>
      </c>
      <c r="F4621" s="12" t="inlineStr">
        <is>
          <t>CGE-SWG: 13.8 kV switchgear container (engine breakers, site feeder)</t>
        </is>
      </c>
      <c r="G4621" s="12" t="inlineStr">
        <is>
          <t>CGE-GSU</t>
        </is>
      </c>
      <c r="H4621" s="12" t="inlineStr">
        <is>
          <t>CGE-GSU: 13.8 / 34.5 kV step-up, ~20 MVA (containerized engines)</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10</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I-I-0020</t>
        </is>
      </c>
      <c r="B4622" s="12" t="inlineStr">
        <is>
          <t>I</t>
        </is>
      </c>
      <c r="C4622" s="12" t="inlineStr">
        <is>
          <t>Modular / portable power</t>
        </is>
      </c>
      <c r="D4622" s="12" t="inlineStr">
        <is>
          <t>CHP-1 instrumentation (incl. heat-recovery temperatures)</t>
        </is>
      </c>
      <c r="E4622" s="12" t="inlineStr">
        <is>
          <t>CHP-SWG</t>
        </is>
      </c>
      <c r="F4622" s="12" t="inlineStr">
        <is>
          <t>CHP-SWG: 13.8 kV switchgear container (4 engine breakers, site feeder)</t>
        </is>
      </c>
      <c r="G4622" s="12" t="inlineStr">
        <is>
          <t>CHP-1</t>
        </is>
      </c>
      <c r="H4622" s="12" t="inlineStr">
        <is>
          <t>CHP-1: gas-engine generator ~2.5 MW with exhaust heat recovery, 13.8 k</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58</v>
      </c>
      <c r="U4622" s="15" t="n">
        <v>46</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I-I-0021</t>
        </is>
      </c>
      <c r="B4623" s="12" t="inlineStr">
        <is>
          <t>I</t>
        </is>
      </c>
      <c r="C4623" s="12" t="inlineStr">
        <is>
          <t>Modular / portable power</t>
        </is>
      </c>
      <c r="D4623" s="12" t="inlineStr">
        <is>
          <t>CHP-2 instrumentation (incl. heat-recovery temperatures)</t>
        </is>
      </c>
      <c r="E4623" s="12" t="inlineStr">
        <is>
          <t>CHP-SWG</t>
        </is>
      </c>
      <c r="F4623" s="12" t="inlineStr">
        <is>
          <t>CHP-SWG: 13.8 kV switchgear container (4 engine breakers, site feeder)</t>
        </is>
      </c>
      <c r="G4623" s="12" t="inlineStr">
        <is>
          <t>CHP-2</t>
        </is>
      </c>
      <c r="H4623" s="12" t="inlineStr">
        <is>
          <t>CHP-2: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I-I-0022</t>
        </is>
      </c>
      <c r="B4624" s="12" t="inlineStr">
        <is>
          <t>I</t>
        </is>
      </c>
      <c r="C4624" s="12" t="inlineStr">
        <is>
          <t>Modular / portable power</t>
        </is>
      </c>
      <c r="D4624" s="12" t="inlineStr">
        <is>
          <t>CHP-3 instrumentation (incl. heat-recovery temperatures)</t>
        </is>
      </c>
      <c r="E4624" s="12" t="inlineStr">
        <is>
          <t>CHP-SWG</t>
        </is>
      </c>
      <c r="F4624" s="12" t="inlineStr">
        <is>
          <t>CHP-SWG: 13.8 kV switchgear container (4 engine breakers, site feeder)</t>
        </is>
      </c>
      <c r="G4624" s="12" t="inlineStr">
        <is>
          <t>CHP-3</t>
        </is>
      </c>
      <c r="H4624" s="12" t="inlineStr">
        <is>
          <t>CHP-3: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33</v>
      </c>
      <c r="U4624" s="15" t="n">
        <v>33</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I-I-0023</t>
        </is>
      </c>
      <c r="B4625" s="12" t="inlineStr">
        <is>
          <t>I</t>
        </is>
      </c>
      <c r="C4625" s="12" t="inlineStr">
        <is>
          <t>Modular / portable power</t>
        </is>
      </c>
      <c r="D4625" s="12" t="inlineStr">
        <is>
          <t>CHP-4 instrumentation (incl. heat-recovery temperatures)</t>
        </is>
      </c>
      <c r="E4625" s="12" t="inlineStr">
        <is>
          <t>CHP-SWG</t>
        </is>
      </c>
      <c r="F4625" s="12" t="inlineStr">
        <is>
          <t>CHP-SWG: 13.8 kV switchgear container (4 engine breakers, site feeder)</t>
        </is>
      </c>
      <c r="G4625" s="12" t="inlineStr">
        <is>
          <t>CHP-4</t>
        </is>
      </c>
      <c r="H4625" s="12" t="inlineStr">
        <is>
          <t>CHP-4: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20</v>
      </c>
      <c r="U4625" s="15" t="n">
        <v>32</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I-I-0024</t>
        </is>
      </c>
      <c r="B4626" s="12" t="inlineStr">
        <is>
          <t>I</t>
        </is>
      </c>
      <c r="C4626" s="12" t="inlineStr">
        <is>
          <t>Modular / portable power</t>
        </is>
      </c>
      <c r="D4626" s="12" t="inlineStr">
        <is>
          <t>CHP-AUX monitoring: temperatures, gas relay, oil level</t>
        </is>
      </c>
      <c r="E4626" s="12" t="inlineStr">
        <is>
          <t>CHP-SWG</t>
        </is>
      </c>
      <c r="F4626" s="12" t="inlineStr">
        <is>
          <t>CHP-SWG: 13.8 kV switchgear container (4 engine breakers, site feeder)</t>
        </is>
      </c>
      <c r="G4626" s="12" t="inlineStr">
        <is>
          <t>CHP-AUX</t>
        </is>
      </c>
      <c r="H4626" s="12" t="inlineStr">
        <is>
          <t>CHP-AUX: 13.8 / 0.48 kV, 750 kVA auxiliary pad-mount (engine auxiliari</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4</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I-I-0025</t>
        </is>
      </c>
      <c r="B4627" s="12" t="inlineStr">
        <is>
          <t>I</t>
        </is>
      </c>
      <c r="C4627" s="12" t="inlineStr">
        <is>
          <t>Modular / portable power</t>
        </is>
      </c>
      <c r="D4627" s="12" t="inlineStr">
        <is>
          <t>CHP-HR heat-recovery instrumentation (flows, temperatures, valves)</t>
        </is>
      </c>
      <c r="E4627" s="12" t="inlineStr">
        <is>
          <t>CHP-SWG</t>
        </is>
      </c>
      <c r="F4627" s="12" t="inlineStr">
        <is>
          <t>CHP-SWG: 13.8 kV switchgear container (4 engine breakers, site feeder)</t>
        </is>
      </c>
      <c r="G4627" s="12" t="inlineStr">
        <is>
          <t>CHP-HR</t>
        </is>
      </c>
      <c r="H4627" s="12" t="inlineStr">
        <is>
          <t>CHP-HR: exhaust heat-recovery rack (4 exhaust heat exchangers and stac</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40</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I-I-0026</t>
        </is>
      </c>
      <c r="B4628" s="12" t="inlineStr">
        <is>
          <t>I</t>
        </is>
      </c>
      <c r="C4628" s="12" t="inlineStr">
        <is>
          <t>Modular / portable power</t>
        </is>
      </c>
      <c r="D4628" s="12" t="inlineStr">
        <is>
          <t>Instrumentation</t>
        </is>
      </c>
      <c r="E4628" s="12" t="inlineStr"/>
      <c r="F4628" s="12" t="inlineStr">
        <is>
          <t>PCM: power control module</t>
        </is>
      </c>
      <c r="G4628" s="12" t="inlineStr"/>
      <c r="H4628" s="12" t="inlineStr">
        <is>
          <t>CONDITIONAL: BESS black-start alternative</t>
        </is>
      </c>
      <c r="I4628" s="12" t="inlineStr">
        <is>
          <t>Instrumentation</t>
        </is>
      </c>
      <c r="J4628" s="12" t="inlineStr">
        <is>
          <t>Instrumentation PLTC / TC-ER 300 V, #18 twisted shielded pairs, overall shield</t>
        </is>
      </c>
      <c r="K4628" s="12" t="inlineStr">
        <is>
          <t>PLTC|4 pr|18</t>
        </is>
      </c>
      <c r="L4628" s="12" t="inlineStr">
        <is>
          <t>4 pr</t>
        </is>
      </c>
      <c r="M4628" s="12" t="inlineStr">
        <is>
          <t>18</t>
        </is>
      </c>
      <c r="N4628" s="12" t="n">
        <v>1</v>
      </c>
      <c r="O4628" s="12" t="n">
        <v>1</v>
      </c>
      <c r="P4628" s="12" t="n"/>
      <c r="Q4628" s="12" t="n"/>
      <c r="R4628" s="12" t="n"/>
      <c r="S4628" s="12" t="inlineStr">
        <is>
          <t>Duct bank</t>
        </is>
      </c>
      <c r="T4628" s="15" t="n">
        <v>516</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I-I-0027</t>
        </is>
      </c>
      <c r="B4629" s="12" t="inlineStr">
        <is>
          <t>I</t>
        </is>
      </c>
      <c r="C4629" s="12" t="inlineStr">
        <is>
          <t>Modular / portable power</t>
        </is>
      </c>
      <c r="D4629" s="12" t="inlineStr">
        <is>
          <t>Thermocouples</t>
        </is>
      </c>
      <c r="E4629" s="12" t="inlineStr"/>
      <c r="F4629" s="12" t="inlineStr">
        <is>
          <t>PCM: power control module</t>
        </is>
      </c>
      <c r="G4629" s="12" t="inlineStr"/>
      <c r="H4629" s="12" t="inlineStr">
        <is>
          <t>CONDITIONAL: BESS black-start alternative</t>
        </is>
      </c>
      <c r="I4629" s="12" t="inlineStr">
        <is>
          <t>Instrumentation</t>
        </is>
      </c>
      <c r="J4629" s="12" t="inlineStr">
        <is>
          <t>Thermocouple extension KX, #16 shielded pairs, PLTC</t>
        </is>
      </c>
      <c r="K4629" s="12" t="inlineStr">
        <is>
          <t>TCX|12 pr|16</t>
        </is>
      </c>
      <c r="L4629" s="12" t="inlineStr">
        <is>
          <t>12 pr</t>
        </is>
      </c>
      <c r="M4629" s="12" t="inlineStr">
        <is>
          <t>16</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I-I-0028</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I-I-0029</t>
        </is>
      </c>
      <c r="B4631" s="12" t="inlineStr">
        <is>
          <t>I</t>
        </is>
      </c>
      <c r="C4631" s="12" t="inlineStr">
        <is>
          <t>Modular / portable power</t>
        </is>
      </c>
      <c r="D4631" s="12" t="inlineStr">
        <is>
          <t>Instrumentation</t>
        </is>
      </c>
      <c r="E4631" s="12" t="inlineStr"/>
      <c r="F4631" s="12" t="inlineStr">
        <is>
          <t>SC-1 PCM + 15 kV GCB</t>
        </is>
      </c>
      <c r="G4631" s="12" t="inlineStr"/>
      <c r="H4631" s="12" t="inlineStr">
        <is>
          <t>CONDITIONAL: SC-1 inlet chiller / evaporative cooler</t>
        </is>
      </c>
      <c r="I4631" s="12" t="inlineStr">
        <is>
          <t>Instrumentation</t>
        </is>
      </c>
      <c r="J4631" s="12" t="inlineStr">
        <is>
          <t>Instrumentation PLTC / TC-ER 300 V, #18 twisted shielded pairs, overall shield</t>
        </is>
      </c>
      <c r="K4631" s="12" t="inlineStr">
        <is>
          <t>PLTC|4 pr|18</t>
        </is>
      </c>
      <c r="L4631" s="12" t="inlineStr">
        <is>
          <t>4 pr</t>
        </is>
      </c>
      <c r="M4631" s="12" t="inlineStr">
        <is>
          <t>18</t>
        </is>
      </c>
      <c r="N4631" s="12" t="n">
        <v>1</v>
      </c>
      <c r="O4631" s="12" t="n">
        <v>1</v>
      </c>
      <c r="P4631" s="12" t="n"/>
      <c r="Q4631" s="12" t="n"/>
      <c r="R4631" s="12" t="n"/>
      <c r="S4631" s="12" t="inlineStr">
        <is>
          <t>Duct bank</t>
        </is>
      </c>
      <c r="T4631" s="15" t="n">
        <v>270</v>
      </c>
      <c r="U4631" s="15" t="n">
        <v>78</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I-I-0030</t>
        </is>
      </c>
      <c r="B4632" s="12" t="inlineStr">
        <is>
          <t>I</t>
        </is>
      </c>
      <c r="C4632" s="12" t="inlineStr">
        <is>
          <t>Modular / portable power</t>
        </is>
      </c>
      <c r="D4632" s="12" t="inlineStr">
        <is>
          <t>Thermocouples</t>
        </is>
      </c>
      <c r="E4632" s="12" t="inlineStr"/>
      <c r="F4632" s="12" t="inlineStr">
        <is>
          <t>SC-1 PCM + 15 kV GCB</t>
        </is>
      </c>
      <c r="G4632" s="12" t="inlineStr"/>
      <c r="H4632" s="12" t="inlineStr">
        <is>
          <t>CONDITIONAL: SC-1 inlet chiller / evaporative cooler</t>
        </is>
      </c>
      <c r="I4632" s="12" t="inlineStr">
        <is>
          <t>Instrumentation</t>
        </is>
      </c>
      <c r="J4632" s="12" t="inlineStr">
        <is>
          <t>Thermocouple extension KX, #16 shielded pairs, PLTC</t>
        </is>
      </c>
      <c r="K4632" s="12" t="inlineStr">
        <is>
          <t>TCX|12 pr|16</t>
        </is>
      </c>
      <c r="L4632" s="12" t="inlineStr">
        <is>
          <t>12 pr</t>
        </is>
      </c>
      <c r="M4632" s="12" t="inlineStr">
        <is>
          <t>16</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I-I-0031</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I-I-0032</t>
        </is>
      </c>
      <c r="B4634" s="12" t="inlineStr">
        <is>
          <t>I</t>
        </is>
      </c>
      <c r="C4634" s="12" t="inlineStr">
        <is>
          <t>Modular / portable power</t>
        </is>
      </c>
      <c r="D4634" s="12" t="inlineStr">
        <is>
          <t>Instrumentation</t>
        </is>
      </c>
      <c r="E4634" s="12" t="inlineStr"/>
      <c r="F4634" s="12" t="inlineStr">
        <is>
          <t>SC-2 PCM + 15 kV GCB</t>
        </is>
      </c>
      <c r="G4634" s="12" t="inlineStr"/>
      <c r="H4634" s="12" t="inlineStr">
        <is>
          <t>CONDITIONAL: SC-2 inlet chiller / evaporative cooler</t>
        </is>
      </c>
      <c r="I4634" s="12" t="inlineStr">
        <is>
          <t>Instrumentation</t>
        </is>
      </c>
      <c r="J4634" s="12" t="inlineStr">
        <is>
          <t>Instrumentation PLTC / TC-ER 300 V, #18 twisted shielded pairs, overall shield</t>
        </is>
      </c>
      <c r="K4634" s="12" t="inlineStr">
        <is>
          <t>PLTC|4 pr|18</t>
        </is>
      </c>
      <c r="L4634" s="12" t="inlineStr">
        <is>
          <t>4 pr</t>
        </is>
      </c>
      <c r="M4634" s="12" t="inlineStr">
        <is>
          <t>18</t>
        </is>
      </c>
      <c r="N4634" s="12" t="n">
        <v>1</v>
      </c>
      <c r="O4634" s="12" t="n">
        <v>1</v>
      </c>
      <c r="P4634" s="12" t="n"/>
      <c r="Q4634" s="12" t="n"/>
      <c r="R4634" s="12" t="n"/>
      <c r="S4634" s="12" t="inlineStr">
        <is>
          <t>Duct bank</t>
        </is>
      </c>
      <c r="T4634" s="15" t="n">
        <v>10</v>
      </c>
      <c r="U4634" s="15" t="n">
        <v>106</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I-I-0033</t>
        </is>
      </c>
      <c r="B4635" s="12" t="inlineStr">
        <is>
          <t>I</t>
        </is>
      </c>
      <c r="C4635" s="12" t="inlineStr">
        <is>
          <t>Modular / portable power</t>
        </is>
      </c>
      <c r="D4635" s="12" t="inlineStr">
        <is>
          <t>Thermocouples</t>
        </is>
      </c>
      <c r="E4635" s="12" t="inlineStr"/>
      <c r="F4635" s="12" t="inlineStr">
        <is>
          <t>SC-2 PCM + 15 kV GCB</t>
        </is>
      </c>
      <c r="G4635" s="12" t="inlineStr"/>
      <c r="H4635" s="12" t="inlineStr">
        <is>
          <t>CONDITIONAL: SC-2 inlet chiller / evaporative cooler</t>
        </is>
      </c>
      <c r="I4635" s="12" t="inlineStr">
        <is>
          <t>Instrumentation</t>
        </is>
      </c>
      <c r="J4635" s="12" t="inlineStr">
        <is>
          <t>Thermocouple extension KX, #16 shielded pairs, PLTC</t>
        </is>
      </c>
      <c r="K4635" s="12" t="inlineStr">
        <is>
          <t>TCX|12 pr|16</t>
        </is>
      </c>
      <c r="L4635" s="12" t="inlineStr">
        <is>
          <t>12 pr</t>
        </is>
      </c>
      <c r="M4635" s="12" t="inlineStr">
        <is>
          <t>16</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I-I-0034</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I-I-0035</t>
        </is>
      </c>
      <c r="B4637" s="12" t="inlineStr">
        <is>
          <t>I</t>
        </is>
      </c>
      <c r="C4637" s="12" t="inlineStr">
        <is>
          <t>Modular / portable power</t>
        </is>
      </c>
      <c r="D4637" s="12" t="inlineStr">
        <is>
          <t>Analog instrument to JB JB-Demin tank + trail-AI01: 4 x 1 pr (field cables)</t>
        </is>
      </c>
      <c r="E4637" s="12" t="inlineStr"/>
      <c r="F4637" s="12" t="inlineStr">
        <is>
          <t>Demin tank + trailer pad</t>
        </is>
      </c>
      <c r="G4637" s="12" t="inlineStr">
        <is>
          <t>JB-Demin tank + trail-AI01</t>
        </is>
      </c>
      <c r="H4637" s="12" t="inlineStr">
        <is>
          <t>Demin tank + trailer pad</t>
        </is>
      </c>
      <c r="I4637" s="12" t="inlineStr">
        <is>
          <t>Instrumentation</t>
        </is>
      </c>
      <c r="J4637" s="12" t="inlineStr">
        <is>
          <t>Instrumentation PLTC / TC-ER 300 V, #18 twisted shielded pairs, overall shield</t>
        </is>
      </c>
      <c r="K4637" s="12" t="inlineStr">
        <is>
          <t>PLTC|1 pr|16</t>
        </is>
      </c>
      <c r="L4637" s="12" t="inlineStr">
        <is>
          <t>1 pr</t>
        </is>
      </c>
      <c r="M4637" s="12" t="inlineStr">
        <is>
          <t>16</t>
        </is>
      </c>
      <c r="N4637" s="12" t="n">
        <v>4</v>
      </c>
      <c r="O4637" s="12" t="n">
        <v>1</v>
      </c>
      <c r="P4637" s="12" t="n"/>
      <c r="Q4637" s="12" t="n"/>
      <c r="R4637" s="12" t="n"/>
      <c r="S4637" s="12" t="inlineStr">
        <is>
          <t>Tray / conduit</t>
        </is>
      </c>
      <c r="T4637" s="15" t="n">
        <v>78</v>
      </c>
      <c r="U4637" s="15" t="n">
        <v>10</v>
      </c>
      <c r="V4637" s="15">
        <f>ROUNDUP((T4637+U4637+2*'Read Me'!$B$13)*(1+'Read Me'!$B$12),-1)</f>
        <v/>
      </c>
      <c r="W4637" s="15">
        <f>V4637*N4637*O4637</f>
        <v/>
      </c>
      <c r="X4637" s="12">
        <f>IF(LEFT(I4637,2)="MV",2*N4637*IF(L4637="1/C",O4637,1),0)</f>
        <v/>
      </c>
      <c r="Y4637" s="12">
        <f>IF(OR(LEFT(K4637,4)="LVAX",LEFT(K4637,6)="MV15AX",LEFT(K4637,4)="CTAX",LEFT(K4637,2)="W|"),2*N4637*O4637,0)</f>
        <v/>
      </c>
      <c r="Z4637" s="12" t="inlineStr">
        <is>
          <t>device-to-JB field wiring, one cable per device</t>
        </is>
      </c>
      <c r="AA4637" s="12">
        <f>N4637*O4637</f>
        <v/>
      </c>
    </row>
    <row r="4638">
      <c r="A4638" s="12" t="inlineStr">
        <is>
          <t>I-I-0036</t>
        </is>
      </c>
      <c r="B4638" s="12" t="inlineStr">
        <is>
          <t>I</t>
        </is>
      </c>
      <c r="C4638" s="12" t="inlineStr">
        <is>
          <t>Modular / portable power</t>
        </is>
      </c>
      <c r="D4638" s="12" t="inlineStr">
        <is>
          <t>Home run JB-Demin tank + trail-AI01 to the control / marshalling room</t>
        </is>
      </c>
      <c r="E4638" s="12" t="inlineStr"/>
      <c r="F4638" s="12" t="inlineStr">
        <is>
          <t>SC-2 PCM + 15 kV GCB</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PLTC|24 pr|18</t>
        </is>
      </c>
      <c r="L4638" s="12" t="inlineStr">
        <is>
          <t>24 pr</t>
        </is>
      </c>
      <c r="M4638" s="12" t="inlineStr">
        <is>
          <t>18</t>
        </is>
      </c>
      <c r="N4638" s="12" t="n">
        <v>1</v>
      </c>
      <c r="O4638" s="12" t="n">
        <v>1</v>
      </c>
      <c r="P4638" s="12" t="n"/>
      <c r="Q4638" s="12" t="n"/>
      <c r="R4638" s="12" t="n"/>
      <c r="S4638" s="12" t="inlineStr">
        <is>
          <t>Duct bank</t>
        </is>
      </c>
      <c r="T4638" s="15" t="n">
        <v>8</v>
      </c>
      <c r="U4638" s="15" t="n">
        <v>64</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I-I-0037</t>
        </is>
      </c>
      <c r="B4639" s="12" t="inlineStr">
        <is>
          <t>I</t>
        </is>
      </c>
      <c r="C4639" s="12" t="inlineStr">
        <is>
          <t>Modular / portable power</t>
        </is>
      </c>
      <c r="D4639" s="12" t="inlineStr">
        <is>
          <t>Discrete device to JB JB-Demin tank + trail-DI01: 4 x 1 pr (field cables)</t>
        </is>
      </c>
      <c r="E4639" s="12" t="inlineStr"/>
      <c r="F4639" s="12" t="inlineStr">
        <is>
          <t>Demin tank + trailer pad</t>
        </is>
      </c>
      <c r="G4639" s="12" t="inlineStr">
        <is>
          <t>JB-Demin tank + trail-DI01</t>
        </is>
      </c>
      <c r="H4639" s="12" t="inlineStr">
        <is>
          <t>Demin tank + trailer pad</t>
        </is>
      </c>
      <c r="I4639" s="12" t="inlineStr">
        <is>
          <t>Instrumentation</t>
        </is>
      </c>
      <c r="J4639" s="12" t="inlineStr">
        <is>
          <t>Instrumentation PLTC / TC-ER 300 V, #18 twisted shielded pairs, overall shield</t>
        </is>
      </c>
      <c r="K4639" s="12" t="inlineStr">
        <is>
          <t>PLTC|1 pr|16</t>
        </is>
      </c>
      <c r="L4639" s="12" t="inlineStr">
        <is>
          <t>1 pr</t>
        </is>
      </c>
      <c r="M4639" s="12" t="inlineStr">
        <is>
          <t>16</t>
        </is>
      </c>
      <c r="N4639" s="12" t="n">
        <v>4</v>
      </c>
      <c r="O4639" s="12" t="n">
        <v>1</v>
      </c>
      <c r="P4639" s="12" t="n"/>
      <c r="Q4639" s="12" t="n"/>
      <c r="R4639" s="12" t="n"/>
      <c r="S4639" s="12" t="inlineStr">
        <is>
          <t>Tray / conduit</t>
        </is>
      </c>
      <c r="T4639" s="15" t="n">
        <v>78</v>
      </c>
      <c r="U4639" s="15" t="n">
        <v>10</v>
      </c>
      <c r="V4639" s="15">
        <f>ROUNDUP((T4639+U4639+2*'Read Me'!$B$13)*(1+'Read Me'!$B$12),-1)</f>
        <v/>
      </c>
      <c r="W4639" s="15">
        <f>V4639*N4639*O4639</f>
        <v/>
      </c>
      <c r="X4639" s="12">
        <f>IF(LEFT(I4639,2)="MV",2*N4639*IF(L4639="1/C",O4639,1),0)</f>
        <v/>
      </c>
      <c r="Y4639" s="12">
        <f>IF(OR(LEFT(K4639,4)="LVAX",LEFT(K4639,6)="MV15AX",LEFT(K4639,4)="CTAX",LEFT(K4639,2)="W|"),2*N4639*O4639,0)</f>
        <v/>
      </c>
      <c r="Z4639" s="12" t="inlineStr">
        <is>
          <t>device-to-JB field wiring, one cable per device</t>
        </is>
      </c>
      <c r="AA4639" s="12">
        <f>N4639*O4639</f>
        <v/>
      </c>
    </row>
    <row r="4640">
      <c r="A4640" s="12" t="inlineStr">
        <is>
          <t>I-I-0038</t>
        </is>
      </c>
      <c r="B4640" s="12" t="inlineStr">
        <is>
          <t>I</t>
        </is>
      </c>
      <c r="C4640" s="12" t="inlineStr">
        <is>
          <t>Modular / portable power</t>
        </is>
      </c>
      <c r="D4640" s="12" t="inlineStr">
        <is>
          <t>Home run JB-Demin tank + trail-DI01 to the control / marshalling room</t>
        </is>
      </c>
      <c r="E4640" s="12" t="inlineStr"/>
      <c r="F4640" s="12" t="inlineStr">
        <is>
          <t>SC-2 PCM + 15 kV GCB</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PLTC|24 pr|18</t>
        </is>
      </c>
      <c r="L4640" s="12" t="inlineStr">
        <is>
          <t>24 pr</t>
        </is>
      </c>
      <c r="M4640" s="12" t="inlineStr">
        <is>
          <t>18</t>
        </is>
      </c>
      <c r="N4640" s="12" t="n">
        <v>1</v>
      </c>
      <c r="O4640" s="12" t="n">
        <v>1</v>
      </c>
      <c r="P4640" s="12" t="n"/>
      <c r="Q4640" s="12" t="n"/>
      <c r="R4640" s="12" t="n"/>
      <c r="S4640" s="12" t="inlineStr">
        <is>
          <t>Duct bank</t>
        </is>
      </c>
      <c r="T4640" s="15" t="n">
        <v>8</v>
      </c>
      <c r="U4640" s="15" t="n">
        <v>64</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I-I-0039</t>
        </is>
      </c>
      <c r="B4641" s="12" t="inlineStr">
        <is>
          <t>I</t>
        </is>
      </c>
      <c r="C4641" s="12" t="inlineStr">
        <is>
          <t>Modular / portable power</t>
        </is>
      </c>
      <c r="D4641" s="12" t="inlineStr">
        <is>
          <t>Instrumentation</t>
        </is>
      </c>
      <c r="E4641" s="12" t="inlineStr">
        <is>
          <t>PAD-EH</t>
        </is>
      </c>
      <c r="F4641" s="12" t="inlineStr">
        <is>
          <t>PAD-EH 13.8 kV switchgear e-house</t>
        </is>
      </c>
      <c r="G4641" s="12" t="inlineStr"/>
      <c r="H4641" s="12" t="inlineStr">
        <is>
          <t>FC-5..8 inverter / AC cabinet / desulfurizer</t>
        </is>
      </c>
      <c r="I4641" s="12" t="inlineStr">
        <is>
          <t>Instrumentation</t>
        </is>
      </c>
      <c r="J4641" s="12" t="inlineStr">
        <is>
          <t>Instrumentation PLTC / TC-ER 300 V, #18 twisted shielded pairs, overall shield</t>
        </is>
      </c>
      <c r="K4641" s="12" t="inlineStr">
        <is>
          <t>PLTC|4 pr|18</t>
        </is>
      </c>
      <c r="L4641" s="12" t="inlineStr">
        <is>
          <t>4 pr</t>
        </is>
      </c>
      <c r="M4641" s="12" t="inlineStr">
        <is>
          <t>18</t>
        </is>
      </c>
      <c r="N4641" s="12" t="n">
        <v>1</v>
      </c>
      <c r="O4641" s="12" t="n">
        <v>1</v>
      </c>
      <c r="P4641" s="12" t="n"/>
      <c r="Q4641" s="12" t="n"/>
      <c r="R4641" s="12" t="n"/>
      <c r="S4641" s="12" t="inlineStr">
        <is>
          <t>Surface</t>
        </is>
      </c>
      <c r="T4641" s="15" t="n">
        <v>198</v>
      </c>
      <c r="U4641" s="15" t="n">
        <v>32</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I-I-0040</t>
        </is>
      </c>
      <c r="B4642" s="12" t="inlineStr">
        <is>
          <t>I</t>
        </is>
      </c>
      <c r="C4642" s="12" t="inlineStr">
        <is>
          <t>Modular / portable power</t>
        </is>
      </c>
      <c r="D4642" s="12" t="inlineStr">
        <is>
          <t>Thermocouples</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Surface</t>
        </is>
      </c>
      <c r="T4642" s="15" t="n">
        <v>198</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I-I-0041</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198</v>
      </c>
      <c r="U4643" s="15" t="n">
        <v>32</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I-I-0042</t>
        </is>
      </c>
      <c r="B4644" s="12" t="inlineStr">
        <is>
          <t>I</t>
        </is>
      </c>
      <c r="C4644" s="12" t="inlineStr">
        <is>
          <t>Modular / portable power</t>
        </is>
      </c>
      <c r="D4644" s="12" t="inlineStr">
        <is>
          <t>Analog instrument to JB JB-FC-5-AI01: 10 x 1 pr (field cables)</t>
        </is>
      </c>
      <c r="E4644" s="12" t="inlineStr">
        <is>
          <t>FC-5</t>
        </is>
      </c>
      <c r="F4644" s="12" t="inlineStr">
        <is>
          <t>FC-5: SOFC module (200-300 kW class)</t>
        </is>
      </c>
      <c r="G4644" s="12" t="inlineStr">
        <is>
          <t>JB-FC-5-AI01</t>
        </is>
      </c>
      <c r="H4644" s="12" t="inlineStr">
        <is>
          <t>FC-5: SOFC module (200-300 kW class)</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5" t="n">
        <v>45</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I-I-0043</t>
        </is>
      </c>
      <c r="B4645" s="12" t="inlineStr">
        <is>
          <t>I</t>
        </is>
      </c>
      <c r="C4645" s="12" t="inlineStr">
        <is>
          <t>Modular / portable power</t>
        </is>
      </c>
      <c r="D4645" s="12" t="inlineStr">
        <is>
          <t>Home run JB-FC-5-AI01 to the control / marshalling room</t>
        </is>
      </c>
      <c r="E4645" s="12" t="inlineStr">
        <is>
          <t>PAD-EH</t>
        </is>
      </c>
      <c r="F4645" s="12" t="inlineStr">
        <is>
          <t>PAD-EH 13.8 kV switchgear e-house</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Surface</t>
        </is>
      </c>
      <c r="T4645" s="15" t="n">
        <v>251</v>
      </c>
      <c r="U4645" s="15" t="n">
        <v>44</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I-I-0044</t>
        </is>
      </c>
      <c r="B4646" s="12" t="inlineStr">
        <is>
          <t>I</t>
        </is>
      </c>
      <c r="C4646" s="12" t="inlineStr">
        <is>
          <t>Modular / portable power</t>
        </is>
      </c>
      <c r="D4646" s="12" t="inlineStr">
        <is>
          <t>Discrete device to JB JB-FC-5-DI01: 10 x 1 pr (field cables)</t>
        </is>
      </c>
      <c r="E4646" s="12" t="inlineStr">
        <is>
          <t>FC-5</t>
        </is>
      </c>
      <c r="F4646" s="12" t="inlineStr">
        <is>
          <t>FC-5: SOFC module (200-300 kW class)</t>
        </is>
      </c>
      <c r="G4646" s="12" t="inlineStr">
        <is>
          <t>JB-FC-5-DI01</t>
        </is>
      </c>
      <c r="H4646" s="12" t="inlineStr">
        <is>
          <t>FC-5: SOFC module (200-300 kW class)</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5" t="n">
        <v>45</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I-I-0045</t>
        </is>
      </c>
      <c r="B4647" s="12" t="inlineStr">
        <is>
          <t>I</t>
        </is>
      </c>
      <c r="C4647" s="12" t="inlineStr">
        <is>
          <t>Modular / portable power</t>
        </is>
      </c>
      <c r="D4647" s="12" t="inlineStr">
        <is>
          <t>Home run JB-FC-5-DI01 to the control / marshalling room</t>
        </is>
      </c>
      <c r="E4647" s="12" t="inlineStr">
        <is>
          <t>PAD-EH</t>
        </is>
      </c>
      <c r="F4647" s="12" t="inlineStr">
        <is>
          <t>PAD-EH 13.8 kV switchgear e-house</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5" t="n">
        <v>251</v>
      </c>
      <c r="U4647" s="15" t="n">
        <v>44</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I-I-0046</t>
        </is>
      </c>
      <c r="B4648" s="12" t="inlineStr">
        <is>
          <t>I</t>
        </is>
      </c>
      <c r="C4648" s="12" t="inlineStr">
        <is>
          <t>Modular / portable power</t>
        </is>
      </c>
      <c r="D4648" s="12" t="inlineStr">
        <is>
          <t>Analog instrument to JB JB-FC-6-AI01: 10 x 1 pr (field cables)</t>
        </is>
      </c>
      <c r="E4648" s="12" t="inlineStr">
        <is>
          <t>FC-6</t>
        </is>
      </c>
      <c r="F4648" s="12" t="inlineStr">
        <is>
          <t>FC-6: SOFC module (200-300 kW class)</t>
        </is>
      </c>
      <c r="G4648" s="12" t="inlineStr">
        <is>
          <t>JB-FC-6-AI01</t>
        </is>
      </c>
      <c r="H4648" s="12" t="inlineStr">
        <is>
          <t>FC-6: SOFC module (200-300 kW class)</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5" t="n">
        <v>45</v>
      </c>
      <c r="U4648" s="15" t="n">
        <v>10</v>
      </c>
      <c r="V4648" s="15">
        <f>ROUNDUP((T4648+U4648+2*'Read Me'!$B$13)*(1+'Read Me'!$B$12),-1)</f>
        <v/>
      </c>
      <c r="W4648" s="15">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I-I-0047</t>
        </is>
      </c>
      <c r="B4649" s="12" t="inlineStr">
        <is>
          <t>I</t>
        </is>
      </c>
      <c r="C4649" s="12" t="inlineStr">
        <is>
          <t>Modular / portable power</t>
        </is>
      </c>
      <c r="D4649" s="12" t="inlineStr">
        <is>
          <t>Home run JB-FC-6-AI01 to the control / marshalling room</t>
        </is>
      </c>
      <c r="E4649" s="12" t="inlineStr">
        <is>
          <t>PAD-EH</t>
        </is>
      </c>
      <c r="F4649" s="12" t="inlineStr">
        <is>
          <t>PAD-EH 13.8 kV switchgear e-house</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Surface</t>
        </is>
      </c>
      <c r="T4649" s="15" t="n">
        <v>251</v>
      </c>
      <c r="U4649" s="15" t="n">
        <v>37</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I-I-0048</t>
        </is>
      </c>
      <c r="B4650" s="12" t="inlineStr">
        <is>
          <t>I</t>
        </is>
      </c>
      <c r="C4650" s="12" t="inlineStr">
        <is>
          <t>Modular / portable power</t>
        </is>
      </c>
      <c r="D4650" s="12" t="inlineStr">
        <is>
          <t>Discrete device to JB JB-FC-6-DI01: 10 x 1 pr (field cables)</t>
        </is>
      </c>
      <c r="E4650" s="12" t="inlineStr">
        <is>
          <t>FC-6</t>
        </is>
      </c>
      <c r="F4650" s="12" t="inlineStr">
        <is>
          <t>FC-6: SOFC module (200-300 kW class)</t>
        </is>
      </c>
      <c r="G4650" s="12" t="inlineStr">
        <is>
          <t>JB-FC-6-DI01</t>
        </is>
      </c>
      <c r="H4650" s="12" t="inlineStr">
        <is>
          <t>FC-6: SOFC module (200-300 kW class)</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10</v>
      </c>
      <c r="O4650" s="12" t="n">
        <v>1</v>
      </c>
      <c r="P4650" s="12" t="n"/>
      <c r="Q4650" s="12" t="n"/>
      <c r="R4650" s="12" t="n"/>
      <c r="S4650" s="12" t="inlineStr">
        <is>
          <t>Tray / conduit</t>
        </is>
      </c>
      <c r="T4650" s="15" t="n">
        <v>45</v>
      </c>
      <c r="U4650" s="15" t="n">
        <v>10</v>
      </c>
      <c r="V4650" s="15">
        <f>ROUNDUP((T4650+U4650+2*'Read Me'!$B$13)*(1+'Read Me'!$B$12),-1)</f>
        <v/>
      </c>
      <c r="W4650" s="15">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I-I-0049</t>
        </is>
      </c>
      <c r="B4651" s="12" t="inlineStr">
        <is>
          <t>I</t>
        </is>
      </c>
      <c r="C4651" s="12" t="inlineStr">
        <is>
          <t>Modular / portable power</t>
        </is>
      </c>
      <c r="D4651" s="12" t="inlineStr">
        <is>
          <t>Home run JB-FC-6-DI01 to the control / marshalling room</t>
        </is>
      </c>
      <c r="E4651" s="12" t="inlineStr">
        <is>
          <t>PAD-EH</t>
        </is>
      </c>
      <c r="F4651" s="12" t="inlineStr">
        <is>
          <t>PAD-EH 13.8 kV switchgear e-house</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Surface</t>
        </is>
      </c>
      <c r="T4651" s="15" t="n">
        <v>251</v>
      </c>
      <c r="U4651" s="15" t="n">
        <v>37</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I-I-0050</t>
        </is>
      </c>
      <c r="B4652" s="12" t="inlineStr">
        <is>
          <t>I</t>
        </is>
      </c>
      <c r="C4652" s="12" t="inlineStr">
        <is>
          <t>Modular / portable power</t>
        </is>
      </c>
      <c r="D4652" s="12" t="inlineStr">
        <is>
          <t>Analog instrument to JB JB-FC-7-AI01: 10 x 1 pr (field cables)</t>
        </is>
      </c>
      <c r="E4652" s="12" t="inlineStr">
        <is>
          <t>FC-7</t>
        </is>
      </c>
      <c r="F4652" s="12" t="inlineStr">
        <is>
          <t>FC-7: SOFC module (200-300 kW class)</t>
        </is>
      </c>
      <c r="G4652" s="12" t="inlineStr">
        <is>
          <t>JB-FC-7-AI01</t>
        </is>
      </c>
      <c r="H4652" s="12" t="inlineStr">
        <is>
          <t>FC-7: SOFC module (200-300 kW class)</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5" t="n">
        <v>45</v>
      </c>
      <c r="U4652" s="15" t="n">
        <v>10</v>
      </c>
      <c r="V4652" s="15">
        <f>ROUNDUP((T4652+U4652+2*'Read Me'!$B$13)*(1+'Read Me'!$B$12),-1)</f>
        <v/>
      </c>
      <c r="W4652" s="15">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I-I-0051</t>
        </is>
      </c>
      <c r="B4653" s="12" t="inlineStr">
        <is>
          <t>I</t>
        </is>
      </c>
      <c r="C4653" s="12" t="inlineStr">
        <is>
          <t>Modular / portable power</t>
        </is>
      </c>
      <c r="D4653" s="12" t="inlineStr">
        <is>
          <t>Home run JB-FC-7-AI01 to the control / marshalling room</t>
        </is>
      </c>
      <c r="E4653" s="12" t="inlineStr">
        <is>
          <t>PAD-EH</t>
        </is>
      </c>
      <c r="F4653" s="12" t="inlineStr">
        <is>
          <t>PAD-EH 13.8 kV switchgear e-house</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Surface</t>
        </is>
      </c>
      <c r="T4653" s="15" t="n">
        <v>239</v>
      </c>
      <c r="U4653" s="15" t="n">
        <v>37</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I-I-0052</t>
        </is>
      </c>
      <c r="B4654" s="12" t="inlineStr">
        <is>
          <t>I</t>
        </is>
      </c>
      <c r="C4654" s="12" t="inlineStr">
        <is>
          <t>Modular / portable power</t>
        </is>
      </c>
      <c r="D4654" s="12" t="inlineStr">
        <is>
          <t>Discrete device to JB JB-FC-7-DI01: 10 x 1 pr (field cables)</t>
        </is>
      </c>
      <c r="E4654" s="12" t="inlineStr">
        <is>
          <t>FC-7</t>
        </is>
      </c>
      <c r="F4654" s="12" t="inlineStr">
        <is>
          <t>FC-7: SOFC module (200-300 kW class)</t>
        </is>
      </c>
      <c r="G4654" s="12" t="inlineStr">
        <is>
          <t>JB-FC-7-DI01</t>
        </is>
      </c>
      <c r="H4654" s="12" t="inlineStr">
        <is>
          <t>FC-7: SOFC module (200-300 kW class)</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5" t="n">
        <v>45</v>
      </c>
      <c r="U4654" s="15" t="n">
        <v>10</v>
      </c>
      <c r="V4654" s="15">
        <f>ROUNDUP((T4654+U4654+2*'Read Me'!$B$13)*(1+'Read Me'!$B$12),-1)</f>
        <v/>
      </c>
      <c r="W4654" s="15">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I-I-0053</t>
        </is>
      </c>
      <c r="B4655" s="12" t="inlineStr">
        <is>
          <t>I</t>
        </is>
      </c>
      <c r="C4655" s="12" t="inlineStr">
        <is>
          <t>Modular / portable power</t>
        </is>
      </c>
      <c r="D4655" s="12" t="inlineStr">
        <is>
          <t>Home run JB-FC-7-DI01 to the control / marshalling room</t>
        </is>
      </c>
      <c r="E4655" s="12" t="inlineStr">
        <is>
          <t>PAD-EH</t>
        </is>
      </c>
      <c r="F4655" s="12" t="inlineStr">
        <is>
          <t>PAD-EH 13.8 kV switchgear e-house</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Surface</t>
        </is>
      </c>
      <c r="T4655" s="15" t="n">
        <v>239</v>
      </c>
      <c r="U4655" s="15" t="n">
        <v>37</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I-I-0054</t>
        </is>
      </c>
      <c r="B4656" s="12" t="inlineStr">
        <is>
          <t>I</t>
        </is>
      </c>
      <c r="C4656" s="12" t="inlineStr">
        <is>
          <t>Modular / portable power</t>
        </is>
      </c>
      <c r="D4656" s="12" t="inlineStr">
        <is>
          <t>Analog instrument to JB JB-FC-8-AI01: 10 x 1 pr (field cables)</t>
        </is>
      </c>
      <c r="E4656" s="12" t="inlineStr">
        <is>
          <t>FC-8</t>
        </is>
      </c>
      <c r="F4656" s="12" t="inlineStr">
        <is>
          <t>FC-8: SOFC module (200-300 kW class)</t>
        </is>
      </c>
      <c r="G4656" s="12" t="inlineStr">
        <is>
          <t>JB-FC-8-AI01</t>
        </is>
      </c>
      <c r="H4656" s="12" t="inlineStr">
        <is>
          <t>FC-8: SOFC module (200-300 kW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5" t="n">
        <v>45</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I-I-0055</t>
        </is>
      </c>
      <c r="B4657" s="12" t="inlineStr">
        <is>
          <t>I</t>
        </is>
      </c>
      <c r="C4657" s="12" t="inlineStr">
        <is>
          <t>Modular / portable power</t>
        </is>
      </c>
      <c r="D4657" s="12" t="inlineStr">
        <is>
          <t>Home run JB-FC-8-AI01 to the control / marshalling room</t>
        </is>
      </c>
      <c r="E4657" s="12" t="inlineStr">
        <is>
          <t>PAD-EH</t>
        </is>
      </c>
      <c r="F4657" s="12" t="inlineStr">
        <is>
          <t>PAD-EH 13.8 kV switchgear e-house</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5" t="n">
        <v>210</v>
      </c>
      <c r="U4657" s="15" t="n">
        <v>39</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I-I-0056</t>
        </is>
      </c>
      <c r="B4658" s="12" t="inlineStr">
        <is>
          <t>I</t>
        </is>
      </c>
      <c r="C4658" s="12" t="inlineStr">
        <is>
          <t>Modular / portable power</t>
        </is>
      </c>
      <c r="D4658" s="12" t="inlineStr">
        <is>
          <t>Discrete device to JB JB-FC-8-DI01: 10 x 1 pr (field cables)</t>
        </is>
      </c>
      <c r="E4658" s="12" t="inlineStr">
        <is>
          <t>FC-8</t>
        </is>
      </c>
      <c r="F4658" s="12" t="inlineStr">
        <is>
          <t>FC-8: SOFC module (200-300 kW class)</t>
        </is>
      </c>
      <c r="G4658" s="12" t="inlineStr">
        <is>
          <t>JB-FC-8-DI01</t>
        </is>
      </c>
      <c r="H4658" s="12" t="inlineStr">
        <is>
          <t>FC-8: SOFC module (200-300 kW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5" t="n">
        <v>45</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I-I-0057</t>
        </is>
      </c>
      <c r="B4659" s="12" t="inlineStr">
        <is>
          <t>I</t>
        </is>
      </c>
      <c r="C4659" s="12" t="inlineStr">
        <is>
          <t>Modular / portable power</t>
        </is>
      </c>
      <c r="D4659" s="12" t="inlineStr">
        <is>
          <t>Home run JB-FC-8-DI01 to the control / marshalling room</t>
        </is>
      </c>
      <c r="E4659" s="12" t="inlineStr">
        <is>
          <t>PAD-EH</t>
        </is>
      </c>
      <c r="F4659" s="12" t="inlineStr">
        <is>
          <t>PAD-EH 13.8 kV switchgear e-house</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5" t="n">
        <v>210</v>
      </c>
      <c r="U4659" s="15" t="n">
        <v>39</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I-I-0058</t>
        </is>
      </c>
      <c r="B4660" s="12" t="inlineStr">
        <is>
          <t>I</t>
        </is>
      </c>
      <c r="C4660" s="12" t="inlineStr">
        <is>
          <t>Modular / portable power</t>
        </is>
      </c>
      <c r="D4660" s="12" t="inlineStr">
        <is>
          <t>Analog instrument to JB JB-Fuel-gas compresso-AI01: 20 x 1 pr (field cables)</t>
        </is>
      </c>
      <c r="E4660" s="12" t="inlineStr"/>
      <c r="F4660" s="12" t="inlineStr">
        <is>
          <t>Fuel-gas compressors 3 x 100% electric</t>
        </is>
      </c>
      <c r="G4660" s="12" t="inlineStr">
        <is>
          <t>JB-Fuel-gas compresso-AI01</t>
        </is>
      </c>
      <c r="H4660" s="12" t="inlineStr">
        <is>
          <t>Fuel-gas compressors 3 x 100% electric</t>
        </is>
      </c>
      <c r="I4660" s="12" t="inlineStr">
        <is>
          <t>Instrumentation</t>
        </is>
      </c>
      <c r="J4660" s="12" t="inlineStr">
        <is>
          <t>Instrumentation ITC / PLTC, IS, #18 shielded pairs, blue jacket</t>
        </is>
      </c>
      <c r="K4660" s="12" t="inlineStr">
        <is>
          <t>ITC|1 pr|16</t>
        </is>
      </c>
      <c r="L4660" s="12" t="inlineStr">
        <is>
          <t>1 pr</t>
        </is>
      </c>
      <c r="M4660" s="12" t="inlineStr">
        <is>
          <t>16</t>
        </is>
      </c>
      <c r="N4660" s="12" t="n">
        <v>20</v>
      </c>
      <c r="O4660" s="12" t="n">
        <v>1</v>
      </c>
      <c r="P4660" s="12" t="n"/>
      <c r="Q4660" s="12" t="n"/>
      <c r="R4660" s="12" t="n"/>
      <c r="S4660" s="12" t="inlineStr">
        <is>
          <t>Tray / conduit</t>
        </is>
      </c>
      <c r="T4660" s="15" t="n">
        <v>103</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I-I-0059</t>
        </is>
      </c>
      <c r="B4661" s="12" t="inlineStr">
        <is>
          <t>I</t>
        </is>
      </c>
      <c r="C4661" s="12" t="inlineStr">
        <is>
          <t>Modular / portable power</t>
        </is>
      </c>
      <c r="D4661" s="12" t="inlineStr">
        <is>
          <t>Home run JB-Fuel-gas compresso-AI01 to the control / marshalling room</t>
        </is>
      </c>
      <c r="E4661" s="12" t="inlineStr"/>
      <c r="F4661" s="12" t="inlineStr">
        <is>
          <t>SC-2 PCM + 15 kV GCB</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ITC|24 pr|18</t>
        </is>
      </c>
      <c r="L4661" s="12" t="inlineStr">
        <is>
          <t>24 pr</t>
        </is>
      </c>
      <c r="M4661" s="12" t="inlineStr">
        <is>
          <t>18</t>
        </is>
      </c>
      <c r="N4661" s="12" t="n">
        <v>1</v>
      </c>
      <c r="O4661" s="12" t="n">
        <v>1</v>
      </c>
      <c r="P4661" s="12" t="n"/>
      <c r="Q4661" s="12" t="n"/>
      <c r="R4661" s="12" t="n"/>
      <c r="S4661" s="12" t="inlineStr">
        <is>
          <t>Duct bank</t>
        </is>
      </c>
      <c r="T4661" s="15" t="n">
        <v>8</v>
      </c>
      <c r="U4661" s="15" t="n">
        <v>108</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I-I-0060</t>
        </is>
      </c>
      <c r="B4662" s="12" t="inlineStr">
        <is>
          <t>I</t>
        </is>
      </c>
      <c r="C4662" s="12" t="inlineStr">
        <is>
          <t>Modular / portable power</t>
        </is>
      </c>
      <c r="D4662" s="12" t="inlineStr">
        <is>
          <t>Analog instrument to JB JB-Fuel-gas compresso-AI02: 10 x 1 pr (field cables)</t>
        </is>
      </c>
      <c r="E4662" s="12" t="inlineStr"/>
      <c r="F4662" s="12" t="inlineStr">
        <is>
          <t>Fuel-gas compressors 3 x 100% electric</t>
        </is>
      </c>
      <c r="G4662" s="12" t="inlineStr">
        <is>
          <t>JB-Fuel-gas compresso-AI02</t>
        </is>
      </c>
      <c r="H4662" s="12" t="inlineStr">
        <is>
          <t>Fuel-gas compressors 3 x 100% electric</t>
        </is>
      </c>
      <c r="I4662" s="12" t="inlineStr">
        <is>
          <t>Instrumentation</t>
        </is>
      </c>
      <c r="J4662" s="12" t="inlineStr">
        <is>
          <t>Instrumentation ITC / PLTC, IS, #18 shielded pairs, blue jacket</t>
        </is>
      </c>
      <c r="K4662" s="12" t="inlineStr">
        <is>
          <t>ITC|1 pr|16</t>
        </is>
      </c>
      <c r="L4662" s="12" t="inlineStr">
        <is>
          <t>1 pr</t>
        </is>
      </c>
      <c r="M4662" s="12" t="inlineStr">
        <is>
          <t>16</t>
        </is>
      </c>
      <c r="N4662" s="12" t="n">
        <v>10</v>
      </c>
      <c r="O4662" s="12" t="n">
        <v>1</v>
      </c>
      <c r="P4662" s="12" t="n"/>
      <c r="Q4662" s="12" t="n"/>
      <c r="R4662" s="12" t="n"/>
      <c r="S4662" s="12" t="inlineStr">
        <is>
          <t>Tray / conduit</t>
        </is>
      </c>
      <c r="T4662" s="15" t="n">
        <v>103</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I-I-0061</t>
        </is>
      </c>
      <c r="B4663" s="12" t="inlineStr">
        <is>
          <t>I</t>
        </is>
      </c>
      <c r="C4663" s="12" t="inlineStr">
        <is>
          <t>Modular / portable power</t>
        </is>
      </c>
      <c r="D4663" s="12" t="inlineStr">
        <is>
          <t>Home run JB-Fuel-gas compresso-AI02 to the control / marshalling room</t>
        </is>
      </c>
      <c r="E4663" s="12" t="inlineStr"/>
      <c r="F4663" s="12" t="inlineStr">
        <is>
          <t>SC-2 PCM + 15 kV GCB</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ITC|24 pr|18</t>
        </is>
      </c>
      <c r="L4663" s="12" t="inlineStr">
        <is>
          <t>24 pr</t>
        </is>
      </c>
      <c r="M4663" s="12" t="inlineStr">
        <is>
          <t>18</t>
        </is>
      </c>
      <c r="N4663" s="12" t="n">
        <v>1</v>
      </c>
      <c r="O4663" s="12" t="n">
        <v>1</v>
      </c>
      <c r="P4663" s="12" t="n"/>
      <c r="Q4663" s="12" t="n"/>
      <c r="R4663" s="12" t="n"/>
      <c r="S4663" s="12" t="inlineStr">
        <is>
          <t>Duct bank</t>
        </is>
      </c>
      <c r="T4663" s="15" t="n">
        <v>8</v>
      </c>
      <c r="U4663" s="15" t="n">
        <v>108</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I-I-0062</t>
        </is>
      </c>
      <c r="B4664" s="12" t="inlineStr">
        <is>
          <t>I</t>
        </is>
      </c>
      <c r="C4664" s="12" t="inlineStr">
        <is>
          <t>Modular / portable power</t>
        </is>
      </c>
      <c r="D4664" s="12" t="inlineStr">
        <is>
          <t>Discrete device to JB JB-Fuel-gas compresso-DI01: 20 x 1 pr (field cables)</t>
        </is>
      </c>
      <c r="E4664" s="12" t="inlineStr"/>
      <c r="F4664" s="12" t="inlineStr">
        <is>
          <t>Fuel-gas compressors 3 x 100% electric</t>
        </is>
      </c>
      <c r="G4664" s="12" t="inlineStr">
        <is>
          <t>JB-Fuel-gas compresso-DI01</t>
        </is>
      </c>
      <c r="H4664" s="12" t="inlineStr">
        <is>
          <t>Fuel-gas compressors 3 x 100% electric</t>
        </is>
      </c>
      <c r="I4664" s="12" t="inlineStr">
        <is>
          <t>Instrumentation</t>
        </is>
      </c>
      <c r="J4664" s="12" t="inlineStr">
        <is>
          <t>Instrumentation ITC / PLTC, IS, #18 shielded pairs, blue jacket</t>
        </is>
      </c>
      <c r="K4664" s="12" t="inlineStr">
        <is>
          <t>ITC|1 pr|16</t>
        </is>
      </c>
      <c r="L4664" s="12" t="inlineStr">
        <is>
          <t>1 pr</t>
        </is>
      </c>
      <c r="M4664" s="12" t="inlineStr">
        <is>
          <t>16</t>
        </is>
      </c>
      <c r="N4664" s="12" t="n">
        <v>20</v>
      </c>
      <c r="O4664" s="12" t="n">
        <v>1</v>
      </c>
      <c r="P4664" s="12" t="n"/>
      <c r="Q4664" s="12" t="n"/>
      <c r="R4664" s="12" t="n"/>
      <c r="S4664" s="12" t="inlineStr">
        <is>
          <t>Tray / conduit</t>
        </is>
      </c>
      <c r="T4664" s="15" t="n">
        <v>103</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I-I-0063</t>
        </is>
      </c>
      <c r="B4665" s="12" t="inlineStr">
        <is>
          <t>I</t>
        </is>
      </c>
      <c r="C4665" s="12" t="inlineStr">
        <is>
          <t>Modular / portable power</t>
        </is>
      </c>
      <c r="D4665" s="12" t="inlineStr">
        <is>
          <t>Home run JB-Fuel-gas compresso-DI01 to the control / marshalling room</t>
        </is>
      </c>
      <c r="E4665" s="12" t="inlineStr"/>
      <c r="F4665" s="12" t="inlineStr">
        <is>
          <t>SC-2 PCM + 15 kV GCB</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ITC|24 pr|18</t>
        </is>
      </c>
      <c r="L4665" s="12" t="inlineStr">
        <is>
          <t>24 pr</t>
        </is>
      </c>
      <c r="M4665" s="12" t="inlineStr">
        <is>
          <t>18</t>
        </is>
      </c>
      <c r="N4665" s="12" t="n">
        <v>1</v>
      </c>
      <c r="O4665" s="12" t="n">
        <v>1</v>
      </c>
      <c r="P4665" s="12" t="n"/>
      <c r="Q4665" s="12" t="n"/>
      <c r="R4665" s="12" t="n"/>
      <c r="S4665" s="12" t="inlineStr">
        <is>
          <t>Duct bank</t>
        </is>
      </c>
      <c r="T4665" s="15" t="n">
        <v>8</v>
      </c>
      <c r="U4665" s="15" t="n">
        <v>108</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I-I-0064</t>
        </is>
      </c>
      <c r="B4666" s="12" t="inlineStr">
        <is>
          <t>I</t>
        </is>
      </c>
      <c r="C4666" s="12" t="inlineStr">
        <is>
          <t>Modular / portable power</t>
        </is>
      </c>
      <c r="D4666" s="12" t="inlineStr">
        <is>
          <t>RTD to JB JB-Fuel-gas compresso-RTD01: 10 x 1 tri (field cables)</t>
        </is>
      </c>
      <c r="E4666" s="12" t="inlineStr"/>
      <c r="F4666" s="12" t="inlineStr">
        <is>
          <t>Fuel-gas compressors 3 x 100% electric</t>
        </is>
      </c>
      <c r="G4666" s="12" t="inlineStr">
        <is>
          <t>JB-Fuel-gas compresso-RTD01</t>
        </is>
      </c>
      <c r="H4666" s="12" t="inlineStr">
        <is>
          <t>Fuel-gas compressors 3 x 100% electric</t>
        </is>
      </c>
      <c r="I4666" s="12" t="inlineStr">
        <is>
          <t>Instrumentation</t>
        </is>
      </c>
      <c r="J4666" s="12" t="inlineStr">
        <is>
          <t>RTD cable, #18 shielded triads, PLTC</t>
        </is>
      </c>
      <c r="K4666" s="12" t="inlineStr">
        <is>
          <t>RTD|1 tri|18</t>
        </is>
      </c>
      <c r="L4666" s="12" t="inlineStr">
        <is>
          <t>1 tri</t>
        </is>
      </c>
      <c r="M4666" s="12" t="inlineStr">
        <is>
          <t>18</t>
        </is>
      </c>
      <c r="N4666" s="12" t="n">
        <v>10</v>
      </c>
      <c r="O4666" s="12" t="n">
        <v>1</v>
      </c>
      <c r="P4666" s="12" t="n"/>
      <c r="Q4666" s="12" t="n"/>
      <c r="R4666" s="12" t="n"/>
      <c r="S4666" s="12" t="inlineStr">
        <is>
          <t>Tray / conduit</t>
        </is>
      </c>
      <c r="T4666" s="15" t="n">
        <v>103</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I-I-0065</t>
        </is>
      </c>
      <c r="B4667" s="12" t="inlineStr">
        <is>
          <t>I</t>
        </is>
      </c>
      <c r="C4667" s="12" t="inlineStr">
        <is>
          <t>Modular / portable power</t>
        </is>
      </c>
      <c r="D4667" s="12" t="inlineStr">
        <is>
          <t>Home run JB-Fuel-gas compresso-RTD01 to the control / marshalling room</t>
        </is>
      </c>
      <c r="E4667" s="12" t="inlineStr"/>
      <c r="F4667" s="12" t="inlineStr">
        <is>
          <t>SC-2 PCM + 15 kV GCB</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5" t="n">
        <v>8</v>
      </c>
      <c r="U4667" s="15" t="n">
        <v>108</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I-I-0066</t>
        </is>
      </c>
      <c r="B4668" s="12" t="inlineStr">
        <is>
          <t>I</t>
        </is>
      </c>
      <c r="C4668" s="12" t="inlineStr">
        <is>
          <t>Modular / portable power</t>
        </is>
      </c>
      <c r="D4668" s="12" t="inlineStr">
        <is>
          <t>RTD to JB JB-Fuel-gas compresso-RTD02: 2 x 1 tri (field cables)</t>
        </is>
      </c>
      <c r="E4668" s="12" t="inlineStr"/>
      <c r="F4668" s="12" t="inlineStr">
        <is>
          <t>Fuel-gas compressors 3 x 100% electric</t>
        </is>
      </c>
      <c r="G4668" s="12" t="inlineStr">
        <is>
          <t>JB-Fuel-gas compresso-RTD02</t>
        </is>
      </c>
      <c r="H4668" s="12" t="inlineStr">
        <is>
          <t>Fuel-gas compressors 3 x 100% electric</t>
        </is>
      </c>
      <c r="I4668" s="12" t="inlineStr">
        <is>
          <t>Instrumentation</t>
        </is>
      </c>
      <c r="J4668" s="12" t="inlineStr">
        <is>
          <t>RTD cable, #18 shielded triads, PLTC</t>
        </is>
      </c>
      <c r="K4668" s="12" t="inlineStr">
        <is>
          <t>RTD|1 tri|18</t>
        </is>
      </c>
      <c r="L4668" s="12" t="inlineStr">
        <is>
          <t>1 tri</t>
        </is>
      </c>
      <c r="M4668" s="12" t="inlineStr">
        <is>
          <t>18</t>
        </is>
      </c>
      <c r="N4668" s="12" t="n">
        <v>2</v>
      </c>
      <c r="O4668" s="12" t="n">
        <v>1</v>
      </c>
      <c r="P4668" s="12" t="n"/>
      <c r="Q4668" s="12" t="n"/>
      <c r="R4668" s="12" t="n"/>
      <c r="S4668" s="12" t="inlineStr">
        <is>
          <t>Tray / conduit</t>
        </is>
      </c>
      <c r="T4668" s="15" t="n">
        <v>103</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I-I-0067</t>
        </is>
      </c>
      <c r="B4669" s="12" t="inlineStr">
        <is>
          <t>I</t>
        </is>
      </c>
      <c r="C4669" s="12" t="inlineStr">
        <is>
          <t>Modular / portable power</t>
        </is>
      </c>
      <c r="D4669" s="12" t="inlineStr">
        <is>
          <t>Home run JB-Fuel-gas compresso-RTD02 to the control / marshalling room</t>
        </is>
      </c>
      <c r="E4669" s="12" t="inlineStr"/>
      <c r="F4669" s="12" t="inlineStr">
        <is>
          <t>SC-2 PCM + 15 kV GCB</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RTD|12 tri|18</t>
        </is>
      </c>
      <c r="L4669" s="12" t="inlineStr">
        <is>
          <t>12 tri</t>
        </is>
      </c>
      <c r="M4669" s="12" t="inlineStr">
        <is>
          <t>18</t>
        </is>
      </c>
      <c r="N4669" s="12" t="n">
        <v>1</v>
      </c>
      <c r="O4669" s="12" t="n">
        <v>1</v>
      </c>
      <c r="P4669" s="12" t="n"/>
      <c r="Q4669" s="12" t="n"/>
      <c r="R4669" s="12" t="n"/>
      <c r="S4669" s="12" t="inlineStr">
        <is>
          <t>Duct bank</t>
        </is>
      </c>
      <c r="T4669" s="15" t="n">
        <v>8</v>
      </c>
      <c r="U4669" s="15" t="n">
        <v>108</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I-I-0068</t>
        </is>
      </c>
      <c r="B4670" s="12" t="inlineStr">
        <is>
          <t>I</t>
        </is>
      </c>
      <c r="C4670" s="12" t="inlineStr">
        <is>
          <t>Modular / portable power</t>
        </is>
      </c>
      <c r="D4670" s="12" t="inlineStr">
        <is>
          <t>L7 GB-1.1 instrumentation: gas pressure, temperatures</t>
        </is>
      </c>
      <c r="E4670" s="12" t="inlineStr">
        <is>
          <t>GBC-1</t>
        </is>
      </c>
      <c r="F4670" s="12" t="inlineStr">
        <is>
          <t xml:space="preserve">GBC-1: block GB-1 generator collector box, 480 V outdoor switchboard, </t>
        </is>
      </c>
      <c r="G4670" s="12" t="inlineStr">
        <is>
          <t>GB-1.1</t>
        </is>
      </c>
      <c r="H4670" s="12" t="inlineStr">
        <is>
          <t>GB-1.1: modular gas genset 500 kW, 480 V (block GB-1, unit 1 of 5)</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5" t="n">
        <v>44</v>
      </c>
      <c r="U4670" s="15" t="n">
        <v>28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I-I-0069</t>
        </is>
      </c>
      <c r="B4671" s="12" t="inlineStr">
        <is>
          <t>I</t>
        </is>
      </c>
      <c r="C4671" s="12" t="inlineStr">
        <is>
          <t>Modular / portable power</t>
        </is>
      </c>
      <c r="D4671" s="12" t="inlineStr">
        <is>
          <t>L7 GB-1.2 instrumentation: gas pressure, temperatures</t>
        </is>
      </c>
      <c r="E4671" s="12" t="inlineStr">
        <is>
          <t>GBC-1</t>
        </is>
      </c>
      <c r="F4671" s="12" t="inlineStr">
        <is>
          <t xml:space="preserve">GBC-1: block GB-1 generator collector box, 480 V outdoor switchboard, </t>
        </is>
      </c>
      <c r="G4671" s="12" t="inlineStr">
        <is>
          <t>GB-1.2</t>
        </is>
      </c>
      <c r="H4671" s="12" t="inlineStr">
        <is>
          <t>GB-1.2: modular gas genset 500 kW, 480 V (block GB-1, unit 2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34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I-I-0070</t>
        </is>
      </c>
      <c r="B4672" s="12" t="inlineStr">
        <is>
          <t>I</t>
        </is>
      </c>
      <c r="C4672" s="12" t="inlineStr">
        <is>
          <t>Modular / portable power</t>
        </is>
      </c>
      <c r="D4672" s="12" t="inlineStr">
        <is>
          <t>L7 GB-1.3 instrumentation: gas pressure, temperatures</t>
        </is>
      </c>
      <c r="E4672" s="12" t="inlineStr">
        <is>
          <t>GBC-1</t>
        </is>
      </c>
      <c r="F4672" s="12" t="inlineStr">
        <is>
          <t xml:space="preserve">GBC-1: block GB-1 generator collector box, 480 V outdoor switchboard, </t>
        </is>
      </c>
      <c r="G4672" s="12" t="inlineStr">
        <is>
          <t>GB-1.3</t>
        </is>
      </c>
      <c r="H4672" s="12" t="inlineStr">
        <is>
          <t>GB-1.3: modular gas genset 500 kW, 480 V (block GB-1, unit 3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24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I-I-0071</t>
        </is>
      </c>
      <c r="B4673" s="12" t="inlineStr">
        <is>
          <t>I</t>
        </is>
      </c>
      <c r="C4673" s="12" t="inlineStr">
        <is>
          <t>Modular / portable power</t>
        </is>
      </c>
      <c r="D4673" s="12" t="inlineStr">
        <is>
          <t>L7 GB-1.4 instrumentation: gas pressure, temperatures</t>
        </is>
      </c>
      <c r="E4673" s="12" t="inlineStr">
        <is>
          <t>GBC-1</t>
        </is>
      </c>
      <c r="F4673" s="12" t="inlineStr">
        <is>
          <t xml:space="preserve">GBC-1: block GB-1 generator collector box, 480 V outdoor switchboard, </t>
        </is>
      </c>
      <c r="G4673" s="12" t="inlineStr">
        <is>
          <t>GB-1.4</t>
        </is>
      </c>
      <c r="H4673" s="12" t="inlineStr">
        <is>
          <t>GB-1.4: modular gas genset 500 kW, 480 V (block GB-1, unit 4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14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I-I-0072</t>
        </is>
      </c>
      <c r="B4674" s="12" t="inlineStr">
        <is>
          <t>I</t>
        </is>
      </c>
      <c r="C4674" s="12" t="inlineStr">
        <is>
          <t>Modular / portable power</t>
        </is>
      </c>
      <c r="D4674" s="12" t="inlineStr">
        <is>
          <t>L7 GB-1.5 instrumentation: gas pressure, temperatures</t>
        </is>
      </c>
      <c r="E4674" s="12" t="inlineStr">
        <is>
          <t>GBC-1</t>
        </is>
      </c>
      <c r="F4674" s="12" t="inlineStr">
        <is>
          <t xml:space="preserve">GBC-1: block GB-1 generator collector box, 480 V outdoor switchboard, </t>
        </is>
      </c>
      <c r="G4674" s="12" t="inlineStr">
        <is>
          <t>GB-1.5</t>
        </is>
      </c>
      <c r="H4674" s="12" t="inlineStr">
        <is>
          <t>GB-1.5: modular gas genset 500 kW, 480 V (block GB-1, unit 5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Tray</t>
        </is>
      </c>
      <c r="T4674" s="15" t="n">
        <v>0</v>
      </c>
      <c r="U4674" s="15" t="n">
        <v>30</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I-I-0073</t>
        </is>
      </c>
      <c r="B4675" s="12" t="inlineStr">
        <is>
          <t>I</t>
        </is>
      </c>
      <c r="C4675" s="12" t="inlineStr">
        <is>
          <t>Modular / portable power</t>
        </is>
      </c>
      <c r="D4675" s="12" t="inlineStr">
        <is>
          <t>L7 GB-2.1 instrumentation: gas pressure, temperatures</t>
        </is>
      </c>
      <c r="E4675" s="12" t="inlineStr">
        <is>
          <t>GBC-2</t>
        </is>
      </c>
      <c r="F4675" s="12" t="inlineStr">
        <is>
          <t xml:space="preserve">GBC-2: block GB-2 generator collector box, 480 V outdoor switchboard, </t>
        </is>
      </c>
      <c r="G4675" s="12" t="inlineStr">
        <is>
          <t>GB-2.1</t>
        </is>
      </c>
      <c r="H4675" s="12" t="inlineStr">
        <is>
          <t>GB-2.1: modular gas genset 500 kW, 480 V (block GB-2, unit 1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Surface</t>
        </is>
      </c>
      <c r="T4675" s="15" t="n">
        <v>44</v>
      </c>
      <c r="U4675" s="15" t="n">
        <v>28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I-I-0074</t>
        </is>
      </c>
      <c r="B4676" s="12" t="inlineStr">
        <is>
          <t>I</t>
        </is>
      </c>
      <c r="C4676" s="12" t="inlineStr">
        <is>
          <t>Modular / portable power</t>
        </is>
      </c>
      <c r="D4676" s="12" t="inlineStr">
        <is>
          <t>L7 GB-2.2 instrumentation: gas pressure, temperatures</t>
        </is>
      </c>
      <c r="E4676" s="12" t="inlineStr">
        <is>
          <t>GBC-2</t>
        </is>
      </c>
      <c r="F4676" s="12" t="inlineStr">
        <is>
          <t xml:space="preserve">GBC-2: block GB-2 generator collector box, 480 V outdoor switchboard, </t>
        </is>
      </c>
      <c r="G4676" s="12" t="inlineStr">
        <is>
          <t>GB-2.2</t>
        </is>
      </c>
      <c r="H4676" s="12" t="inlineStr">
        <is>
          <t>GB-2.2: modular gas genset 500 kW, 480 V (block GB-2, unit 2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34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I-I-0075</t>
        </is>
      </c>
      <c r="B4677" s="12" t="inlineStr">
        <is>
          <t>I</t>
        </is>
      </c>
      <c r="C4677" s="12" t="inlineStr">
        <is>
          <t>Modular / portable power</t>
        </is>
      </c>
      <c r="D4677" s="12" t="inlineStr">
        <is>
          <t>L7 GB-2.3 instrumentation: gas pressure, temperatures</t>
        </is>
      </c>
      <c r="E4677" s="12" t="inlineStr">
        <is>
          <t>GBC-2</t>
        </is>
      </c>
      <c r="F4677" s="12" t="inlineStr">
        <is>
          <t xml:space="preserve">GBC-2: block GB-2 generator collector box, 480 V outdoor switchboard, </t>
        </is>
      </c>
      <c r="G4677" s="12" t="inlineStr">
        <is>
          <t>GB-2.3</t>
        </is>
      </c>
      <c r="H4677" s="12" t="inlineStr">
        <is>
          <t>GB-2.3: modular gas genset 500 kW, 480 V (block GB-2, unit 3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24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I-I-0076</t>
        </is>
      </c>
      <c r="B4678" s="12" t="inlineStr">
        <is>
          <t>I</t>
        </is>
      </c>
      <c r="C4678" s="12" t="inlineStr">
        <is>
          <t>Modular / portable power</t>
        </is>
      </c>
      <c r="D4678" s="12" t="inlineStr">
        <is>
          <t>L7 GB-2.4 instrumentation: gas pressure, temperatures</t>
        </is>
      </c>
      <c r="E4678" s="12" t="inlineStr">
        <is>
          <t>GBC-2</t>
        </is>
      </c>
      <c r="F4678" s="12" t="inlineStr">
        <is>
          <t xml:space="preserve">GBC-2: block GB-2 generator collector box, 480 V outdoor switchboard, </t>
        </is>
      </c>
      <c r="G4678" s="12" t="inlineStr">
        <is>
          <t>GB-2.4</t>
        </is>
      </c>
      <c r="H4678" s="12" t="inlineStr">
        <is>
          <t>GB-2.4: modular gas genset 500 kW, 480 V (block GB-2, unit 4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14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I-I-0077</t>
        </is>
      </c>
      <c r="B4679" s="12" t="inlineStr">
        <is>
          <t>I</t>
        </is>
      </c>
      <c r="C4679" s="12" t="inlineStr">
        <is>
          <t>Modular / portable power</t>
        </is>
      </c>
      <c r="D4679" s="12" t="inlineStr">
        <is>
          <t>L7 GB-2.5 instrumentation: gas pressure, temperatures</t>
        </is>
      </c>
      <c r="E4679" s="12" t="inlineStr">
        <is>
          <t>GBC-2</t>
        </is>
      </c>
      <c r="F4679" s="12" t="inlineStr">
        <is>
          <t xml:space="preserve">GBC-2: block GB-2 generator collector box, 480 V outdoor switchboard, </t>
        </is>
      </c>
      <c r="G4679" s="12" t="inlineStr">
        <is>
          <t>GB-2.5</t>
        </is>
      </c>
      <c r="H4679" s="12" t="inlineStr">
        <is>
          <t>GB-2.5: modular gas genset 500 kW, 480 V (block GB-2, unit 5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Tray</t>
        </is>
      </c>
      <c r="T4679" s="15" t="n">
        <v>0</v>
      </c>
      <c r="U4679" s="15" t="n">
        <v>30</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I-I-0078</t>
        </is>
      </c>
      <c r="B4680" s="12" t="inlineStr">
        <is>
          <t>I</t>
        </is>
      </c>
      <c r="C4680" s="12" t="inlineStr">
        <is>
          <t>Modular / portable power</t>
        </is>
      </c>
      <c r="D4680" s="12" t="inlineStr">
        <is>
          <t>L7 GB-3.1 instrumentation: gas pressure, temperatures</t>
        </is>
      </c>
      <c r="E4680" s="12" t="inlineStr">
        <is>
          <t>GBC-3</t>
        </is>
      </c>
      <c r="F4680" s="12" t="inlineStr">
        <is>
          <t xml:space="preserve">GBC-3: block GB-3 generator collector box, 480 V outdoor switchboard, </t>
        </is>
      </c>
      <c r="G4680" s="12" t="inlineStr">
        <is>
          <t>GB-3.1</t>
        </is>
      </c>
      <c r="H4680" s="12" t="inlineStr">
        <is>
          <t>GB-3.1: modular gas genset 500 kW, 480 V (block GB-3, unit 1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Surface</t>
        </is>
      </c>
      <c r="T4680" s="15" t="n">
        <v>44</v>
      </c>
      <c r="U4680" s="15" t="n">
        <v>28</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I-I-0079</t>
        </is>
      </c>
      <c r="B4681" s="12" t="inlineStr">
        <is>
          <t>I</t>
        </is>
      </c>
      <c r="C4681" s="12" t="inlineStr">
        <is>
          <t>Modular / portable power</t>
        </is>
      </c>
      <c r="D4681" s="12" t="inlineStr">
        <is>
          <t>L7 GB-3.2 instrumentation: gas pressure, temperatures</t>
        </is>
      </c>
      <c r="E4681" s="12" t="inlineStr">
        <is>
          <t>GBC-3</t>
        </is>
      </c>
      <c r="F4681" s="12" t="inlineStr">
        <is>
          <t xml:space="preserve">GBC-3: block GB-3 generator collector box, 480 V outdoor switchboard, </t>
        </is>
      </c>
      <c r="G4681" s="12" t="inlineStr">
        <is>
          <t>GB-3.2</t>
        </is>
      </c>
      <c r="H4681" s="12" t="inlineStr">
        <is>
          <t>GB-3.2: modular gas genset 500 kW, 480 V (block GB-3, unit 2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34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I-I-0080</t>
        </is>
      </c>
      <c r="B4682" s="12" t="inlineStr">
        <is>
          <t>I</t>
        </is>
      </c>
      <c r="C4682" s="12" t="inlineStr">
        <is>
          <t>Modular / portable power</t>
        </is>
      </c>
      <c r="D4682" s="12" t="inlineStr">
        <is>
          <t>L7 GB-3.3 instrumentation: gas pressure, temperatures</t>
        </is>
      </c>
      <c r="E4682" s="12" t="inlineStr">
        <is>
          <t>GBC-3</t>
        </is>
      </c>
      <c r="F4682" s="12" t="inlineStr">
        <is>
          <t xml:space="preserve">GBC-3: block GB-3 generator collector box, 480 V outdoor switchboard, </t>
        </is>
      </c>
      <c r="G4682" s="12" t="inlineStr">
        <is>
          <t>GB-3.3</t>
        </is>
      </c>
      <c r="H4682" s="12" t="inlineStr">
        <is>
          <t>GB-3.3: modular gas genset 500 kW, 480 V (block GB-3, unit 3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24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I-I-0081</t>
        </is>
      </c>
      <c r="B4683" s="12" t="inlineStr">
        <is>
          <t>I</t>
        </is>
      </c>
      <c r="C4683" s="12" t="inlineStr">
        <is>
          <t>Modular / portable power</t>
        </is>
      </c>
      <c r="D4683" s="12" t="inlineStr">
        <is>
          <t>L7 GB-3.4 instrumentation: gas pressure, temperatures</t>
        </is>
      </c>
      <c r="E4683" s="12" t="inlineStr">
        <is>
          <t>GBC-3</t>
        </is>
      </c>
      <c r="F4683" s="12" t="inlineStr">
        <is>
          <t xml:space="preserve">GBC-3: block GB-3 generator collector box, 480 V outdoor switchboard, </t>
        </is>
      </c>
      <c r="G4683" s="12" t="inlineStr">
        <is>
          <t>GB-3.4</t>
        </is>
      </c>
      <c r="H4683" s="12" t="inlineStr">
        <is>
          <t>GB-3.4: modular gas genset 500 kW, 480 V (block GB-3, unit 4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14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I-I-0082</t>
        </is>
      </c>
      <c r="B4684" s="12" t="inlineStr">
        <is>
          <t>I</t>
        </is>
      </c>
      <c r="C4684" s="12" t="inlineStr">
        <is>
          <t>Modular / portable power</t>
        </is>
      </c>
      <c r="D4684" s="12" t="inlineStr">
        <is>
          <t>L7 GB-3.5 instrumentation: gas pressure, temperatures</t>
        </is>
      </c>
      <c r="E4684" s="12" t="inlineStr">
        <is>
          <t>GBC-3</t>
        </is>
      </c>
      <c r="F4684" s="12" t="inlineStr">
        <is>
          <t xml:space="preserve">GBC-3: block GB-3 generator collector box, 480 V outdoor switchboard, </t>
        </is>
      </c>
      <c r="G4684" s="12" t="inlineStr">
        <is>
          <t>GB-3.5</t>
        </is>
      </c>
      <c r="H4684" s="12" t="inlineStr">
        <is>
          <t>GB-3.5: modular gas genset 500 kW, 480 V (block GB-3, unit 5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Tray</t>
        </is>
      </c>
      <c r="T4684" s="15" t="n">
        <v>0</v>
      </c>
      <c r="U4684" s="15" t="n">
        <v>30</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I-I-0083</t>
        </is>
      </c>
      <c r="B4685" s="12" t="inlineStr">
        <is>
          <t>I</t>
        </is>
      </c>
      <c r="C4685" s="12" t="inlineStr">
        <is>
          <t>Modular / portable power</t>
        </is>
      </c>
      <c r="D4685" s="12" t="inlineStr">
        <is>
          <t>L7 GB-4.1 instrumentation: gas pressure, temperatures</t>
        </is>
      </c>
      <c r="E4685" s="12" t="inlineStr">
        <is>
          <t>GBC-4</t>
        </is>
      </c>
      <c r="F4685" s="12" t="inlineStr">
        <is>
          <t xml:space="preserve">GBC-4: block GB-4 generator collector box, 480 V outdoor switchboard, </t>
        </is>
      </c>
      <c r="G4685" s="12" t="inlineStr">
        <is>
          <t>GB-4.1</t>
        </is>
      </c>
      <c r="H4685" s="12" t="inlineStr">
        <is>
          <t>GB-4.1: modular gas genset 500 kW, 480 V (block GB-4, unit 1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34</v>
      </c>
      <c r="U4685" s="15" t="n">
        <v>36</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I-I-0084</t>
        </is>
      </c>
      <c r="B4686" s="12" t="inlineStr">
        <is>
          <t>I</t>
        </is>
      </c>
      <c r="C4686" s="12" t="inlineStr">
        <is>
          <t>Modular / portable power</t>
        </is>
      </c>
      <c r="D4686" s="12" t="inlineStr">
        <is>
          <t>L7 GB-4.2 instrumentation: gas pressure, temperatures</t>
        </is>
      </c>
      <c r="E4686" s="12" t="inlineStr">
        <is>
          <t>GBC-4</t>
        </is>
      </c>
      <c r="F4686" s="12" t="inlineStr">
        <is>
          <t xml:space="preserve">GBC-4: block GB-4 generator collector box, 480 V outdoor switchboard, </t>
        </is>
      </c>
      <c r="G4686" s="12" t="inlineStr">
        <is>
          <t>GB-4.2</t>
        </is>
      </c>
      <c r="H4686" s="12" t="inlineStr">
        <is>
          <t>GB-4.2: modular gas genset 500 kW, 480 V (block GB-4, unit 2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28</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I-I-0085</t>
        </is>
      </c>
      <c r="B4687" s="12" t="inlineStr">
        <is>
          <t>I</t>
        </is>
      </c>
      <c r="C4687" s="12" t="inlineStr">
        <is>
          <t>Modular / portable power</t>
        </is>
      </c>
      <c r="D4687" s="12" t="inlineStr">
        <is>
          <t>L7 GB-4.3 instrumentation: gas pressure, temperatures</t>
        </is>
      </c>
      <c r="E4687" s="12" t="inlineStr">
        <is>
          <t>GBC-4</t>
        </is>
      </c>
      <c r="F4687" s="12" t="inlineStr">
        <is>
          <t xml:space="preserve">GBC-4: block GB-4 generator collector box, 480 V outdoor switchboard, </t>
        </is>
      </c>
      <c r="G4687" s="12" t="inlineStr">
        <is>
          <t>GB-4.3</t>
        </is>
      </c>
      <c r="H4687" s="12" t="inlineStr">
        <is>
          <t>GB-4.3: modular gas genset 500 kW, 480 V (block GB-4, unit 3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24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I-I-0086</t>
        </is>
      </c>
      <c r="B4688" s="12" t="inlineStr">
        <is>
          <t>I</t>
        </is>
      </c>
      <c r="C4688" s="12" t="inlineStr">
        <is>
          <t>Modular / portable power</t>
        </is>
      </c>
      <c r="D4688" s="12" t="inlineStr">
        <is>
          <t>L7 GB-4.4 instrumentation: gas pressure, temperatures</t>
        </is>
      </c>
      <c r="E4688" s="12" t="inlineStr">
        <is>
          <t>GBC-4</t>
        </is>
      </c>
      <c r="F4688" s="12" t="inlineStr">
        <is>
          <t xml:space="preserve">GBC-4: block GB-4 generator collector box, 480 V outdoor switchboard, </t>
        </is>
      </c>
      <c r="G4688" s="12" t="inlineStr">
        <is>
          <t>GB-4.4</t>
        </is>
      </c>
      <c r="H4688" s="12" t="inlineStr">
        <is>
          <t>GB-4.4: modular gas genset 500 kW, 480 V (block GB-4, unit 4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14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I-I-0087</t>
        </is>
      </c>
      <c r="B4689" s="12" t="inlineStr">
        <is>
          <t>I</t>
        </is>
      </c>
      <c r="C4689" s="12" t="inlineStr">
        <is>
          <t>Modular / portable power</t>
        </is>
      </c>
      <c r="D4689" s="12" t="inlineStr">
        <is>
          <t>L7 GB-4.5 instrumentation: gas pressure, temperatures</t>
        </is>
      </c>
      <c r="E4689" s="12" t="inlineStr">
        <is>
          <t>GBC-4</t>
        </is>
      </c>
      <c r="F4689" s="12" t="inlineStr">
        <is>
          <t xml:space="preserve">GBC-4: block GB-4 generator collector box, 480 V outdoor switchboard, </t>
        </is>
      </c>
      <c r="G4689" s="12" t="inlineStr">
        <is>
          <t>GB-4.5</t>
        </is>
      </c>
      <c r="H4689" s="12" t="inlineStr">
        <is>
          <t>GB-4.5: modular gas genset 500 kW, 480 V (block GB-4, unit 5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Tray</t>
        </is>
      </c>
      <c r="T4689" s="15" t="n">
        <v>0</v>
      </c>
      <c r="U4689" s="15" t="n">
        <v>30</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I-I-0088</t>
        </is>
      </c>
      <c r="B4690" s="12" t="inlineStr">
        <is>
          <t>I</t>
        </is>
      </c>
      <c r="C4690" s="12" t="inlineStr">
        <is>
          <t>Modular / portable power</t>
        </is>
      </c>
      <c r="D4690" s="12" t="inlineStr">
        <is>
          <t>Instrumentation</t>
        </is>
      </c>
      <c r="E4690" s="12" t="inlineStr"/>
      <c r="F4690" s="12" t="inlineStr">
        <is>
          <t>PCM: power control module</t>
        </is>
      </c>
      <c r="G4690" s="12" t="inlineStr"/>
      <c r="H4690" s="12" t="inlineStr">
        <is>
          <t>Gas conditioning skid</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Duct bank</t>
        </is>
      </c>
      <c r="T4690" s="15" t="n">
        <v>258</v>
      </c>
      <c r="U4690" s="15" t="n">
        <v>172</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I-I-0089</t>
        </is>
      </c>
      <c r="B4691" s="12" t="inlineStr">
        <is>
          <t>I</t>
        </is>
      </c>
      <c r="C4691" s="12" t="inlineStr">
        <is>
          <t>Modular / portable power</t>
        </is>
      </c>
      <c r="D4691" s="12" t="inlineStr">
        <is>
          <t>Instrumentation</t>
        </is>
      </c>
      <c r="E4691" s="12" t="inlineStr"/>
      <c r="F4691" s="12" t="inlineStr">
        <is>
          <t>PCM: power control module</t>
        </is>
      </c>
      <c r="G4691" s="12" t="inlineStr"/>
      <c r="H4691" s="12" t="inlineStr">
        <is>
          <t>Gas conditioning skid</t>
        </is>
      </c>
      <c r="I4691" s="12" t="inlineStr">
        <is>
          <t>Instrumentation</t>
        </is>
      </c>
      <c r="J4691" s="12" t="inlineStr">
        <is>
          <t>Instrumentation ITC / PLTC, IS, #18 shielded pairs, blue jacket</t>
        </is>
      </c>
      <c r="K4691" s="12" t="inlineStr">
        <is>
          <t>ITC|12 pr|18</t>
        </is>
      </c>
      <c r="L4691" s="12" t="inlineStr">
        <is>
          <t>12 pr</t>
        </is>
      </c>
      <c r="M4691" s="12" t="inlineStr">
        <is>
          <t>18</t>
        </is>
      </c>
      <c r="N4691" s="12" t="n">
        <v>1</v>
      </c>
      <c r="O4691" s="12" t="n">
        <v>1</v>
      </c>
      <c r="P4691" s="12" t="n"/>
      <c r="Q4691" s="12" t="n"/>
      <c r="R4691" s="12" t="n"/>
      <c r="S4691" s="12" t="inlineStr">
        <is>
          <t>Duct bank</t>
        </is>
      </c>
      <c r="T4691" s="15" t="n">
        <v>258</v>
      </c>
      <c r="U4691" s="15" t="n">
        <v>172</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I-I-0090</t>
        </is>
      </c>
      <c r="B4692" s="12" t="inlineStr">
        <is>
          <t>I</t>
        </is>
      </c>
      <c r="C4692" s="12" t="inlineStr">
        <is>
          <t>Modular / portable power</t>
        </is>
      </c>
      <c r="D4692" s="12" t="inlineStr">
        <is>
          <t>IG-GSU monitoring: temperatures, gas relay, oil level</t>
        </is>
      </c>
      <c r="E4692" s="12" t="inlineStr">
        <is>
          <t>IG-1</t>
        </is>
      </c>
      <c r="F4692" s="12" t="inlineStr">
        <is>
          <t>IG-1: industrial gas-turbine installation, SGT-800 / H-25 class (~50 M</t>
        </is>
      </c>
      <c r="G4692" s="12" t="inlineStr">
        <is>
          <t>IG-GSU</t>
        </is>
      </c>
      <c r="H4692" s="12" t="inlineStr">
        <is>
          <t>IG-GSU: 13.8 / 34.5 kV step-up, ~60 MVA (IG-1 unit step-up)</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Duct bank</t>
        </is>
      </c>
      <c r="T4692" s="15" t="n">
        <v>26</v>
      </c>
      <c r="U4692" s="15" t="n">
        <v>32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I-I-0091</t>
        </is>
      </c>
      <c r="B4693" s="12" t="inlineStr">
        <is>
          <t>I</t>
        </is>
      </c>
      <c r="C4693" s="12" t="inlineStr">
        <is>
          <t>Modular / portable power</t>
        </is>
      </c>
      <c r="D4693" s="12" t="inlineStr">
        <is>
          <t>Analog instrument to JB JB-MOB-1-AI01: 20 x 1 pr (field cables)</t>
        </is>
      </c>
      <c r="E4693" s="12" t="inlineStr">
        <is>
          <t>MOB-1</t>
        </is>
      </c>
      <c r="F4693" s="12" t="inlineStr">
        <is>
          <t>MOB-1: trailer genset</t>
        </is>
      </c>
      <c r="G4693" s="12" t="inlineStr">
        <is>
          <t>JB-MOB-1-AI01</t>
        </is>
      </c>
      <c r="H4693" s="12" t="inlineStr">
        <is>
          <t>MOB-1: trailer genset</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5" t="n">
        <v>61</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I-I-0092</t>
        </is>
      </c>
      <c r="B4694" s="12" t="inlineStr">
        <is>
          <t>I</t>
        </is>
      </c>
      <c r="C4694" s="12" t="inlineStr">
        <is>
          <t>Modular / portable power</t>
        </is>
      </c>
      <c r="D4694" s="12" t="inlineStr">
        <is>
          <t>Home run JB-MOB-1-AI01 to the control / marshalling room</t>
        </is>
      </c>
      <c r="E4694" s="12" t="inlineStr">
        <is>
          <t>PAD-EH</t>
        </is>
      </c>
      <c r="F4694" s="12" t="inlineStr">
        <is>
          <t>PAD-EH 13.8 kV switchgear e-house</t>
        </is>
      </c>
      <c r="G4694" s="12" t="inlineStr">
        <is>
          <t>JB-MOB-1-AI01</t>
        </is>
      </c>
      <c r="H4694" s="12" t="inlineStr">
        <is>
          <t>MOB-1: trailer genset</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5" t="n">
        <v>238</v>
      </c>
      <c r="U4694" s="15" t="n">
        <v>53</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I-I-0093</t>
        </is>
      </c>
      <c r="B4695" s="12" t="inlineStr">
        <is>
          <t>I</t>
        </is>
      </c>
      <c r="C4695" s="12" t="inlineStr">
        <is>
          <t>Modular / portable power</t>
        </is>
      </c>
      <c r="D4695" s="12" t="inlineStr">
        <is>
          <t>Discrete device to JB JB-MOB-1-DI01: 20 x 1 pr (field cables)</t>
        </is>
      </c>
      <c r="E4695" s="12" t="inlineStr">
        <is>
          <t>MOB-1</t>
        </is>
      </c>
      <c r="F4695" s="12" t="inlineStr">
        <is>
          <t>MOB-1: trailer genset</t>
        </is>
      </c>
      <c r="G4695" s="12" t="inlineStr">
        <is>
          <t>JB-MOB-1-DI01</t>
        </is>
      </c>
      <c r="H4695" s="12" t="inlineStr">
        <is>
          <t>MOB-1: trailer genset</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5" t="n">
        <v>61</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I-I-0094</t>
        </is>
      </c>
      <c r="B4696" s="12" t="inlineStr">
        <is>
          <t>I</t>
        </is>
      </c>
      <c r="C4696" s="12" t="inlineStr">
        <is>
          <t>Modular / portable power</t>
        </is>
      </c>
      <c r="D4696" s="12" t="inlineStr">
        <is>
          <t>Home run JB-MOB-1-DI01 to the control / marshalling room</t>
        </is>
      </c>
      <c r="E4696" s="12" t="inlineStr">
        <is>
          <t>PAD-EH</t>
        </is>
      </c>
      <c r="F4696" s="12" t="inlineStr">
        <is>
          <t>PAD-EH 13.8 kV switchgear e-house</t>
        </is>
      </c>
      <c r="G4696" s="12" t="inlineStr">
        <is>
          <t>JB-MOB-1-DI01</t>
        </is>
      </c>
      <c r="H4696" s="12" t="inlineStr">
        <is>
          <t>MOB-1: trailer genset</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Duct bank</t>
        </is>
      </c>
      <c r="T4696" s="15" t="n">
        <v>238</v>
      </c>
      <c r="U4696" s="15" t="n">
        <v>53</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I-I-0095</t>
        </is>
      </c>
      <c r="B4697" s="12" t="inlineStr">
        <is>
          <t>I</t>
        </is>
      </c>
      <c r="C4697" s="12" t="inlineStr">
        <is>
          <t>Modular / portable power</t>
        </is>
      </c>
      <c r="D4697" s="12" t="inlineStr">
        <is>
          <t>MOD-GT1 monitoring: temperatures, gas relay, oil level</t>
        </is>
      </c>
      <c r="E4697" s="12" t="inlineStr">
        <is>
          <t>MOD-EH</t>
        </is>
      </c>
      <c r="F4697" s="12" t="inlineStr">
        <is>
          <t>MOD-EH: 34.5 kV modular collector e-house (2 bus sections + 13.8 kV st</t>
        </is>
      </c>
      <c r="G4697" s="12" t="inlineStr">
        <is>
          <t>MOD-GT1</t>
        </is>
      </c>
      <c r="H4697" s="12" t="inlineStr">
        <is>
          <t>MOD-GT1: 34.5 kV zigzag grounding transformer, MOD-EH bus 1</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Riser</t>
        </is>
      </c>
      <c r="T4697" s="15" t="n">
        <v>4</v>
      </c>
      <c r="U4697" s="15" t="n">
        <v>32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I-I-0096</t>
        </is>
      </c>
      <c r="B4698" s="12" t="inlineStr">
        <is>
          <t>I</t>
        </is>
      </c>
      <c r="C4698" s="12" t="inlineStr">
        <is>
          <t>Modular / portable power</t>
        </is>
      </c>
      <c r="D4698" s="12" t="inlineStr">
        <is>
          <t>MOD-GT2 monitoring: temperatures, gas relay, oil level</t>
        </is>
      </c>
      <c r="E4698" s="12" t="inlineStr">
        <is>
          <t>MOD-EH</t>
        </is>
      </c>
      <c r="F4698" s="12" t="inlineStr">
        <is>
          <t>MOD-EH: 34.5 kV modular collector e-house (2 bus sections + 13.8 kV st</t>
        </is>
      </c>
      <c r="G4698" s="12" t="inlineStr">
        <is>
          <t>MOD-GT2</t>
        </is>
      </c>
      <c r="H4698" s="12" t="inlineStr">
        <is>
          <t>MOD-GT2: 34.5 kV zigzag grounding transformer, MOD-EH bus 2</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Riser</t>
        </is>
      </c>
      <c r="T4698" s="15" t="n">
        <v>4</v>
      </c>
      <c r="U4698" s="15" t="n">
        <v>32</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I-I-0097</t>
        </is>
      </c>
      <c r="B4699" s="12" t="inlineStr">
        <is>
          <t>I</t>
        </is>
      </c>
      <c r="C4699" s="12" t="inlineStr">
        <is>
          <t>Modular / portable power</t>
        </is>
      </c>
      <c r="D4699" s="12" t="inlineStr">
        <is>
          <t>Instrumentation</t>
        </is>
      </c>
      <c r="E4699" s="12" t="inlineStr"/>
      <c r="F4699" s="12" t="inlineStr">
        <is>
          <t>PCM: power control module</t>
        </is>
      </c>
      <c r="G4699" s="12" t="inlineStr"/>
      <c r="H4699" s="12" t="inlineStr">
        <is>
          <t>MOD-LV 480 V board + 480 V : 13.8 kV step-up</t>
        </is>
      </c>
      <c r="I4699" s="12" t="inlineStr">
        <is>
          <t>Instrumentation</t>
        </is>
      </c>
      <c r="J4699" s="12" t="inlineStr">
        <is>
          <t>Instrumentation PLTC / TC-ER 300 V, #18 twisted shielded pairs, overall shield</t>
        </is>
      </c>
      <c r="K4699" s="12" t="inlineStr">
        <is>
          <t>PLTC|4 pr|18</t>
        </is>
      </c>
      <c r="L4699" s="12" t="inlineStr">
        <is>
          <t>4 pr</t>
        </is>
      </c>
      <c r="M4699" s="12" t="inlineStr">
        <is>
          <t>18</t>
        </is>
      </c>
      <c r="N4699" s="12" t="n">
        <v>1</v>
      </c>
      <c r="O4699" s="12" t="n">
        <v>1</v>
      </c>
      <c r="P4699" s="12" t="n"/>
      <c r="Q4699" s="12" t="n"/>
      <c r="R4699" s="12" t="n"/>
      <c r="S4699" s="12" t="inlineStr">
        <is>
          <t>Duct bank</t>
        </is>
      </c>
      <c r="T4699" s="15" t="n">
        <v>723</v>
      </c>
      <c r="U4699" s="15" t="n">
        <v>32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I-I-0098</t>
        </is>
      </c>
      <c r="B4700" s="12" t="inlineStr">
        <is>
          <t>I</t>
        </is>
      </c>
      <c r="C4700" s="12" t="inlineStr">
        <is>
          <t>Modular / portable power</t>
        </is>
      </c>
      <c r="D4700" s="12" t="inlineStr">
        <is>
          <t>MOD-SST monitoring: temperatures, gas relay, oil level</t>
        </is>
      </c>
      <c r="E4700" s="12" t="inlineStr">
        <is>
          <t>MOD-EH</t>
        </is>
      </c>
      <c r="F4700" s="12" t="inlineStr">
        <is>
          <t>MOD-EH: 34.5 kV modular collector e-house (2 bus sections + 13.8 kV st</t>
        </is>
      </c>
      <c r="G4700" s="12" t="inlineStr">
        <is>
          <t>MOD-SST</t>
        </is>
      </c>
      <c r="H4700" s="12" t="inlineStr">
        <is>
          <t>MOD-SST: 34.5 / 13.8 kV station-service transformer, ~10 MVA (yard sta</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Duct bank</t>
        </is>
      </c>
      <c r="T4700" s="15" t="n">
        <v>237</v>
      </c>
      <c r="U4700" s="15" t="n">
        <v>32</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I-I-0099</t>
        </is>
      </c>
      <c r="B4701" s="12" t="inlineStr">
        <is>
          <t>I</t>
        </is>
      </c>
      <c r="C4701" s="12" t="inlineStr">
        <is>
          <t>Modular / portable power</t>
        </is>
      </c>
      <c r="D4701" s="12" t="inlineStr">
        <is>
          <t>Analog instrument to JB JB-MT-4..6 480 V swit-AI01: 6 x 1 pr (field cables)</t>
        </is>
      </c>
      <c r="E4701" s="12" t="inlineStr"/>
      <c r="F4701" s="12" t="inlineStr">
        <is>
          <t>MT-4..6 480 V switchboard</t>
        </is>
      </c>
      <c r="G4701" s="12" t="inlineStr">
        <is>
          <t>JB-MT-4..6 480 V swit-AI01</t>
        </is>
      </c>
      <c r="H4701" s="12" t="inlineStr">
        <is>
          <t>MT-4..6 480 V switchboard</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5" t="n">
        <v>44</v>
      </c>
      <c r="U4701" s="15" t="n">
        <v>10</v>
      </c>
      <c r="V4701" s="15">
        <f>ROUNDUP((T4701+U4701+2*'Read Me'!$B$13)*(1+'Read Me'!$B$12),-1)</f>
        <v/>
      </c>
      <c r="W4701" s="15">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I-I-0100</t>
        </is>
      </c>
      <c r="B4702" s="12" t="inlineStr">
        <is>
          <t>I</t>
        </is>
      </c>
      <c r="C4702" s="12" t="inlineStr">
        <is>
          <t>Modular / portable power</t>
        </is>
      </c>
      <c r="D4702" s="12" t="inlineStr">
        <is>
          <t>Home run JB-MT-4..6 480 V swit-AI01 to the control / marshalling room</t>
        </is>
      </c>
      <c r="E4702" s="12" t="inlineStr">
        <is>
          <t>PAD-EH</t>
        </is>
      </c>
      <c r="F4702" s="12" t="inlineStr">
        <is>
          <t>PAD-EH 13.8 kV switchgear e-house</t>
        </is>
      </c>
      <c r="G4702" s="12" t="inlineStr">
        <is>
          <t>JB-MT-4..6 480 V swit-AI01</t>
        </is>
      </c>
      <c r="H4702" s="12" t="inlineStr">
        <is>
          <t>MT-4..6 480 V switchboard</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5" t="n">
        <v>234</v>
      </c>
      <c r="U4702" s="15" t="n">
        <v>37</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I-I-0101</t>
        </is>
      </c>
      <c r="B4703" s="12" t="inlineStr">
        <is>
          <t>I</t>
        </is>
      </c>
      <c r="C4703" s="12" t="inlineStr">
        <is>
          <t>Modular / portable power</t>
        </is>
      </c>
      <c r="D4703" s="12" t="inlineStr">
        <is>
          <t>Discrete device to JB JB-MT-4..6 480 V swit-DI01: 6 x 1 pr (field cables)</t>
        </is>
      </c>
      <c r="E4703" s="12" t="inlineStr"/>
      <c r="F4703" s="12" t="inlineStr">
        <is>
          <t>MT-4..6 480 V switchboard</t>
        </is>
      </c>
      <c r="G4703" s="12" t="inlineStr">
        <is>
          <t>JB-MT-4..6 480 V swit-DI01</t>
        </is>
      </c>
      <c r="H4703" s="12" t="inlineStr">
        <is>
          <t>MT-4..6 480 V switchboard</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6</v>
      </c>
      <c r="O4703" s="12" t="n">
        <v>1</v>
      </c>
      <c r="P4703" s="12" t="n"/>
      <c r="Q4703" s="12" t="n"/>
      <c r="R4703" s="12" t="n"/>
      <c r="S4703" s="12" t="inlineStr">
        <is>
          <t>Tray / conduit</t>
        </is>
      </c>
      <c r="T4703" s="15" t="n">
        <v>44</v>
      </c>
      <c r="U4703" s="15" t="n">
        <v>10</v>
      </c>
      <c r="V4703" s="15">
        <f>ROUNDUP((T4703+U4703+2*'Read Me'!$B$13)*(1+'Read Me'!$B$12),-1)</f>
        <v/>
      </c>
      <c r="W4703" s="15">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I-I-0102</t>
        </is>
      </c>
      <c r="B4704" s="12" t="inlineStr">
        <is>
          <t>I</t>
        </is>
      </c>
      <c r="C4704" s="12" t="inlineStr">
        <is>
          <t>Modular / portable power</t>
        </is>
      </c>
      <c r="D4704" s="12" t="inlineStr">
        <is>
          <t>Home run JB-MT-4..6 480 V swit-DI01 to the control / marshalling room</t>
        </is>
      </c>
      <c r="E4704" s="12" t="inlineStr">
        <is>
          <t>PAD-EH</t>
        </is>
      </c>
      <c r="F4704" s="12" t="inlineStr">
        <is>
          <t>PAD-EH 13.8 kV switchgear e-house</t>
        </is>
      </c>
      <c r="G4704" s="12" t="inlineStr">
        <is>
          <t>JB-MT-4..6 480 V swit-DI01</t>
        </is>
      </c>
      <c r="H4704" s="12" t="inlineStr">
        <is>
          <t>MT-4..6 480 V switchboard</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5" t="n">
        <v>234</v>
      </c>
      <c r="U4704" s="15" t="n">
        <v>37</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I-I-0103</t>
        </is>
      </c>
      <c r="B4705" s="12" t="inlineStr">
        <is>
          <t>I</t>
        </is>
      </c>
      <c r="C4705" s="12" t="inlineStr">
        <is>
          <t>Modular / portable power</t>
        </is>
      </c>
      <c r="D4705" s="12" t="inlineStr">
        <is>
          <t>Analog instrument to JB JB-MT-4-AI01: 6 x 1 pr (field cables)</t>
        </is>
      </c>
      <c r="E4705" s="12" t="inlineStr">
        <is>
          <t>MT-4</t>
        </is>
      </c>
      <c r="F4705" s="12" t="inlineStr">
        <is>
          <t>MT-4: microturbine 1 MW (1 MW package class)</t>
        </is>
      </c>
      <c r="G4705" s="12" t="inlineStr">
        <is>
          <t>JB-MT-4-AI01</t>
        </is>
      </c>
      <c r="H4705" s="12" t="inlineStr">
        <is>
          <t>MT-4: microturbine 1 MW (1 MW package class)</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6</v>
      </c>
      <c r="O4705" s="12" t="n">
        <v>1</v>
      </c>
      <c r="P4705" s="12" t="n"/>
      <c r="Q4705" s="12" t="n"/>
      <c r="R4705" s="12" t="n"/>
      <c r="S4705" s="12" t="inlineStr">
        <is>
          <t>Tray / conduit</t>
        </is>
      </c>
      <c r="T4705" s="15" t="n">
        <v>47</v>
      </c>
      <c r="U4705" s="15" t="n">
        <v>10</v>
      </c>
      <c r="V4705" s="15">
        <f>ROUNDUP((T4705+U4705+2*'Read Me'!$B$13)*(1+'Read Me'!$B$12),-1)</f>
        <v/>
      </c>
      <c r="W4705" s="15">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I-I-0104</t>
        </is>
      </c>
      <c r="B4706" s="12" t="inlineStr">
        <is>
          <t>I</t>
        </is>
      </c>
      <c r="C4706" s="12" t="inlineStr">
        <is>
          <t>Modular / portable power</t>
        </is>
      </c>
      <c r="D4706" s="12" t="inlineStr">
        <is>
          <t>Home run JB-MT-4-AI01 to the control / marshalling room</t>
        </is>
      </c>
      <c r="E4706" s="12" t="inlineStr">
        <is>
          <t>PAD-EH</t>
        </is>
      </c>
      <c r="F4706" s="12" t="inlineStr">
        <is>
          <t>PAD-EH 13.8 kV switchgear e-house</t>
        </is>
      </c>
      <c r="G4706" s="12" t="inlineStr">
        <is>
          <t>JB-MT-4-AI01</t>
        </is>
      </c>
      <c r="H4706" s="12" t="inlineStr">
        <is>
          <t>MT-4: microturbine 1 MW (1 MW package class)</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5" t="n">
        <v>318</v>
      </c>
      <c r="U4706" s="15" t="n">
        <v>33</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I-I-0105</t>
        </is>
      </c>
      <c r="B4707" s="12" t="inlineStr">
        <is>
          <t>I</t>
        </is>
      </c>
      <c r="C4707" s="12" t="inlineStr">
        <is>
          <t>Modular / portable power</t>
        </is>
      </c>
      <c r="D4707" s="12" t="inlineStr">
        <is>
          <t>Discrete device to JB JB-MT-4-DI01: 6 x 1 pr (field cables)</t>
        </is>
      </c>
      <c r="E4707" s="12" t="inlineStr">
        <is>
          <t>MT-4</t>
        </is>
      </c>
      <c r="F4707" s="12" t="inlineStr">
        <is>
          <t>MT-4: microturbine 1 MW (1 MW package class)</t>
        </is>
      </c>
      <c r="G4707" s="12" t="inlineStr">
        <is>
          <t>JB-MT-4-DI01</t>
        </is>
      </c>
      <c r="H4707" s="12" t="inlineStr">
        <is>
          <t>MT-4: microturbine 1 MW (1 MW package class)</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6</v>
      </c>
      <c r="O4707" s="12" t="n">
        <v>1</v>
      </c>
      <c r="P4707" s="12" t="n"/>
      <c r="Q4707" s="12" t="n"/>
      <c r="R4707" s="12" t="n"/>
      <c r="S4707" s="12" t="inlineStr">
        <is>
          <t>Tray / conduit</t>
        </is>
      </c>
      <c r="T4707" s="15" t="n">
        <v>47</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I-I-0106</t>
        </is>
      </c>
      <c r="B4708" s="12" t="inlineStr">
        <is>
          <t>I</t>
        </is>
      </c>
      <c r="C4708" s="12" t="inlineStr">
        <is>
          <t>Modular / portable power</t>
        </is>
      </c>
      <c r="D4708" s="12" t="inlineStr">
        <is>
          <t>Home run JB-MT-4-DI01 to the control / marshalling room</t>
        </is>
      </c>
      <c r="E4708" s="12" t="inlineStr">
        <is>
          <t>PAD-EH</t>
        </is>
      </c>
      <c r="F4708" s="12" t="inlineStr">
        <is>
          <t>PAD-EH 13.8 kV switchgear e-house</t>
        </is>
      </c>
      <c r="G4708" s="12" t="inlineStr">
        <is>
          <t>JB-MT-4-DI01</t>
        </is>
      </c>
      <c r="H4708" s="12" t="inlineStr">
        <is>
          <t>MT-4: microturbine 1 MW (1 MW package class)</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5" t="n">
        <v>318</v>
      </c>
      <c r="U4708" s="15" t="n">
        <v>33</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I-I-0107</t>
        </is>
      </c>
      <c r="B4709" s="12" t="inlineStr">
        <is>
          <t>I</t>
        </is>
      </c>
      <c r="C4709" s="12" t="inlineStr">
        <is>
          <t>Modular / portable power</t>
        </is>
      </c>
      <c r="D4709" s="12" t="inlineStr">
        <is>
          <t>Analog instrument to JB JB-MT-5-AI01: 6 x 1 pr (field cables)</t>
        </is>
      </c>
      <c r="E4709" s="12" t="inlineStr">
        <is>
          <t>MT-5</t>
        </is>
      </c>
      <c r="F4709" s="12" t="inlineStr">
        <is>
          <t>MT-5: microturbine 1 MW (1 MW package class)</t>
        </is>
      </c>
      <c r="G4709" s="12" t="inlineStr">
        <is>
          <t>JB-MT-5-AI01</t>
        </is>
      </c>
      <c r="H4709" s="12" t="inlineStr">
        <is>
          <t>MT-5: microturbine 1 MW (1 MW package class)</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6</v>
      </c>
      <c r="O4709" s="12" t="n">
        <v>1</v>
      </c>
      <c r="P4709" s="12" t="n"/>
      <c r="Q4709" s="12" t="n"/>
      <c r="R4709" s="12" t="n"/>
      <c r="S4709" s="12" t="inlineStr">
        <is>
          <t>Tray / conduit</t>
        </is>
      </c>
      <c r="T4709" s="15" t="n">
        <v>47</v>
      </c>
      <c r="U4709" s="15" t="n">
        <v>10</v>
      </c>
      <c r="V4709" s="15">
        <f>ROUNDUP((T4709+U4709+2*'Read Me'!$B$13)*(1+'Read Me'!$B$12),-1)</f>
        <v/>
      </c>
      <c r="W4709" s="15">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I-I-0108</t>
        </is>
      </c>
      <c r="B4710" s="12" t="inlineStr">
        <is>
          <t>I</t>
        </is>
      </c>
      <c r="C4710" s="12" t="inlineStr">
        <is>
          <t>Modular / portable power</t>
        </is>
      </c>
      <c r="D4710" s="12" t="inlineStr">
        <is>
          <t>Home run JB-MT-5-AI01 to the control / marshalling room</t>
        </is>
      </c>
      <c r="E4710" s="12" t="inlineStr">
        <is>
          <t>PAD-EH</t>
        </is>
      </c>
      <c r="F4710" s="12" t="inlineStr">
        <is>
          <t>PAD-EH 13.8 kV switchgear e-house</t>
        </is>
      </c>
      <c r="G4710" s="12" t="inlineStr">
        <is>
          <t>JB-MT-5-AI01</t>
        </is>
      </c>
      <c r="H4710" s="12" t="inlineStr">
        <is>
          <t>MT-5: microturbine 1 MW (1 MW package class)</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5" t="n">
        <v>304</v>
      </c>
      <c r="U4710" s="15" t="n">
        <v>33</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I-I-0109</t>
        </is>
      </c>
      <c r="B4711" s="12" t="inlineStr">
        <is>
          <t>I</t>
        </is>
      </c>
      <c r="C4711" s="12" t="inlineStr">
        <is>
          <t>Modular / portable power</t>
        </is>
      </c>
      <c r="D4711" s="12" t="inlineStr">
        <is>
          <t>Discrete device to JB JB-MT-5-DI01: 6 x 1 pr (field cables)</t>
        </is>
      </c>
      <c r="E4711" s="12" t="inlineStr">
        <is>
          <t>MT-5</t>
        </is>
      </c>
      <c r="F4711" s="12" t="inlineStr">
        <is>
          <t>MT-5: microturbine 1 MW (1 MW package class)</t>
        </is>
      </c>
      <c r="G4711" s="12" t="inlineStr">
        <is>
          <t>JB-MT-5-DI01</t>
        </is>
      </c>
      <c r="H4711" s="12" t="inlineStr">
        <is>
          <t>MT-5: microturbine 1 MW (1 MW package class)</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6</v>
      </c>
      <c r="O4711" s="12" t="n">
        <v>1</v>
      </c>
      <c r="P4711" s="12" t="n"/>
      <c r="Q4711" s="12" t="n"/>
      <c r="R4711" s="12" t="n"/>
      <c r="S4711" s="12" t="inlineStr">
        <is>
          <t>Tray / conduit</t>
        </is>
      </c>
      <c r="T4711" s="15" t="n">
        <v>47</v>
      </c>
      <c r="U4711" s="15" t="n">
        <v>10</v>
      </c>
      <c r="V4711" s="15">
        <f>ROUNDUP((T4711+U4711+2*'Read Me'!$B$13)*(1+'Read Me'!$B$12),-1)</f>
        <v/>
      </c>
      <c r="W4711" s="15">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I-I-0110</t>
        </is>
      </c>
      <c r="B4712" s="12" t="inlineStr">
        <is>
          <t>I</t>
        </is>
      </c>
      <c r="C4712" s="12" t="inlineStr">
        <is>
          <t>Modular / portable power</t>
        </is>
      </c>
      <c r="D4712" s="12" t="inlineStr">
        <is>
          <t>Home run JB-MT-5-DI01 to the control / marshalling room</t>
        </is>
      </c>
      <c r="E4712" s="12" t="inlineStr">
        <is>
          <t>PAD-EH</t>
        </is>
      </c>
      <c r="F4712" s="12" t="inlineStr">
        <is>
          <t>PAD-EH 13.8 kV switchgear e-house</t>
        </is>
      </c>
      <c r="G4712" s="12" t="inlineStr">
        <is>
          <t>JB-MT-5-DI01</t>
        </is>
      </c>
      <c r="H4712" s="12" t="inlineStr">
        <is>
          <t>MT-5: microturbine 1 MW (1 MW package class)</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5" t="n">
        <v>304</v>
      </c>
      <c r="U4712" s="15" t="n">
        <v>33</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I-I-0111</t>
        </is>
      </c>
      <c r="B4713" s="12" t="inlineStr">
        <is>
          <t>I</t>
        </is>
      </c>
      <c r="C4713" s="12" t="inlineStr">
        <is>
          <t>Modular / portable power</t>
        </is>
      </c>
      <c r="D4713" s="12" t="inlineStr">
        <is>
          <t>Analog instrument to JB JB-MT-6-AI01: 6 x 1 pr (field cables)</t>
        </is>
      </c>
      <c r="E4713" s="12" t="inlineStr">
        <is>
          <t>MT-6</t>
        </is>
      </c>
      <c r="F4713" s="12" t="inlineStr">
        <is>
          <t>MT-6: microturbine 1 MW (1 MW package class)</t>
        </is>
      </c>
      <c r="G4713" s="12" t="inlineStr">
        <is>
          <t>JB-MT-6-AI01</t>
        </is>
      </c>
      <c r="H4713" s="12" t="inlineStr">
        <is>
          <t>MT-6: microturbine 1 MW (1 MW package class)</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6</v>
      </c>
      <c r="O4713" s="12" t="n">
        <v>1</v>
      </c>
      <c r="P4713" s="12" t="n"/>
      <c r="Q4713" s="12" t="n"/>
      <c r="R4713" s="12" t="n"/>
      <c r="S4713" s="12" t="inlineStr">
        <is>
          <t>Tray / conduit</t>
        </is>
      </c>
      <c r="T4713" s="15" t="n">
        <v>47</v>
      </c>
      <c r="U4713" s="15" t="n">
        <v>10</v>
      </c>
      <c r="V4713" s="15">
        <f>ROUNDUP((T4713+U4713+2*'Read Me'!$B$13)*(1+'Read Me'!$B$12),-1)</f>
        <v/>
      </c>
      <c r="W4713" s="15">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I-I-0112</t>
        </is>
      </c>
      <c r="B4714" s="12" t="inlineStr">
        <is>
          <t>I</t>
        </is>
      </c>
      <c r="C4714" s="12" t="inlineStr">
        <is>
          <t>Modular / portable power</t>
        </is>
      </c>
      <c r="D4714" s="12" t="inlineStr">
        <is>
          <t>Home run JB-MT-6-AI01 to the control / marshalling room</t>
        </is>
      </c>
      <c r="E4714" s="12" t="inlineStr">
        <is>
          <t>PAD-EH</t>
        </is>
      </c>
      <c r="F4714" s="12" t="inlineStr">
        <is>
          <t>PAD-EH 13.8 kV switchgear e-house</t>
        </is>
      </c>
      <c r="G4714" s="12" t="inlineStr">
        <is>
          <t>JB-MT-6-AI01</t>
        </is>
      </c>
      <c r="H4714" s="12" t="inlineStr">
        <is>
          <t>MT-6: microturbine 1 MW (1 MW package class)</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Duct bank</t>
        </is>
      </c>
      <c r="T4714" s="15" t="n">
        <v>234</v>
      </c>
      <c r="U4714" s="15" t="n">
        <v>38</v>
      </c>
      <c r="V4714" s="15">
        <f>ROUNDUP((T4714+U4714+2*'Read Me'!$B$13)*(1+'Read Me'!$B$12),-1)</f>
        <v/>
      </c>
      <c r="W4714" s="15">
        <f>V4714*N4714*O4714</f>
        <v/>
      </c>
      <c r="X4714" s="12">
        <f>IF(LEFT(I4714,2)="MV",2*N4714*IF(L4714="1/C",O4714,1),0)</f>
        <v/>
      </c>
      <c r="Y4714" s="12">
        <f>IF(OR(LEFT(K4714,4)="LVAX",LEFT(K4714,6)="MV15AX",LEFT(K4714,4)="CTAX",LEFT(K4714,2)="W|"),2*N4714*O4714,0)</f>
        <v/>
      </c>
      <c r="Z4714" s="12" t="inlineStr"/>
      <c r="AA4714" s="12">
        <f>N4714*O4714</f>
        <v/>
      </c>
    </row>
    <row r="4715">
      <c r="A4715" s="12" t="inlineStr">
        <is>
          <t>I-I-0113</t>
        </is>
      </c>
      <c r="B4715" s="12" t="inlineStr">
        <is>
          <t>I</t>
        </is>
      </c>
      <c r="C4715" s="12" t="inlineStr">
        <is>
          <t>Modular / portable power</t>
        </is>
      </c>
      <c r="D4715" s="12" t="inlineStr">
        <is>
          <t>Discrete device to JB JB-MT-6-DI01: 6 x 1 pr (field cables)</t>
        </is>
      </c>
      <c r="E4715" s="12" t="inlineStr">
        <is>
          <t>MT-6</t>
        </is>
      </c>
      <c r="F4715" s="12" t="inlineStr">
        <is>
          <t>MT-6: microturbine 1 MW (1 MW package class)</t>
        </is>
      </c>
      <c r="G4715" s="12" t="inlineStr">
        <is>
          <t>JB-MT-6-DI01</t>
        </is>
      </c>
      <c r="H4715" s="12" t="inlineStr">
        <is>
          <t>MT-6: microturbine 1 MW (1 MW package class)</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6</v>
      </c>
      <c r="O4715" s="12" t="n">
        <v>1</v>
      </c>
      <c r="P4715" s="12" t="n"/>
      <c r="Q4715" s="12" t="n"/>
      <c r="R4715" s="12" t="n"/>
      <c r="S4715" s="12" t="inlineStr">
        <is>
          <t>Tray / conduit</t>
        </is>
      </c>
      <c r="T4715" s="15" t="n">
        <v>47</v>
      </c>
      <c r="U4715" s="15" t="n">
        <v>10</v>
      </c>
      <c r="V4715" s="15">
        <f>ROUNDUP((T4715+U4715+2*'Read Me'!$B$13)*(1+'Read Me'!$B$12),-1)</f>
        <v/>
      </c>
      <c r="W4715" s="15">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I-I-0114</t>
        </is>
      </c>
      <c r="B4716" s="12" t="inlineStr">
        <is>
          <t>I</t>
        </is>
      </c>
      <c r="C4716" s="12" t="inlineStr">
        <is>
          <t>Modular / portable power</t>
        </is>
      </c>
      <c r="D4716" s="12" t="inlineStr">
        <is>
          <t>Home run JB-MT-6-DI01 to the control / marshalling room</t>
        </is>
      </c>
      <c r="E4716" s="12" t="inlineStr">
        <is>
          <t>PAD-EH</t>
        </is>
      </c>
      <c r="F4716" s="12" t="inlineStr">
        <is>
          <t>PAD-EH 13.8 kV switchgear e-house</t>
        </is>
      </c>
      <c r="G4716" s="12" t="inlineStr">
        <is>
          <t>JB-MT-6-DI01</t>
        </is>
      </c>
      <c r="H4716" s="12" t="inlineStr">
        <is>
          <t>MT-6: microturbine 1 MW (1 MW package class)</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5" t="n">
        <v>234</v>
      </c>
      <c r="U4716" s="15" t="n">
        <v>38</v>
      </c>
      <c r="V4716" s="15">
        <f>ROUNDUP((T4716+U4716+2*'Read Me'!$B$13)*(1+'Read Me'!$B$12),-1)</f>
        <v/>
      </c>
      <c r="W4716" s="15">
        <f>V4716*N4716*O4716</f>
        <v/>
      </c>
      <c r="X4716" s="12">
        <f>IF(LEFT(I4716,2)="MV",2*N4716*IF(L4716="1/C",O4716,1),0)</f>
        <v/>
      </c>
      <c r="Y4716" s="12">
        <f>IF(OR(LEFT(K4716,4)="LVAX",LEFT(K4716,6)="MV15AX",LEFT(K4716,4)="CTAX",LEFT(K4716,2)="W|"),2*N4716*O4716,0)</f>
        <v/>
      </c>
      <c r="Z4716" s="12" t="inlineStr"/>
      <c r="AA4716" s="12">
        <f>N4716*O4716</f>
        <v/>
      </c>
    </row>
    <row r="4717">
      <c r="A4717" s="12" t="inlineStr">
        <is>
          <t>I-I-0115</t>
        </is>
      </c>
      <c r="B4717" s="12" t="inlineStr">
        <is>
          <t>I</t>
        </is>
      </c>
      <c r="C4717" s="12" t="inlineStr">
        <is>
          <t>Modular / portable power</t>
        </is>
      </c>
      <c r="D4717" s="12" t="inlineStr">
        <is>
          <t>MT-TX monitoring: temperatures, gas relay, oil level</t>
        </is>
      </c>
      <c r="E4717" s="12" t="inlineStr"/>
      <c r="F4717" s="12" t="inlineStr">
        <is>
          <t>MT-4..6 480 V switchboard</t>
        </is>
      </c>
      <c r="G4717" s="12" t="inlineStr">
        <is>
          <t>MT-TX</t>
        </is>
      </c>
      <c r="H4717" s="12" t="inlineStr">
        <is>
          <t>MT-TX: 480 V : 13.8 kV, ~3.75 MVA pad-mount (microturbine site)</t>
        </is>
      </c>
      <c r="I4717" s="12" t="inlineStr">
        <is>
          <t>Instrumentation</t>
        </is>
      </c>
      <c r="J4717" s="12" t="inlineStr">
        <is>
          <t>Instrumentation ITC / PLTC, IS, #18 shielded pairs, blue jacket</t>
        </is>
      </c>
      <c r="K4717" s="12" t="inlineStr">
        <is>
          <t>ITC|4 pr|18</t>
        </is>
      </c>
      <c r="L4717" s="12" t="inlineStr">
        <is>
          <t>4 pr</t>
        </is>
      </c>
      <c r="M4717" s="12" t="inlineStr">
        <is>
          <t>18</t>
        </is>
      </c>
      <c r="N4717" s="12" t="n">
        <v>1</v>
      </c>
      <c r="O4717" s="12" t="n">
        <v>1</v>
      </c>
      <c r="P4717" s="12" t="n"/>
      <c r="Q4717" s="12" t="n"/>
      <c r="R4717" s="12" t="n"/>
      <c r="S4717" s="12" t="inlineStr">
        <is>
          <t>Duct bank</t>
        </is>
      </c>
      <c r="T4717" s="15" t="n">
        <v>0</v>
      </c>
      <c r="U4717" s="15" t="n">
        <v>36</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I-I-0116</t>
        </is>
      </c>
      <c r="B4718" s="12" t="inlineStr">
        <is>
          <t>I</t>
        </is>
      </c>
      <c r="C4718" s="12" t="inlineStr">
        <is>
          <t>Modular / portable power</t>
        </is>
      </c>
      <c r="D4718" s="12" t="inlineStr">
        <is>
          <t>MTG-1 instrumentation</t>
        </is>
      </c>
      <c r="E4718" s="12" t="inlineStr">
        <is>
          <t>MTG-SWG</t>
        </is>
      </c>
      <c r="F4718" s="12" t="inlineStr">
        <is>
          <t>MTG-SWG: 13.8 kV switchgear e-house (2 generator breakers, site feeder</t>
        </is>
      </c>
      <c r="G4718" s="12" t="inlineStr">
        <is>
          <t>MTG-1</t>
        </is>
      </c>
      <c r="H4718" s="12" t="inlineStr">
        <is>
          <t xml:space="preserve">MTG-1: mid-size industrial gas-turbine generator package ~16 MW, 13.8 </t>
        </is>
      </c>
      <c r="I4718" s="12" t="inlineStr">
        <is>
          <t>Instrumentation</t>
        </is>
      </c>
      <c r="J4718" s="12" t="inlineStr">
        <is>
          <t>Instrumentation ITC / PLTC, IS, #18 shielded pairs, blue jacket</t>
        </is>
      </c>
      <c r="K4718" s="12" t="inlineStr">
        <is>
          <t>ITC|4 pr|18</t>
        </is>
      </c>
      <c r="L4718" s="12" t="inlineStr">
        <is>
          <t>4 pr</t>
        </is>
      </c>
      <c r="M4718" s="12" t="inlineStr">
        <is>
          <t>18</t>
        </is>
      </c>
      <c r="N4718" s="12" t="n">
        <v>1</v>
      </c>
      <c r="O4718" s="12" t="n">
        <v>1</v>
      </c>
      <c r="P4718" s="12" t="n"/>
      <c r="Q4718" s="12" t="n"/>
      <c r="R4718" s="12" t="n"/>
      <c r="S4718" s="12" t="inlineStr">
        <is>
          <t>Duct bank</t>
        </is>
      </c>
      <c r="T4718" s="15" t="n">
        <v>37</v>
      </c>
      <c r="U4718" s="15" t="n">
        <v>34</v>
      </c>
      <c r="V4718" s="15">
        <f>ROUNDUP((T4718+U4718+2*'Read Me'!$B$13)*(1+'Read Me'!$B$12),-1)</f>
        <v/>
      </c>
      <c r="W4718" s="15">
        <f>V4718*N4718*O4718</f>
        <v/>
      </c>
      <c r="X4718" s="12">
        <f>IF(LEFT(I4718,2)="MV",2*N4718*IF(L4718="1/C",O4718,1),0)</f>
        <v/>
      </c>
      <c r="Y4718" s="12">
        <f>IF(OR(LEFT(K4718,4)="LVAX",LEFT(K4718,6)="MV15AX",LEFT(K4718,4)="CTAX",LEFT(K4718,2)="W|"),2*N4718*O4718,0)</f>
        <v/>
      </c>
      <c r="Z4718" s="12" t="inlineStr"/>
      <c r="AA4718" s="12">
        <f>N4718*O4718</f>
        <v/>
      </c>
    </row>
    <row r="4719">
      <c r="A4719" s="12" t="inlineStr">
        <is>
          <t>I-I-0117</t>
        </is>
      </c>
      <c r="B4719" s="12" t="inlineStr">
        <is>
          <t>I</t>
        </is>
      </c>
      <c r="C4719" s="12" t="inlineStr">
        <is>
          <t>Modular / portable power</t>
        </is>
      </c>
      <c r="D4719" s="12" t="inlineStr">
        <is>
          <t>MTG-2 instrumentation</t>
        </is>
      </c>
      <c r="E4719" s="12" t="inlineStr">
        <is>
          <t>MTG-SWG</t>
        </is>
      </c>
      <c r="F4719" s="12" t="inlineStr">
        <is>
          <t>MTG-SWG: 13.8 kV switchgear e-house (2 generator breakers, site feeder</t>
        </is>
      </c>
      <c r="G4719" s="12" t="inlineStr">
        <is>
          <t>MTG-2</t>
        </is>
      </c>
      <c r="H4719" s="12" t="inlineStr">
        <is>
          <t xml:space="preserve">MTG-2: mid-size industrial gas-turbine generator package ~16 MW, 13.8 </t>
        </is>
      </c>
      <c r="I4719" s="12" t="inlineStr">
        <is>
          <t>Instrumentation</t>
        </is>
      </c>
      <c r="J4719" s="12" t="inlineStr">
        <is>
          <t>Instrumentation ITC / PLTC, IS, #18 shielded pairs, blue jacket</t>
        </is>
      </c>
      <c r="K4719" s="12" t="inlineStr">
        <is>
          <t>ITC|4 pr|18</t>
        </is>
      </c>
      <c r="L4719" s="12" t="inlineStr">
        <is>
          <t>4 pr</t>
        </is>
      </c>
      <c r="M4719" s="12" t="inlineStr">
        <is>
          <t>18</t>
        </is>
      </c>
      <c r="N4719" s="12" t="n">
        <v>1</v>
      </c>
      <c r="O4719" s="12" t="n">
        <v>1</v>
      </c>
      <c r="P4719" s="12" t="n"/>
      <c r="Q4719" s="12" t="n"/>
      <c r="R4719" s="12" t="n"/>
      <c r="S4719" s="12" t="inlineStr">
        <is>
          <t>Duct bank</t>
        </is>
      </c>
      <c r="T4719" s="15" t="n">
        <v>7</v>
      </c>
      <c r="U4719" s="15" t="n">
        <v>34</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I-I-0118</t>
        </is>
      </c>
      <c r="B4720" s="12" t="inlineStr">
        <is>
          <t>I</t>
        </is>
      </c>
      <c r="C4720" s="12" t="inlineStr">
        <is>
          <t>Modular / portable power</t>
        </is>
      </c>
      <c r="D4720" s="12" t="inlineStr">
        <is>
          <t>MTG-AUX monitoring: temperatures, gas relay, oil level</t>
        </is>
      </c>
      <c r="E4720" s="12" t="inlineStr">
        <is>
          <t>MTG-SWG</t>
        </is>
      </c>
      <c r="F4720" s="12" t="inlineStr">
        <is>
          <t>MTG-SWG: 13.8 kV switchgear e-house (2 generator breakers, site feeder</t>
        </is>
      </c>
      <c r="G4720" s="12" t="inlineStr">
        <is>
          <t>MTG-AUX</t>
        </is>
      </c>
      <c r="H4720" s="12" t="inlineStr">
        <is>
          <t>MTG-AUX: 13.8 / 0.48 kV auxiliary transformer</t>
        </is>
      </c>
      <c r="I4720" s="12" t="inlineStr">
        <is>
          <t>Instrumentation</t>
        </is>
      </c>
      <c r="J4720" s="12" t="inlineStr">
        <is>
          <t>Instrumentation ITC / PLTC, IS, #18 shielded pairs, blue jacket</t>
        </is>
      </c>
      <c r="K4720" s="12" t="inlineStr">
        <is>
          <t>ITC|4 pr|18</t>
        </is>
      </c>
      <c r="L4720" s="12" t="inlineStr">
        <is>
          <t>4 pr</t>
        </is>
      </c>
      <c r="M4720" s="12" t="inlineStr">
        <is>
          <t>18</t>
        </is>
      </c>
      <c r="N4720" s="12" t="n">
        <v>1</v>
      </c>
      <c r="O4720" s="12" t="n">
        <v>1</v>
      </c>
      <c r="P4720" s="12" t="n"/>
      <c r="Q4720" s="12" t="n"/>
      <c r="R4720" s="12" t="n"/>
      <c r="S4720" s="12" t="inlineStr">
        <is>
          <t>Duct bank</t>
        </is>
      </c>
      <c r="T4720" s="15" t="n">
        <v>34</v>
      </c>
      <c r="U4720" s="15" t="n">
        <v>32</v>
      </c>
      <c r="V4720" s="15">
        <f>ROUNDUP((T4720+U4720+2*'Read Me'!$B$13)*(1+'Read Me'!$B$12),-1)</f>
        <v/>
      </c>
      <c r="W4720" s="15">
        <f>V4720*N4720*O4720</f>
        <v/>
      </c>
      <c r="X4720" s="12">
        <f>IF(LEFT(I4720,2)="MV",2*N4720*IF(L4720="1/C",O4720,1),0)</f>
        <v/>
      </c>
      <c r="Y4720" s="12">
        <f>IF(OR(LEFT(K4720,4)="LVAX",LEFT(K4720,6)="MV15AX",LEFT(K4720,4)="CTAX",LEFT(K4720,2)="W|"),2*N4720*O4720,0)</f>
        <v/>
      </c>
      <c r="Z4720" s="12" t="inlineStr"/>
      <c r="AA4720" s="12">
        <f>N4720*O4720</f>
        <v/>
      </c>
    </row>
    <row r="4721">
      <c r="A4721" s="12" t="inlineStr">
        <is>
          <t>I-I-0119</t>
        </is>
      </c>
      <c r="B4721" s="12" t="inlineStr">
        <is>
          <t>I</t>
        </is>
      </c>
      <c r="C4721" s="12" t="inlineStr">
        <is>
          <t>Modular / portable power</t>
        </is>
      </c>
      <c r="D4721" s="12" t="inlineStr">
        <is>
          <t>MTG-FG skid instrumentation (IS)</t>
        </is>
      </c>
      <c r="E4721" s="12" t="inlineStr">
        <is>
          <t>MTG-CB</t>
        </is>
      </c>
      <c r="F4721" s="12" t="inlineStr">
        <is>
          <t>MTG-CB: control and MCC building (unit controls, 480 V MCC)</t>
        </is>
      </c>
      <c r="G4721" s="12" t="inlineStr">
        <is>
          <t>MTG-FG</t>
        </is>
      </c>
      <c r="H4721" s="12" t="inlineStr">
        <is>
          <t>MTG-FG: fuel-gas conditioning skid (scrubber, filter-separator, heater</t>
        </is>
      </c>
      <c r="I4721" s="12" t="inlineStr">
        <is>
          <t>Instrumentation</t>
        </is>
      </c>
      <c r="J4721" s="12" t="inlineStr">
        <is>
          <t>Instrumentation ITC / PLTC, IS, #18 shielded pairs, blue jacket</t>
        </is>
      </c>
      <c r="K4721" s="12" t="inlineStr">
        <is>
          <t>ITC|4 pr|18</t>
        </is>
      </c>
      <c r="L4721" s="12" t="inlineStr">
        <is>
          <t>4 pr</t>
        </is>
      </c>
      <c r="M4721" s="12" t="inlineStr">
        <is>
          <t>18</t>
        </is>
      </c>
      <c r="N4721" s="12" t="n">
        <v>1</v>
      </c>
      <c r="O4721" s="12" t="n">
        <v>1</v>
      </c>
      <c r="P4721" s="12" t="n"/>
      <c r="Q4721" s="12" t="n"/>
      <c r="R4721" s="12" t="n"/>
      <c r="S4721" s="12" t="inlineStr">
        <is>
          <t>Duct bank</t>
        </is>
      </c>
      <c r="T4721" s="15" t="n">
        <v>36</v>
      </c>
      <c r="U4721" s="15" t="n">
        <v>102</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I-I-0120</t>
        </is>
      </c>
      <c r="B4722" s="12" t="inlineStr">
        <is>
          <t>I</t>
        </is>
      </c>
      <c r="C4722" s="12" t="inlineStr">
        <is>
          <t>Modular / portable power</t>
        </is>
      </c>
      <c r="D4722" s="12" t="inlineStr">
        <is>
          <t>MTG-GSU monitoring: temperatures, gas relay, oil level</t>
        </is>
      </c>
      <c r="E4722" s="12" t="inlineStr">
        <is>
          <t>MTG-SWG</t>
        </is>
      </c>
      <c r="F4722" s="12" t="inlineStr">
        <is>
          <t>MTG-SWG: 13.8 kV switchgear e-house (2 generator breakers, site feeder</t>
        </is>
      </c>
      <c r="G4722" s="12" t="inlineStr">
        <is>
          <t>MTG-GSU</t>
        </is>
      </c>
      <c r="H4722" s="12" t="inlineStr">
        <is>
          <t>MTG-GSU: 13.8 / 34.5 kV step-up, ~40 MVA (mid-size turbines)</t>
        </is>
      </c>
      <c r="I4722" s="12" t="inlineStr">
        <is>
          <t>Instrumentation</t>
        </is>
      </c>
      <c r="J4722" s="12" t="inlineStr">
        <is>
          <t>Instrumentation ITC / PLTC, IS, #18 shielded pairs, blue jacket</t>
        </is>
      </c>
      <c r="K4722" s="12" t="inlineStr">
        <is>
          <t>ITC|4 pr|18</t>
        </is>
      </c>
      <c r="L4722" s="12" t="inlineStr">
        <is>
          <t>4 pr</t>
        </is>
      </c>
      <c r="M4722" s="12" t="inlineStr">
        <is>
          <t>18</t>
        </is>
      </c>
      <c r="N4722" s="12" t="n">
        <v>1</v>
      </c>
      <c r="O4722" s="12" t="n">
        <v>1</v>
      </c>
      <c r="P4722" s="12" t="n"/>
      <c r="Q4722" s="12" t="n"/>
      <c r="R4722" s="12" t="n"/>
      <c r="S4722" s="12" t="inlineStr">
        <is>
          <t>Duct bank</t>
        </is>
      </c>
      <c r="T4722" s="15" t="n">
        <v>12</v>
      </c>
      <c r="U4722" s="15" t="n">
        <v>32</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I-I-0121</t>
        </is>
      </c>
      <c r="B4723" s="12" t="inlineStr">
        <is>
          <t>I</t>
        </is>
      </c>
      <c r="C4723" s="12" t="inlineStr">
        <is>
          <t>Modular / portable power</t>
        </is>
      </c>
      <c r="D4723" s="12" t="inlineStr">
        <is>
          <t>PAD-GSU monitoring: temperatures, gas relay, oil level</t>
        </is>
      </c>
      <c r="E4723" s="12" t="inlineStr">
        <is>
          <t>PAD-EH</t>
        </is>
      </c>
      <c r="F4723" s="12" t="inlineStr">
        <is>
          <t>PAD-EH 13.8 kV switchgear e-house</t>
        </is>
      </c>
      <c r="G4723" s="12" t="inlineStr">
        <is>
          <t>PAD-GSU</t>
        </is>
      </c>
      <c r="H4723" s="12" t="inlineStr">
        <is>
          <t>PAD-GSU: 13.8 / 34.5 kV step-up, ~60 MVA (PAD-EH: TM-1, CHP site, MT-T</t>
        </is>
      </c>
      <c r="I4723" s="12" t="inlineStr">
        <is>
          <t>Instrumentation</t>
        </is>
      </c>
      <c r="J4723" s="12" t="inlineStr">
        <is>
          <t>Instrumentation ITC / PLTC, IS, #18 shielded pairs, blue jacket</t>
        </is>
      </c>
      <c r="K4723" s="12" t="inlineStr">
        <is>
          <t>ITC|4 pr|18</t>
        </is>
      </c>
      <c r="L4723" s="12" t="inlineStr">
        <is>
          <t>4 pr</t>
        </is>
      </c>
      <c r="M4723" s="12" t="inlineStr">
        <is>
          <t>18</t>
        </is>
      </c>
      <c r="N4723" s="12" t="n">
        <v>1</v>
      </c>
      <c r="O4723" s="12" t="n">
        <v>1</v>
      </c>
      <c r="P4723" s="12" t="n"/>
      <c r="Q4723" s="12" t="n"/>
      <c r="R4723" s="12" t="n"/>
      <c r="S4723" s="12" t="inlineStr">
        <is>
          <t>Duct bank</t>
        </is>
      </c>
      <c r="T4723" s="15" t="n">
        <v>44</v>
      </c>
      <c r="U4723" s="15" t="n">
        <v>32</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I-I-0122</t>
        </is>
      </c>
      <c r="B4724" s="12" t="inlineStr">
        <is>
          <t>I</t>
        </is>
      </c>
      <c r="C4724" s="12" t="inlineStr">
        <is>
          <t>Modular / portable power</t>
        </is>
      </c>
      <c r="D4724" s="12" t="inlineStr">
        <is>
          <t>PGS-1 instrumentation</t>
        </is>
      </c>
      <c r="E4724" s="12" t="inlineStr">
        <is>
          <t>PGS-SWG</t>
        </is>
      </c>
      <c r="F4724" s="12" t="inlineStr">
        <is>
          <t>PGS-SWG: 480 V paralleling switchgear (8 generator breakers, 2 transfo</t>
        </is>
      </c>
      <c r="G4724" s="12" t="inlineStr">
        <is>
          <t>PGS-1</t>
        </is>
      </c>
      <c r="H4724" s="12" t="inlineStr">
        <is>
          <t>PGS-1: enclosed gas genset 1 MW, 480 V (paralleled, unit 1 of 8)</t>
        </is>
      </c>
      <c r="I4724" s="12" t="inlineStr">
        <is>
          <t>Instrumentation</t>
        </is>
      </c>
      <c r="J4724" s="12" t="inlineStr">
        <is>
          <t>Instrumentation ITC / PLTC, IS, #18 shielded pairs, blue jacket</t>
        </is>
      </c>
      <c r="K4724" s="12" t="inlineStr">
        <is>
          <t>ITC|4 pr|18</t>
        </is>
      </c>
      <c r="L4724" s="12" t="inlineStr">
        <is>
          <t>4 pr</t>
        </is>
      </c>
      <c r="M4724" s="12" t="inlineStr">
        <is>
          <t>18</t>
        </is>
      </c>
      <c r="N4724" s="12" t="n">
        <v>1</v>
      </c>
      <c r="O4724" s="12" t="n">
        <v>1</v>
      </c>
      <c r="P4724" s="12" t="n"/>
      <c r="Q4724" s="12" t="n"/>
      <c r="R4724" s="12" t="n"/>
      <c r="S4724" s="12" t="inlineStr">
        <is>
          <t>Riser</t>
        </is>
      </c>
      <c r="T4724" s="15" t="n">
        <v>4</v>
      </c>
      <c r="U4724" s="15" t="n">
        <v>27</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I-I-0123</t>
        </is>
      </c>
      <c r="B4725" s="12" t="inlineStr">
        <is>
          <t>I</t>
        </is>
      </c>
      <c r="C4725" s="12" t="inlineStr">
        <is>
          <t>Modular / portable power</t>
        </is>
      </c>
      <c r="D4725" s="12" t="inlineStr">
        <is>
          <t>PGS-2 instrumentation</t>
        </is>
      </c>
      <c r="E4725" s="12" t="inlineStr">
        <is>
          <t>PGS-SWG</t>
        </is>
      </c>
      <c r="F4725" s="12" t="inlineStr">
        <is>
          <t>PGS-SWG: 480 V paralleling switchgear (8 generator breakers, 2 transfo</t>
        </is>
      </c>
      <c r="G4725" s="12" t="inlineStr">
        <is>
          <t>PGS-2</t>
        </is>
      </c>
      <c r="H4725" s="12" t="inlineStr">
        <is>
          <t>PGS-2: enclosed gas genset 1 MW, 480 V (paralleled, unit 2 of 8)</t>
        </is>
      </c>
      <c r="I4725" s="12" t="inlineStr">
        <is>
          <t>Instrumentation</t>
        </is>
      </c>
      <c r="J4725" s="12" t="inlineStr">
        <is>
          <t>Instrumentation ITC / PLTC, IS, #18 shielded pairs, blue jacket</t>
        </is>
      </c>
      <c r="K4725" s="12" t="inlineStr">
        <is>
          <t>ITC|4 pr|18</t>
        </is>
      </c>
      <c r="L4725" s="12" t="inlineStr">
        <is>
          <t>4 pr</t>
        </is>
      </c>
      <c r="M4725" s="12" t="inlineStr">
        <is>
          <t>18</t>
        </is>
      </c>
      <c r="N4725" s="12" t="n">
        <v>1</v>
      </c>
      <c r="O4725" s="12" t="n">
        <v>1</v>
      </c>
      <c r="P4725" s="12" t="n"/>
      <c r="Q4725" s="12" t="n"/>
      <c r="R4725" s="12" t="n"/>
      <c r="S4725" s="12" t="inlineStr">
        <is>
          <t>Riser</t>
        </is>
      </c>
      <c r="T4725" s="15" t="n">
        <v>4</v>
      </c>
      <c r="U4725" s="15" t="n">
        <v>27</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I-I-0124</t>
        </is>
      </c>
      <c r="B4726" s="12" t="inlineStr">
        <is>
          <t>I</t>
        </is>
      </c>
      <c r="C4726" s="12" t="inlineStr">
        <is>
          <t>Modular / portable power</t>
        </is>
      </c>
      <c r="D4726" s="12" t="inlineStr">
        <is>
          <t>PGS-3 instrumentation</t>
        </is>
      </c>
      <c r="E4726" s="12" t="inlineStr">
        <is>
          <t>PGS-SWG</t>
        </is>
      </c>
      <c r="F4726" s="12" t="inlineStr">
        <is>
          <t>PGS-SWG: 480 V paralleling switchgear (8 generator breakers, 2 transfo</t>
        </is>
      </c>
      <c r="G4726" s="12" t="inlineStr">
        <is>
          <t>PGS-3</t>
        </is>
      </c>
      <c r="H4726" s="12" t="inlineStr">
        <is>
          <t>PGS-3: enclosed gas genset 1 MW, 480 V (paralleled, unit 3 of 8)</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Riser</t>
        </is>
      </c>
      <c r="T4726" s="15" t="n">
        <v>4</v>
      </c>
      <c r="U4726" s="15" t="n">
        <v>27</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I-I-0125</t>
        </is>
      </c>
      <c r="B4727" s="12" t="inlineStr">
        <is>
          <t>I</t>
        </is>
      </c>
      <c r="C4727" s="12" t="inlineStr">
        <is>
          <t>Modular / portable power</t>
        </is>
      </c>
      <c r="D4727" s="12" t="inlineStr">
        <is>
          <t>PGS-4 instrumentation</t>
        </is>
      </c>
      <c r="E4727" s="12" t="inlineStr">
        <is>
          <t>PGS-SWG</t>
        </is>
      </c>
      <c r="F4727" s="12" t="inlineStr">
        <is>
          <t>PGS-SWG: 480 V paralleling switchgear (8 generator breakers, 2 transfo</t>
        </is>
      </c>
      <c r="G4727" s="12" t="inlineStr">
        <is>
          <t>PGS-4</t>
        </is>
      </c>
      <c r="H4727" s="12" t="inlineStr">
        <is>
          <t>PGS-4: enclosed gas genset 1 MW, 480 V (paralleled, unit 4 of 8)</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Riser</t>
        </is>
      </c>
      <c r="T4727" s="15" t="n">
        <v>4</v>
      </c>
      <c r="U4727" s="15" t="n">
        <v>27</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I-I-0126</t>
        </is>
      </c>
      <c r="B4728" s="12" t="inlineStr">
        <is>
          <t>I</t>
        </is>
      </c>
      <c r="C4728" s="12" t="inlineStr">
        <is>
          <t>Modular / portable power</t>
        </is>
      </c>
      <c r="D4728" s="12" t="inlineStr">
        <is>
          <t>PGS-5 instrumentation</t>
        </is>
      </c>
      <c r="E4728" s="12" t="inlineStr">
        <is>
          <t>PGS-SWG</t>
        </is>
      </c>
      <c r="F4728" s="12" t="inlineStr">
        <is>
          <t>PGS-SWG: 480 V paralleling switchgear (8 generator breakers, 2 transfo</t>
        </is>
      </c>
      <c r="G4728" s="12" t="inlineStr">
        <is>
          <t>PGS-5</t>
        </is>
      </c>
      <c r="H4728" s="12" t="inlineStr">
        <is>
          <t>PGS-5: enclosed gas genset 1 MW, 480 V (paralleled, unit 5 of 8)</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16</v>
      </c>
      <c r="U4728" s="15" t="n">
        <v>32</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I-I-0127</t>
        </is>
      </c>
      <c r="B4729" s="12" t="inlineStr">
        <is>
          <t>I</t>
        </is>
      </c>
      <c r="C4729" s="12" t="inlineStr">
        <is>
          <t>Modular / portable power</t>
        </is>
      </c>
      <c r="D4729" s="12" t="inlineStr">
        <is>
          <t>PGS-6 instrumentation</t>
        </is>
      </c>
      <c r="E4729" s="12" t="inlineStr">
        <is>
          <t>PGS-SWG</t>
        </is>
      </c>
      <c r="F4729" s="12" t="inlineStr">
        <is>
          <t>PGS-SWG: 480 V paralleling switchgear (8 generator breakers, 2 transfo</t>
        </is>
      </c>
      <c r="G4729" s="12" t="inlineStr">
        <is>
          <t>PGS-6</t>
        </is>
      </c>
      <c r="H4729" s="12" t="inlineStr">
        <is>
          <t>PGS-6: enclosed gas genset 1 MW, 480 V (paralleled, unit 6 of 8)</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28</v>
      </c>
      <c r="U4729" s="15" t="n">
        <v>32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I-I-0128</t>
        </is>
      </c>
      <c r="B4730" s="12" t="inlineStr">
        <is>
          <t>I</t>
        </is>
      </c>
      <c r="C4730" s="12" t="inlineStr">
        <is>
          <t>Modular / portable power</t>
        </is>
      </c>
      <c r="D4730" s="12" t="inlineStr">
        <is>
          <t>PGS-7 instrumentation</t>
        </is>
      </c>
      <c r="E4730" s="12" t="inlineStr">
        <is>
          <t>PGS-SWG</t>
        </is>
      </c>
      <c r="F4730" s="12" t="inlineStr">
        <is>
          <t>PGS-SWG: 480 V paralleling switchgear (8 generator breakers, 2 transfo</t>
        </is>
      </c>
      <c r="G4730" s="12" t="inlineStr">
        <is>
          <t>PGS-7</t>
        </is>
      </c>
      <c r="H4730" s="12" t="inlineStr">
        <is>
          <t>PGS-7: enclosed gas genset 1 MW, 480 V (paralleled, unit 7 of 8)</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40</v>
      </c>
      <c r="U4730" s="15" t="n">
        <v>32</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I-I-0129</t>
        </is>
      </c>
      <c r="B4731" s="12" t="inlineStr">
        <is>
          <t>I</t>
        </is>
      </c>
      <c r="C4731" s="12" t="inlineStr">
        <is>
          <t>Modular / portable power</t>
        </is>
      </c>
      <c r="D4731" s="12" t="inlineStr">
        <is>
          <t>PGS-8 instrumentation</t>
        </is>
      </c>
      <c r="E4731" s="12" t="inlineStr">
        <is>
          <t>PGS-SWG</t>
        </is>
      </c>
      <c r="F4731" s="12" t="inlineStr">
        <is>
          <t>PGS-SWG: 480 V paralleling switchgear (8 generator breakers, 2 transfo</t>
        </is>
      </c>
      <c r="G4731" s="12" t="inlineStr">
        <is>
          <t>PGS-8</t>
        </is>
      </c>
      <c r="H4731" s="12" t="inlineStr">
        <is>
          <t>PGS-8: enclosed gas genset 1 MW, 480 V (paralleled, unit 8 of 8)</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52</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I-I-0130</t>
        </is>
      </c>
      <c r="B4732" s="12" t="inlineStr">
        <is>
          <t>I</t>
        </is>
      </c>
      <c r="C4732" s="12" t="inlineStr">
        <is>
          <t>Modular / portable power</t>
        </is>
      </c>
      <c r="D4732" s="12" t="inlineStr">
        <is>
          <t>PGS-SWG bus / breaker monitoring (internal)</t>
        </is>
      </c>
      <c r="E4732" s="12" t="inlineStr">
        <is>
          <t>PGS-SWG</t>
        </is>
      </c>
      <c r="F4732" s="12" t="inlineStr">
        <is>
          <t>PGS-SWG: 480 V paralleling switchgear (8 generator breakers, 2 transfo</t>
        </is>
      </c>
      <c r="G4732" s="12" t="inlineStr">
        <is>
          <t>PGS-SWG</t>
        </is>
      </c>
      <c r="H4732" s="12" t="inlineStr">
        <is>
          <t>PGS-SWG: 480 V paralleling switchgear (8 generator breakers, 2 transfo</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Tray</t>
        </is>
      </c>
      <c r="T4732" s="15" t="n">
        <v>60</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I-I-0131</t>
        </is>
      </c>
      <c r="B4733" s="12" t="inlineStr">
        <is>
          <t>I</t>
        </is>
      </c>
      <c r="C4733" s="12" t="inlineStr">
        <is>
          <t>Modular / portable power</t>
        </is>
      </c>
      <c r="D4733" s="12" t="inlineStr">
        <is>
          <t>PGS-TX1 monitoring: temperatures, gas relay, oil level</t>
        </is>
      </c>
      <c r="E4733" s="12" t="inlineStr">
        <is>
          <t>PGS-SWG</t>
        </is>
      </c>
      <c r="F4733" s="12" t="inlineStr">
        <is>
          <t>PGS-SWG: 480 V paralleling switchgear (8 generator breakers, 2 transfo</t>
        </is>
      </c>
      <c r="G4733" s="12" t="inlineStr">
        <is>
          <t>PGS-TX1</t>
        </is>
      </c>
      <c r="H4733" s="12" t="inlineStr">
        <is>
          <t>PGS-TX1: 480 V : 34.5 kV, ~5 MVA loop-feed pad-mount (gensets 1-4)</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Surface</t>
        </is>
      </c>
      <c r="T4733" s="15" t="n">
        <v>75</v>
      </c>
      <c r="U4733" s="15" t="n">
        <v>32</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I-I-0132</t>
        </is>
      </c>
      <c r="B4734" s="12" t="inlineStr">
        <is>
          <t>I</t>
        </is>
      </c>
      <c r="C4734" s="12" t="inlineStr">
        <is>
          <t>Modular / portable power</t>
        </is>
      </c>
      <c r="D4734" s="12" t="inlineStr">
        <is>
          <t>PGS-TX2 monitoring: temperatures, gas relay, oil level</t>
        </is>
      </c>
      <c r="E4734" s="12" t="inlineStr">
        <is>
          <t>PGS-SWG</t>
        </is>
      </c>
      <c r="F4734" s="12" t="inlineStr">
        <is>
          <t>PGS-SWG: 480 V paralleling switchgear (8 generator breakers, 2 transfo</t>
        </is>
      </c>
      <c r="G4734" s="12" t="inlineStr">
        <is>
          <t>PGS-TX2</t>
        </is>
      </c>
      <c r="H4734" s="12" t="inlineStr">
        <is>
          <t>PGS-TX2: 480 V : 34.5 kV, ~5 MVA loop-feed pad-mount (gensets 5-8)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Surface</t>
        </is>
      </c>
      <c r="T4734" s="15" t="n">
        <v>46</v>
      </c>
      <c r="U4734" s="15" t="n">
        <v>32</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I-I-0133</t>
        </is>
      </c>
      <c r="B4735" s="12" t="inlineStr">
        <is>
          <t>I</t>
        </is>
      </c>
      <c r="C4735" s="12" t="inlineStr">
        <is>
          <t>Modular / portable power</t>
        </is>
      </c>
      <c r="D4735" s="12" t="inlineStr">
        <is>
          <t>PK-GT1 monitoring: temperatures, gas relay, oil level</t>
        </is>
      </c>
      <c r="E4735" s="12" t="inlineStr">
        <is>
          <t>SWG-PK</t>
        </is>
      </c>
      <c r="F4735" s="12" t="inlineStr">
        <is>
          <t>SWG-PK: 34.5 kV park collector switchgear (2 bus sections, tie; 8 feed</t>
        </is>
      </c>
      <c r="G4735" s="12" t="inlineStr">
        <is>
          <t>PK-GT1</t>
        </is>
      </c>
      <c r="H4735" s="12" t="inlineStr">
        <is>
          <t>PK-GT1: 34.5 kV zigzag grounding transformer, SWG-PK bus A</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60</v>
      </c>
      <c r="U4735" s="15" t="n">
        <v>38</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I-I-0134</t>
        </is>
      </c>
      <c r="B4736" s="12" t="inlineStr">
        <is>
          <t>I</t>
        </is>
      </c>
      <c r="C4736" s="12" t="inlineStr">
        <is>
          <t>Modular / portable power</t>
        </is>
      </c>
      <c r="D4736" s="12" t="inlineStr">
        <is>
          <t>PK-GT2 monitoring: temperatures, gas relay, oil level</t>
        </is>
      </c>
      <c r="E4736" s="12" t="inlineStr">
        <is>
          <t>SWG-PK</t>
        </is>
      </c>
      <c r="F4736" s="12" t="inlineStr">
        <is>
          <t>SWG-PK: 34.5 kV park collector switchgear (2 bus sections, tie; 8 feed</t>
        </is>
      </c>
      <c r="G4736" s="12" t="inlineStr">
        <is>
          <t>PK-GT2</t>
        </is>
      </c>
      <c r="H4736" s="12" t="inlineStr">
        <is>
          <t>PK-GT2: 34.5 kV zigzag grounding transformer, SWG-PK bus B</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72</v>
      </c>
      <c r="U4736" s="15" t="n">
        <v>42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I-I-0135</t>
        </is>
      </c>
      <c r="B4737" s="12" t="inlineStr">
        <is>
          <t>I</t>
        </is>
      </c>
      <c r="C4737" s="12" t="inlineStr">
        <is>
          <t>Modular / portable power</t>
        </is>
      </c>
      <c r="D4737" s="12" t="inlineStr">
        <is>
          <t>Analog instrument to JB JB-RICE 1 SCR + oxida-AI01: 10 x 1 pr (field cables)</t>
        </is>
      </c>
      <c r="E4737" s="12" t="inlineStr"/>
      <c r="F4737" s="12" t="inlineStr">
        <is>
          <t>RICE 1 SCR + oxidation catalyst and stack</t>
        </is>
      </c>
      <c r="G4737" s="12" t="inlineStr">
        <is>
          <t>JB-RICE 1 SCR + oxida-AI01</t>
        </is>
      </c>
      <c r="H4737" s="12" t="inlineStr">
        <is>
          <t>RICE 1 SCR + oxidation catalyst and stack</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10</v>
      </c>
      <c r="O4737" s="12" t="n">
        <v>1</v>
      </c>
      <c r="P4737" s="12" t="n"/>
      <c r="Q4737" s="12" t="n"/>
      <c r="R4737" s="12" t="n"/>
      <c r="S4737" s="12" t="inlineStr">
        <is>
          <t>Tray / conduit</t>
        </is>
      </c>
      <c r="T4737" s="15" t="n">
        <v>92</v>
      </c>
      <c r="U4737" s="15" t="n">
        <v>10</v>
      </c>
      <c r="V4737" s="15">
        <f>ROUNDUP((T4737+U4737+2*'Read Me'!$B$13)*(1+'Read Me'!$B$12),-1)</f>
        <v/>
      </c>
      <c r="W4737" s="15">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I-I-0136</t>
        </is>
      </c>
      <c r="B4738" s="12" t="inlineStr">
        <is>
          <t>I</t>
        </is>
      </c>
      <c r="C4738" s="12" t="inlineStr">
        <is>
          <t>Modular / portable power</t>
        </is>
      </c>
      <c r="D4738" s="12" t="inlineStr">
        <is>
          <t>Home run JB-RICE 1 SCR + oxida-AI01 to the control / marshalling room</t>
        </is>
      </c>
      <c r="E4738" s="12" t="inlineStr"/>
      <c r="F4738" s="12" t="inlineStr">
        <is>
          <t>PCM: power control module</t>
        </is>
      </c>
      <c r="G4738" s="12" t="inlineStr">
        <is>
          <t>JB-RICE 1 SCR + oxida-AI01</t>
        </is>
      </c>
      <c r="H4738" s="12" t="inlineStr">
        <is>
          <t>RICE 1 SCR + oxidation catalyst and stack</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5" t="n">
        <v>436</v>
      </c>
      <c r="U4738" s="15" t="n">
        <v>160</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I-I-0137</t>
        </is>
      </c>
      <c r="B4739" s="12" t="inlineStr">
        <is>
          <t>I</t>
        </is>
      </c>
      <c r="C4739" s="12" t="inlineStr">
        <is>
          <t>Modular / portable power</t>
        </is>
      </c>
      <c r="D4739" s="12" t="inlineStr">
        <is>
          <t>Discrete device to JB JB-RICE 1 SCR + oxida-DI01: 6 x 1 pr (field cables)</t>
        </is>
      </c>
      <c r="E4739" s="12" t="inlineStr"/>
      <c r="F4739" s="12" t="inlineStr">
        <is>
          <t>RICE 1 SCR + oxidation catalyst and stack</t>
        </is>
      </c>
      <c r="G4739" s="12" t="inlineStr">
        <is>
          <t>JB-RICE 1 SCR + oxida-DI01</t>
        </is>
      </c>
      <c r="H4739" s="12" t="inlineStr">
        <is>
          <t>RICE 1 SCR + oxidation catalyst and stack</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6</v>
      </c>
      <c r="O4739" s="12" t="n">
        <v>1</v>
      </c>
      <c r="P4739" s="12" t="n"/>
      <c r="Q4739" s="12" t="n"/>
      <c r="R4739" s="12" t="n"/>
      <c r="S4739" s="12" t="inlineStr">
        <is>
          <t>Tray / conduit</t>
        </is>
      </c>
      <c r="T4739" s="15" t="n">
        <v>92</v>
      </c>
      <c r="U4739" s="15" t="n">
        <v>10</v>
      </c>
      <c r="V4739" s="15">
        <f>ROUNDUP((T4739+U4739+2*'Read Me'!$B$13)*(1+'Read Me'!$B$12),-1)</f>
        <v/>
      </c>
      <c r="W4739" s="15">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I-I-0138</t>
        </is>
      </c>
      <c r="B4740" s="12" t="inlineStr">
        <is>
          <t>I</t>
        </is>
      </c>
      <c r="C4740" s="12" t="inlineStr">
        <is>
          <t>Modular / portable power</t>
        </is>
      </c>
      <c r="D4740" s="12" t="inlineStr">
        <is>
          <t>Home run JB-RICE 1 SCR + oxida-DI01 to the control / marshalling room</t>
        </is>
      </c>
      <c r="E4740" s="12" t="inlineStr"/>
      <c r="F4740" s="12" t="inlineStr">
        <is>
          <t>PCM: power control module</t>
        </is>
      </c>
      <c r="G4740" s="12" t="inlineStr">
        <is>
          <t>JB-RICE 1 SCR + oxida-DI01</t>
        </is>
      </c>
      <c r="H4740" s="12" t="inlineStr">
        <is>
          <t>RICE 1 SCR + oxidation catalyst and stack</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5" t="n">
        <v>436</v>
      </c>
      <c r="U4740" s="15" t="n">
        <v>160</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I-I-0139</t>
        </is>
      </c>
      <c r="B4741" s="12" t="inlineStr">
        <is>
          <t>I</t>
        </is>
      </c>
      <c r="C4741" s="12" t="inlineStr">
        <is>
          <t>Modular / portable power</t>
        </is>
      </c>
      <c r="D4741" s="12" t="inlineStr">
        <is>
          <t>Analog instrument to JB JB-RICE 1 radiators (-AI01: 5 x 1 pr (field cables)</t>
        </is>
      </c>
      <c r="E4741" s="12" t="inlineStr"/>
      <c r="F4741" s="12" t="inlineStr">
        <is>
          <t>RICE 1 radiators (5)</t>
        </is>
      </c>
      <c r="G4741" s="12" t="inlineStr">
        <is>
          <t>JB-RICE 1 radiators (-AI01</t>
        </is>
      </c>
      <c r="H4741" s="12" t="inlineStr">
        <is>
          <t>RICE 1 radiators (5)</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5</v>
      </c>
      <c r="O4741" s="12" t="n">
        <v>1</v>
      </c>
      <c r="P4741" s="12" t="n"/>
      <c r="Q4741" s="12" t="n"/>
      <c r="R4741" s="12" t="n"/>
      <c r="S4741" s="12" t="inlineStr">
        <is>
          <t>Tray / conduit</t>
        </is>
      </c>
      <c r="T4741" s="15" t="n">
        <v>80</v>
      </c>
      <c r="U4741" s="15" t="n">
        <v>10</v>
      </c>
      <c r="V4741" s="15">
        <f>ROUNDUP((T4741+U4741+2*'Read Me'!$B$13)*(1+'Read Me'!$B$12),-1)</f>
        <v/>
      </c>
      <c r="W4741" s="15">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I-I-0140</t>
        </is>
      </c>
      <c r="B4742" s="12" t="inlineStr">
        <is>
          <t>I</t>
        </is>
      </c>
      <c r="C4742" s="12" t="inlineStr">
        <is>
          <t>Modular / portable power</t>
        </is>
      </c>
      <c r="D4742" s="12" t="inlineStr">
        <is>
          <t>Home run JB-RICE 1 radiators (-AI01 to the control / marshalling room</t>
        </is>
      </c>
      <c r="E4742" s="12" t="inlineStr"/>
      <c r="F4742" s="12" t="inlineStr">
        <is>
          <t>PCM: power control module</t>
        </is>
      </c>
      <c r="G4742" s="12" t="inlineStr">
        <is>
          <t>JB-RICE 1 radiators (-AI01</t>
        </is>
      </c>
      <c r="H4742" s="12" t="inlineStr">
        <is>
          <t>RICE 1 radiators (5)</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5" t="n">
        <v>711</v>
      </c>
      <c r="U4742" s="15" t="n">
        <v>139</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I-I-0141</t>
        </is>
      </c>
      <c r="B4743" s="12" t="inlineStr">
        <is>
          <t>I</t>
        </is>
      </c>
      <c r="C4743" s="12" t="inlineStr">
        <is>
          <t>Modular / portable power</t>
        </is>
      </c>
      <c r="D4743" s="12" t="inlineStr">
        <is>
          <t>Discrete device to JB JB-RICE 1 radiators (-DI01: 10 x 1 pr (field cables)</t>
        </is>
      </c>
      <c r="E4743" s="12" t="inlineStr"/>
      <c r="F4743" s="12" t="inlineStr">
        <is>
          <t>RICE 1 radiators (5)</t>
        </is>
      </c>
      <c r="G4743" s="12" t="inlineStr">
        <is>
          <t>JB-RICE 1 radiators (-DI01</t>
        </is>
      </c>
      <c r="H4743" s="12" t="inlineStr">
        <is>
          <t>RICE 1 radiators (5)</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10</v>
      </c>
      <c r="O4743" s="12" t="n">
        <v>1</v>
      </c>
      <c r="P4743" s="12" t="n"/>
      <c r="Q4743" s="12" t="n"/>
      <c r="R4743" s="12" t="n"/>
      <c r="S4743" s="12" t="inlineStr">
        <is>
          <t>Tray / conduit</t>
        </is>
      </c>
      <c r="T4743" s="15" t="n">
        <v>80</v>
      </c>
      <c r="U4743" s="15" t="n">
        <v>10</v>
      </c>
      <c r="V4743" s="15">
        <f>ROUNDUP((T4743+U4743+2*'Read Me'!$B$13)*(1+'Read Me'!$B$12),-1)</f>
        <v/>
      </c>
      <c r="W4743" s="15">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I-I-0142</t>
        </is>
      </c>
      <c r="B4744" s="12" t="inlineStr">
        <is>
          <t>I</t>
        </is>
      </c>
      <c r="C4744" s="12" t="inlineStr">
        <is>
          <t>Modular / portable power</t>
        </is>
      </c>
      <c r="D4744" s="12" t="inlineStr">
        <is>
          <t>Home run JB-RICE 1 radiators (-DI01 to the control / marshalling room</t>
        </is>
      </c>
      <c r="E4744" s="12" t="inlineStr"/>
      <c r="F4744" s="12" t="inlineStr">
        <is>
          <t>PCM: power control module</t>
        </is>
      </c>
      <c r="G4744" s="12" t="inlineStr">
        <is>
          <t>JB-RICE 1 radiators (-DI01</t>
        </is>
      </c>
      <c r="H4744" s="12" t="inlineStr">
        <is>
          <t>RICE 1 radiators (5)</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5" t="n">
        <v>711</v>
      </c>
      <c r="U4744" s="15" t="n">
        <v>139</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I-I-0143</t>
        </is>
      </c>
      <c r="B4745" s="12" t="inlineStr">
        <is>
          <t>I</t>
        </is>
      </c>
      <c r="C4745" s="12" t="inlineStr">
        <is>
          <t>Modular / portable power</t>
        </is>
      </c>
      <c r="D4745" s="12" t="inlineStr">
        <is>
          <t>Analog instrument to JB JB-RICE 2 SCR + oxida-AI01: 10 x 1 pr (field cables)</t>
        </is>
      </c>
      <c r="E4745" s="12" t="inlineStr"/>
      <c r="F4745" s="12" t="inlineStr">
        <is>
          <t>RICE 2 SCR + oxidation catalyst and stack</t>
        </is>
      </c>
      <c r="G4745" s="12" t="inlineStr">
        <is>
          <t>JB-RICE 2 SCR + oxida-AI01</t>
        </is>
      </c>
      <c r="H4745" s="12" t="inlineStr">
        <is>
          <t>RICE 2 SCR + oxidation catalyst and stack</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10</v>
      </c>
      <c r="O4745" s="12" t="n">
        <v>1</v>
      </c>
      <c r="P4745" s="12" t="n"/>
      <c r="Q4745" s="12" t="n"/>
      <c r="R4745" s="12" t="n"/>
      <c r="S4745" s="12" t="inlineStr">
        <is>
          <t>Tray / conduit</t>
        </is>
      </c>
      <c r="T4745" s="15" t="n">
        <v>92</v>
      </c>
      <c r="U4745" s="15" t="n">
        <v>10</v>
      </c>
      <c r="V4745" s="15">
        <f>ROUNDUP((T4745+U4745+2*'Read Me'!$B$13)*(1+'Read Me'!$B$12),-1)</f>
        <v/>
      </c>
      <c r="W4745" s="15">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I-I-0144</t>
        </is>
      </c>
      <c r="B4746" s="12" t="inlineStr">
        <is>
          <t>I</t>
        </is>
      </c>
      <c r="C4746" s="12" t="inlineStr">
        <is>
          <t>Modular / portable power</t>
        </is>
      </c>
      <c r="D4746" s="12" t="inlineStr">
        <is>
          <t>Home run JB-RICE 2 SCR + oxida-AI01 to the control / marshalling room</t>
        </is>
      </c>
      <c r="E4746" s="12" t="inlineStr"/>
      <c r="F4746" s="12" t="inlineStr">
        <is>
          <t>PCM: power control module</t>
        </is>
      </c>
      <c r="G4746" s="12" t="inlineStr">
        <is>
          <t>JB-RICE 2 SCR + oxida-AI01</t>
        </is>
      </c>
      <c r="H4746" s="12" t="inlineStr">
        <is>
          <t>RICE 2 SCR + oxidation catalyst and stack</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5" t="n">
        <v>436</v>
      </c>
      <c r="U4746" s="15" t="n">
        <v>132</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I-I-0145</t>
        </is>
      </c>
      <c r="B4747" s="12" t="inlineStr">
        <is>
          <t>I</t>
        </is>
      </c>
      <c r="C4747" s="12" t="inlineStr">
        <is>
          <t>Modular / portable power</t>
        </is>
      </c>
      <c r="D4747" s="12" t="inlineStr">
        <is>
          <t>Discrete device to JB JB-RICE 2 SCR + oxida-DI01: 6 x 1 pr (field cables)</t>
        </is>
      </c>
      <c r="E4747" s="12" t="inlineStr"/>
      <c r="F4747" s="12" t="inlineStr">
        <is>
          <t>RICE 2 SCR + oxidation catalyst and stack</t>
        </is>
      </c>
      <c r="G4747" s="12" t="inlineStr">
        <is>
          <t>JB-RICE 2 SCR + oxida-DI01</t>
        </is>
      </c>
      <c r="H4747" s="12" t="inlineStr">
        <is>
          <t>RICE 2 SCR + oxidation catalyst and stack</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6</v>
      </c>
      <c r="O4747" s="12" t="n">
        <v>1</v>
      </c>
      <c r="P4747" s="12" t="n"/>
      <c r="Q4747" s="12" t="n"/>
      <c r="R4747" s="12" t="n"/>
      <c r="S4747" s="12" t="inlineStr">
        <is>
          <t>Tray / conduit</t>
        </is>
      </c>
      <c r="T4747" s="15" t="n">
        <v>92</v>
      </c>
      <c r="U4747" s="15" t="n">
        <v>10</v>
      </c>
      <c r="V4747" s="15">
        <f>ROUNDUP((T4747+U4747+2*'Read Me'!$B$13)*(1+'Read Me'!$B$12),-1)</f>
        <v/>
      </c>
      <c r="W4747" s="15">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I-I-0146</t>
        </is>
      </c>
      <c r="B4748" s="12" t="inlineStr">
        <is>
          <t>I</t>
        </is>
      </c>
      <c r="C4748" s="12" t="inlineStr">
        <is>
          <t>Modular / portable power</t>
        </is>
      </c>
      <c r="D4748" s="12" t="inlineStr">
        <is>
          <t>Home run JB-RICE 2 SCR + oxida-DI01 to the control / marshalling room</t>
        </is>
      </c>
      <c r="E4748" s="12" t="inlineStr"/>
      <c r="F4748" s="12" t="inlineStr">
        <is>
          <t>PCM: power control module</t>
        </is>
      </c>
      <c r="G4748" s="12" t="inlineStr">
        <is>
          <t>JB-RICE 2 SCR + oxida-DI01</t>
        </is>
      </c>
      <c r="H4748" s="12" t="inlineStr">
        <is>
          <t>RICE 2 SCR + oxidation catalyst and stack</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5" t="n">
        <v>436</v>
      </c>
      <c r="U4748" s="15" t="n">
        <v>132</v>
      </c>
      <c r="V4748" s="15">
        <f>ROUNDUP((T4748+U4748+2*'Read Me'!$B$13)*(1+'Read Me'!$B$12),-1)</f>
        <v/>
      </c>
      <c r="W4748" s="15">
        <f>V4748*N4748*O4748</f>
        <v/>
      </c>
      <c r="X4748" s="12">
        <f>IF(LEFT(I4748,2)="MV",2*N4748*IF(L4748="1/C",O4748,1),0)</f>
        <v/>
      </c>
      <c r="Y4748" s="12">
        <f>IF(OR(LEFT(K4748,4)="LVAX",LEFT(K4748,6)="MV15AX",LEFT(K4748,4)="CTAX",LEFT(K4748,2)="W|"),2*N4748*O4748,0)</f>
        <v/>
      </c>
      <c r="Z4748" s="12" t="inlineStr"/>
      <c r="AA4748" s="12">
        <f>N4748*O4748</f>
        <v/>
      </c>
    </row>
    <row r="4749">
      <c r="A4749" s="12" t="inlineStr">
        <is>
          <t>I-I-0147</t>
        </is>
      </c>
      <c r="B4749" s="12" t="inlineStr">
        <is>
          <t>I</t>
        </is>
      </c>
      <c r="C4749" s="12" t="inlineStr">
        <is>
          <t>Modular / portable power</t>
        </is>
      </c>
      <c r="D4749" s="12" t="inlineStr">
        <is>
          <t>Analog instrument to JB JB-RICE 2 radiators (-AI01: 5 x 1 pr (field cables)</t>
        </is>
      </c>
      <c r="E4749" s="12" t="inlineStr"/>
      <c r="F4749" s="12" t="inlineStr">
        <is>
          <t>RICE 2 radiators (5)</t>
        </is>
      </c>
      <c r="G4749" s="12" t="inlineStr">
        <is>
          <t>JB-RICE 2 radiators (-AI01</t>
        </is>
      </c>
      <c r="H4749" s="12" t="inlineStr">
        <is>
          <t>RICE 2 radiators (5)</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5</v>
      </c>
      <c r="O4749" s="12" t="n">
        <v>1</v>
      </c>
      <c r="P4749" s="12" t="n"/>
      <c r="Q4749" s="12" t="n"/>
      <c r="R4749" s="12" t="n"/>
      <c r="S4749" s="12" t="inlineStr">
        <is>
          <t>Tray / conduit</t>
        </is>
      </c>
      <c r="T4749" s="15" t="n">
        <v>80</v>
      </c>
      <c r="U4749" s="15" t="n">
        <v>10</v>
      </c>
      <c r="V4749" s="15">
        <f>ROUNDUP((T4749+U4749+2*'Read Me'!$B$13)*(1+'Read Me'!$B$12),-1)</f>
        <v/>
      </c>
      <c r="W4749" s="15">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I-I-0148</t>
        </is>
      </c>
      <c r="B4750" s="12" t="inlineStr">
        <is>
          <t>I</t>
        </is>
      </c>
      <c r="C4750" s="12" t="inlineStr">
        <is>
          <t>Modular / portable power</t>
        </is>
      </c>
      <c r="D4750" s="12" t="inlineStr">
        <is>
          <t>Home run JB-RICE 2 radiators (-AI01 to the control / marshalling room</t>
        </is>
      </c>
      <c r="E4750" s="12" t="inlineStr"/>
      <c r="F4750" s="12" t="inlineStr">
        <is>
          <t>PCM: power control module</t>
        </is>
      </c>
      <c r="G4750" s="12" t="inlineStr">
        <is>
          <t>JB-RICE 2 radiators (-AI01</t>
        </is>
      </c>
      <c r="H4750" s="12" t="inlineStr">
        <is>
          <t>RICE 2 radiators (5)</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5" t="n">
        <v>516</v>
      </c>
      <c r="U4750" s="15" t="n">
        <v>192</v>
      </c>
      <c r="V4750" s="15">
        <f>ROUNDUP((T4750+U4750+2*'Read Me'!$B$13)*(1+'Read Me'!$B$12),-1)</f>
        <v/>
      </c>
      <c r="W4750" s="15">
        <f>V4750*N4750*O4750</f>
        <v/>
      </c>
      <c r="X4750" s="12">
        <f>IF(LEFT(I4750,2)="MV",2*N4750*IF(L4750="1/C",O4750,1),0)</f>
        <v/>
      </c>
      <c r="Y4750" s="12">
        <f>IF(OR(LEFT(K4750,4)="LVAX",LEFT(K4750,6)="MV15AX",LEFT(K4750,4)="CTAX",LEFT(K4750,2)="W|"),2*N4750*O4750,0)</f>
        <v/>
      </c>
      <c r="Z4750" s="12" t="inlineStr"/>
      <c r="AA4750" s="12">
        <f>N4750*O4750</f>
        <v/>
      </c>
    </row>
    <row r="4751">
      <c r="A4751" s="12" t="inlineStr">
        <is>
          <t>I-I-0149</t>
        </is>
      </c>
      <c r="B4751" s="12" t="inlineStr">
        <is>
          <t>I</t>
        </is>
      </c>
      <c r="C4751" s="12" t="inlineStr">
        <is>
          <t>Modular / portable power</t>
        </is>
      </c>
      <c r="D4751" s="12" t="inlineStr">
        <is>
          <t>Discrete device to JB JB-RICE 2 radiators (-DI01: 10 x 1 pr (field cables)</t>
        </is>
      </c>
      <c r="E4751" s="12" t="inlineStr"/>
      <c r="F4751" s="12" t="inlineStr">
        <is>
          <t>RICE 2 radiators (5)</t>
        </is>
      </c>
      <c r="G4751" s="12" t="inlineStr">
        <is>
          <t>JB-RICE 2 radiators (-DI01</t>
        </is>
      </c>
      <c r="H4751" s="12" t="inlineStr">
        <is>
          <t>RICE 2 radiators (5)</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10</v>
      </c>
      <c r="O4751" s="12" t="n">
        <v>1</v>
      </c>
      <c r="P4751" s="12" t="n"/>
      <c r="Q4751" s="12" t="n"/>
      <c r="R4751" s="12" t="n"/>
      <c r="S4751" s="12" t="inlineStr">
        <is>
          <t>Tray / conduit</t>
        </is>
      </c>
      <c r="T4751" s="15" t="n">
        <v>80</v>
      </c>
      <c r="U4751" s="15" t="n">
        <v>10</v>
      </c>
      <c r="V4751" s="15">
        <f>ROUNDUP((T4751+U4751+2*'Read Me'!$B$13)*(1+'Read Me'!$B$12),-1)</f>
        <v/>
      </c>
      <c r="W4751" s="15">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I-I-0150</t>
        </is>
      </c>
      <c r="B4752" s="12" t="inlineStr">
        <is>
          <t>I</t>
        </is>
      </c>
      <c r="C4752" s="12" t="inlineStr">
        <is>
          <t>Modular / portable power</t>
        </is>
      </c>
      <c r="D4752" s="12" t="inlineStr">
        <is>
          <t>Home run JB-RICE 2 radiators (-DI01 to the control / marshalling room</t>
        </is>
      </c>
      <c r="E4752" s="12" t="inlineStr"/>
      <c r="F4752" s="12" t="inlineStr">
        <is>
          <t>PCM: power control module</t>
        </is>
      </c>
      <c r="G4752" s="12" t="inlineStr">
        <is>
          <t>JB-RICE 2 radiators (-DI01</t>
        </is>
      </c>
      <c r="H4752" s="12" t="inlineStr">
        <is>
          <t>RICE 2 radiators (5)</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5" t="n">
        <v>516</v>
      </c>
      <c r="U4752" s="15" t="n">
        <v>192</v>
      </c>
      <c r="V4752" s="15">
        <f>ROUNDUP((T4752+U4752+2*'Read Me'!$B$13)*(1+'Read Me'!$B$12),-1)</f>
        <v/>
      </c>
      <c r="W4752" s="15">
        <f>V4752*N4752*O4752</f>
        <v/>
      </c>
      <c r="X4752" s="12">
        <f>IF(LEFT(I4752,2)="MV",2*N4752*IF(L4752="1/C",O4752,1),0)</f>
        <v/>
      </c>
      <c r="Y4752" s="12">
        <f>IF(OR(LEFT(K4752,4)="LVAX",LEFT(K4752,6)="MV15AX",LEFT(K4752,4)="CTAX",LEFT(K4752,2)="W|"),2*N4752*O4752,0)</f>
        <v/>
      </c>
      <c r="Z4752" s="12" t="inlineStr"/>
      <c r="AA4752" s="12">
        <f>N4752*O4752</f>
        <v/>
      </c>
    </row>
    <row r="4753">
      <c r="A4753" s="12" t="inlineStr">
        <is>
          <t>I-I-0151</t>
        </is>
      </c>
      <c r="B4753" s="12" t="inlineStr">
        <is>
          <t>I</t>
        </is>
      </c>
      <c r="C4753" s="12" t="inlineStr">
        <is>
          <t>Modular / portable power</t>
        </is>
      </c>
      <c r="D4753" s="12" t="inlineStr">
        <is>
          <t>Analog instrument to JB JB-RICE 3 SCR + oxida-AI01: 10 x 1 pr (field cables)</t>
        </is>
      </c>
      <c r="E4753" s="12" t="inlineStr"/>
      <c r="F4753" s="12" t="inlineStr">
        <is>
          <t>RICE 3 SCR + oxidation catalyst and stack</t>
        </is>
      </c>
      <c r="G4753" s="12" t="inlineStr">
        <is>
          <t>JB-RICE 3 SCR + oxida-AI01</t>
        </is>
      </c>
      <c r="H4753" s="12" t="inlineStr">
        <is>
          <t>RICE 3 SCR + oxidation catalyst and stack</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5" t="n">
        <v>92</v>
      </c>
      <c r="U4753" s="15" t="n">
        <v>10</v>
      </c>
      <c r="V4753" s="15">
        <f>ROUNDUP((T4753+U4753+2*'Read Me'!$B$13)*(1+'Read Me'!$B$12),-1)</f>
        <v/>
      </c>
      <c r="W4753" s="15">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I-I-0152</t>
        </is>
      </c>
      <c r="B4754" s="12" t="inlineStr">
        <is>
          <t>I</t>
        </is>
      </c>
      <c r="C4754" s="12" t="inlineStr">
        <is>
          <t>Modular / portable power</t>
        </is>
      </c>
      <c r="D4754" s="12" t="inlineStr">
        <is>
          <t>Home run JB-RICE 3 SCR + oxida-AI01 to the control / marshalling room</t>
        </is>
      </c>
      <c r="E4754" s="12" t="inlineStr"/>
      <c r="F4754" s="12" t="inlineStr">
        <is>
          <t>PCM: power control module</t>
        </is>
      </c>
      <c r="G4754" s="12" t="inlineStr">
        <is>
          <t>JB-RICE 3 SCR + oxida-AI01</t>
        </is>
      </c>
      <c r="H4754" s="12" t="inlineStr">
        <is>
          <t>RICE 3 SCR + oxidation catalyst and stack</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5" t="n">
        <v>436</v>
      </c>
      <c r="U4754" s="15" t="n">
        <v>104</v>
      </c>
      <c r="V4754" s="15">
        <f>ROUNDUP((T4754+U4754+2*'Read Me'!$B$13)*(1+'Read Me'!$B$12),-1)</f>
        <v/>
      </c>
      <c r="W4754" s="15">
        <f>V4754*N4754*O4754</f>
        <v/>
      </c>
      <c r="X4754" s="12">
        <f>IF(LEFT(I4754,2)="MV",2*N4754*IF(L4754="1/C",O4754,1),0)</f>
        <v/>
      </c>
      <c r="Y4754" s="12">
        <f>IF(OR(LEFT(K4754,4)="LVAX",LEFT(K4754,6)="MV15AX",LEFT(K4754,4)="CTAX",LEFT(K4754,2)="W|"),2*N4754*O4754,0)</f>
        <v/>
      </c>
      <c r="Z4754" s="12" t="inlineStr"/>
      <c r="AA4754" s="12">
        <f>N4754*O4754</f>
        <v/>
      </c>
    </row>
    <row r="4755">
      <c r="A4755" s="12" t="inlineStr">
        <is>
          <t>I-I-0153</t>
        </is>
      </c>
      <c r="B4755" s="12" t="inlineStr">
        <is>
          <t>I</t>
        </is>
      </c>
      <c r="C4755" s="12" t="inlineStr">
        <is>
          <t>Modular / portable power</t>
        </is>
      </c>
      <c r="D4755" s="12" t="inlineStr">
        <is>
          <t>Discrete device to JB JB-RICE 3 SCR + oxida-DI01: 6 x 1 pr (field cables)</t>
        </is>
      </c>
      <c r="E4755" s="12" t="inlineStr"/>
      <c r="F4755" s="12" t="inlineStr">
        <is>
          <t>RICE 3 SCR + oxidation catalyst and stack</t>
        </is>
      </c>
      <c r="G4755" s="12" t="inlineStr">
        <is>
          <t>JB-RICE 3 SCR + oxida-DI01</t>
        </is>
      </c>
      <c r="H4755" s="12" t="inlineStr">
        <is>
          <t>RICE 3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6</v>
      </c>
      <c r="O4755" s="12" t="n">
        <v>1</v>
      </c>
      <c r="P4755" s="12" t="n"/>
      <c r="Q4755" s="12" t="n"/>
      <c r="R4755" s="12" t="n"/>
      <c r="S4755" s="12" t="inlineStr">
        <is>
          <t>Tray / conduit</t>
        </is>
      </c>
      <c r="T4755" s="15" t="n">
        <v>92</v>
      </c>
      <c r="U4755" s="15" t="n">
        <v>10</v>
      </c>
      <c r="V4755" s="15">
        <f>ROUNDUP((T4755+U4755+2*'Read Me'!$B$13)*(1+'Read Me'!$B$12),-1)</f>
        <v/>
      </c>
      <c r="W4755" s="15">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I-I-0154</t>
        </is>
      </c>
      <c r="B4756" s="12" t="inlineStr">
        <is>
          <t>I</t>
        </is>
      </c>
      <c r="C4756" s="12" t="inlineStr">
        <is>
          <t>Modular / portable power</t>
        </is>
      </c>
      <c r="D4756" s="12" t="inlineStr">
        <is>
          <t>Home run JB-RICE 3 SCR + oxida-DI01 to the control / marshalling room</t>
        </is>
      </c>
      <c r="E4756" s="12" t="inlineStr"/>
      <c r="F4756" s="12" t="inlineStr">
        <is>
          <t>PCM: power control module</t>
        </is>
      </c>
      <c r="G4756" s="12" t="inlineStr">
        <is>
          <t>JB-RICE 3 SCR + oxida-DI01</t>
        </is>
      </c>
      <c r="H4756" s="12" t="inlineStr">
        <is>
          <t>RICE 3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5" t="n">
        <v>436</v>
      </c>
      <c r="U4756" s="15" t="n">
        <v>104</v>
      </c>
      <c r="V4756" s="15">
        <f>ROUNDUP((T4756+U4756+2*'Read Me'!$B$13)*(1+'Read Me'!$B$12),-1)</f>
        <v/>
      </c>
      <c r="W4756" s="15">
        <f>V4756*N4756*O4756</f>
        <v/>
      </c>
      <c r="X4756" s="12">
        <f>IF(LEFT(I4756,2)="MV",2*N4756*IF(L4756="1/C",O4756,1),0)</f>
        <v/>
      </c>
      <c r="Y4756" s="12">
        <f>IF(OR(LEFT(K4756,4)="LVAX",LEFT(K4756,6)="MV15AX",LEFT(K4756,4)="CTAX",LEFT(K4756,2)="W|"),2*N4756*O4756,0)</f>
        <v/>
      </c>
      <c r="Z4756" s="12" t="inlineStr"/>
      <c r="AA4756" s="12">
        <f>N4756*O4756</f>
        <v/>
      </c>
    </row>
    <row r="4757">
      <c r="A4757" s="12" t="inlineStr">
        <is>
          <t>I-I-0155</t>
        </is>
      </c>
      <c r="B4757" s="12" t="inlineStr">
        <is>
          <t>I</t>
        </is>
      </c>
      <c r="C4757" s="12" t="inlineStr">
        <is>
          <t>Modular / portable power</t>
        </is>
      </c>
      <c r="D4757" s="12" t="inlineStr">
        <is>
          <t>Analog instrument to JB JB-RICE 3 radiators (-AI01: 5 x 1 pr (field cables)</t>
        </is>
      </c>
      <c r="E4757" s="12" t="inlineStr"/>
      <c r="F4757" s="12" t="inlineStr">
        <is>
          <t>RICE 3 radiators (5)</t>
        </is>
      </c>
      <c r="G4757" s="12" t="inlineStr">
        <is>
          <t>JB-RICE 3 radiators (-AI01</t>
        </is>
      </c>
      <c r="H4757" s="12" t="inlineStr">
        <is>
          <t>RICE 3 radiators (5)</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5</v>
      </c>
      <c r="O4757" s="12" t="n">
        <v>1</v>
      </c>
      <c r="P4757" s="12" t="n"/>
      <c r="Q4757" s="12" t="n"/>
      <c r="R4757" s="12" t="n"/>
      <c r="S4757" s="12" t="inlineStr">
        <is>
          <t>Tray / conduit</t>
        </is>
      </c>
      <c r="T4757" s="15" t="n">
        <v>80</v>
      </c>
      <c r="U4757" s="15" t="n">
        <v>10</v>
      </c>
      <c r="V4757" s="15">
        <f>ROUNDUP((T4757+U4757+2*'Read Me'!$B$13)*(1+'Read Me'!$B$12),-1)</f>
        <v/>
      </c>
      <c r="W4757" s="15">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I-I-0156</t>
        </is>
      </c>
      <c r="B4758" s="12" t="inlineStr">
        <is>
          <t>I</t>
        </is>
      </c>
      <c r="C4758" s="12" t="inlineStr">
        <is>
          <t>Modular / portable power</t>
        </is>
      </c>
      <c r="D4758" s="12" t="inlineStr">
        <is>
          <t>Home run JB-RICE 3 radiators (-AI01 to the control / marshalling room</t>
        </is>
      </c>
      <c r="E4758" s="12" t="inlineStr"/>
      <c r="F4758" s="12" t="inlineStr">
        <is>
          <t>PCM: power control module</t>
        </is>
      </c>
      <c r="G4758" s="12" t="inlineStr">
        <is>
          <t>JB-RICE 3 radiators (-AI01</t>
        </is>
      </c>
      <c r="H4758" s="12" t="inlineStr">
        <is>
          <t>RICE 3 radiators (5)</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5" t="n">
        <v>344</v>
      </c>
      <c r="U4758" s="15" t="n">
        <v>240</v>
      </c>
      <c r="V4758" s="15">
        <f>ROUNDUP((T4758+U4758+2*'Read Me'!$B$13)*(1+'Read Me'!$B$12),-1)</f>
        <v/>
      </c>
      <c r="W4758" s="15">
        <f>V4758*N4758*O4758</f>
        <v/>
      </c>
      <c r="X4758" s="12">
        <f>IF(LEFT(I4758,2)="MV",2*N4758*IF(L4758="1/C",O4758,1),0)</f>
        <v/>
      </c>
      <c r="Y4758" s="12">
        <f>IF(OR(LEFT(K4758,4)="LVAX",LEFT(K4758,6)="MV15AX",LEFT(K4758,4)="CTAX",LEFT(K4758,2)="W|"),2*N4758*O4758,0)</f>
        <v/>
      </c>
      <c r="Z4758" s="12" t="inlineStr"/>
      <c r="AA4758" s="12">
        <f>N4758*O4758</f>
        <v/>
      </c>
    </row>
    <row r="4759">
      <c r="A4759" s="12" t="inlineStr">
        <is>
          <t>I-I-0157</t>
        </is>
      </c>
      <c r="B4759" s="12" t="inlineStr">
        <is>
          <t>I</t>
        </is>
      </c>
      <c r="C4759" s="12" t="inlineStr">
        <is>
          <t>Modular / portable power</t>
        </is>
      </c>
      <c r="D4759" s="12" t="inlineStr">
        <is>
          <t>Discrete device to JB JB-RICE 3 radiators (-DI01: 10 x 1 pr (field cables)</t>
        </is>
      </c>
      <c r="E4759" s="12" t="inlineStr"/>
      <c r="F4759" s="12" t="inlineStr">
        <is>
          <t>RICE 3 radiators (5)</t>
        </is>
      </c>
      <c r="G4759" s="12" t="inlineStr">
        <is>
          <t>JB-RICE 3 radiators (-DI01</t>
        </is>
      </c>
      <c r="H4759" s="12" t="inlineStr">
        <is>
          <t>RICE 3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10</v>
      </c>
      <c r="O4759" s="12" t="n">
        <v>1</v>
      </c>
      <c r="P4759" s="12" t="n"/>
      <c r="Q4759" s="12" t="n"/>
      <c r="R4759" s="12" t="n"/>
      <c r="S4759" s="12" t="inlineStr">
        <is>
          <t>Tray / conduit</t>
        </is>
      </c>
      <c r="T4759" s="15" t="n">
        <v>80</v>
      </c>
      <c r="U4759" s="15" t="n">
        <v>10</v>
      </c>
      <c r="V4759" s="15">
        <f>ROUNDUP((T4759+U4759+2*'Read Me'!$B$13)*(1+'Read Me'!$B$12),-1)</f>
        <v/>
      </c>
      <c r="W4759" s="15">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I-I-0158</t>
        </is>
      </c>
      <c r="B4760" s="12" t="inlineStr">
        <is>
          <t>I</t>
        </is>
      </c>
      <c r="C4760" s="12" t="inlineStr">
        <is>
          <t>Modular / portable power</t>
        </is>
      </c>
      <c r="D4760" s="12" t="inlineStr">
        <is>
          <t>Home run JB-RICE 3 radiators (-DI01 to the control / marshalling room</t>
        </is>
      </c>
      <c r="E4760" s="12" t="inlineStr"/>
      <c r="F4760" s="12" t="inlineStr">
        <is>
          <t>PCM: power control module</t>
        </is>
      </c>
      <c r="G4760" s="12" t="inlineStr">
        <is>
          <t>JB-RICE 3 radiators (-DI01</t>
        </is>
      </c>
      <c r="H4760" s="12" t="inlineStr">
        <is>
          <t>RICE 3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5" t="n">
        <v>344</v>
      </c>
      <c r="U4760" s="15" t="n">
        <v>240</v>
      </c>
      <c r="V4760" s="15">
        <f>ROUNDUP((T4760+U4760+2*'Read Me'!$B$13)*(1+'Read Me'!$B$12),-1)</f>
        <v/>
      </c>
      <c r="W4760" s="15">
        <f>V4760*N4760*O4760</f>
        <v/>
      </c>
      <c r="X4760" s="12">
        <f>IF(LEFT(I4760,2)="MV",2*N4760*IF(L4760="1/C",O4760,1),0)</f>
        <v/>
      </c>
      <c r="Y4760" s="12">
        <f>IF(OR(LEFT(K4760,4)="LVAX",LEFT(K4760,6)="MV15AX",LEFT(K4760,4)="CTAX",LEFT(K4760,2)="W|"),2*N4760*O4760,0)</f>
        <v/>
      </c>
      <c r="Z4760" s="12" t="inlineStr"/>
      <c r="AA4760" s="12">
        <f>N4760*O4760</f>
        <v/>
      </c>
    </row>
    <row r="4761">
      <c r="A4761" s="12" t="inlineStr">
        <is>
          <t>I-I-0159</t>
        </is>
      </c>
      <c r="B4761" s="12" t="inlineStr">
        <is>
          <t>I</t>
        </is>
      </c>
      <c r="C4761" s="12" t="inlineStr">
        <is>
          <t>Modular / portable power</t>
        </is>
      </c>
      <c r="D4761" s="12" t="inlineStr">
        <is>
          <t>Analog instrument to JB JB-RICE 4 SCR + oxida-AI01: 10 x 1 pr (field cables)</t>
        </is>
      </c>
      <c r="E4761" s="12" t="inlineStr"/>
      <c r="F4761" s="12" t="inlineStr">
        <is>
          <t>RICE 4 SCR + oxidation catalyst and stack</t>
        </is>
      </c>
      <c r="G4761" s="12" t="inlineStr">
        <is>
          <t>JB-RICE 4 SCR + oxida-AI01</t>
        </is>
      </c>
      <c r="H4761" s="12" t="inlineStr">
        <is>
          <t>RICE 4 SCR + oxidation catalyst and stack</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5" t="n">
        <v>92</v>
      </c>
      <c r="U4761" s="15" t="n">
        <v>10</v>
      </c>
      <c r="V4761" s="15">
        <f>ROUNDUP((T4761+U4761+2*'Read Me'!$B$13)*(1+'Read Me'!$B$12),-1)</f>
        <v/>
      </c>
      <c r="W4761" s="15">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I-I-0160</t>
        </is>
      </c>
      <c r="B4762" s="12" t="inlineStr">
        <is>
          <t>I</t>
        </is>
      </c>
      <c r="C4762" s="12" t="inlineStr">
        <is>
          <t>Modular / portable power</t>
        </is>
      </c>
      <c r="D4762" s="12" t="inlineStr">
        <is>
          <t>Home run JB-RICE 4 SCR + oxida-AI01 to the control / marshalling room</t>
        </is>
      </c>
      <c r="E4762" s="12" t="inlineStr"/>
      <c r="F4762" s="12" t="inlineStr">
        <is>
          <t>PCM: power control module</t>
        </is>
      </c>
      <c r="G4762" s="12" t="inlineStr">
        <is>
          <t>JB-RICE 4 SCR + oxida-AI01</t>
        </is>
      </c>
      <c r="H4762" s="12" t="inlineStr">
        <is>
          <t>RICE 4 SCR + oxidation catalyst and stack</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5" t="n">
        <v>436</v>
      </c>
      <c r="U4762" s="15" t="n">
        <v>76</v>
      </c>
      <c r="V4762" s="15">
        <f>ROUNDUP((T4762+U4762+2*'Read Me'!$B$13)*(1+'Read Me'!$B$12),-1)</f>
        <v/>
      </c>
      <c r="W4762" s="15">
        <f>V4762*N4762*O4762</f>
        <v/>
      </c>
      <c r="X4762" s="12">
        <f>IF(LEFT(I4762,2)="MV",2*N4762*IF(L4762="1/C",O4762,1),0)</f>
        <v/>
      </c>
      <c r="Y4762" s="12">
        <f>IF(OR(LEFT(K4762,4)="LVAX",LEFT(K4762,6)="MV15AX",LEFT(K4762,4)="CTAX",LEFT(K4762,2)="W|"),2*N4762*O4762,0)</f>
        <v/>
      </c>
      <c r="Z4762" s="12" t="inlineStr"/>
      <c r="AA4762" s="12">
        <f>N4762*O4762</f>
        <v/>
      </c>
    </row>
    <row r="4763">
      <c r="A4763" s="12" t="inlineStr">
        <is>
          <t>I-I-0161</t>
        </is>
      </c>
      <c r="B4763" s="12" t="inlineStr">
        <is>
          <t>I</t>
        </is>
      </c>
      <c r="C4763" s="12" t="inlineStr">
        <is>
          <t>Modular / portable power</t>
        </is>
      </c>
      <c r="D4763" s="12" t="inlineStr">
        <is>
          <t>Discrete device to JB JB-RICE 4 SCR + oxida-DI01: 6 x 1 pr (field cables)</t>
        </is>
      </c>
      <c r="E4763" s="12" t="inlineStr"/>
      <c r="F4763" s="12" t="inlineStr">
        <is>
          <t>RICE 4 SCR + oxidation catalyst and stack</t>
        </is>
      </c>
      <c r="G4763" s="12" t="inlineStr">
        <is>
          <t>JB-RICE 4 SCR + oxida-DI01</t>
        </is>
      </c>
      <c r="H4763" s="12" t="inlineStr">
        <is>
          <t>RICE 4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6</v>
      </c>
      <c r="O4763" s="12" t="n">
        <v>1</v>
      </c>
      <c r="P4763" s="12" t="n"/>
      <c r="Q4763" s="12" t="n"/>
      <c r="R4763" s="12" t="n"/>
      <c r="S4763" s="12" t="inlineStr">
        <is>
          <t>Tray / conduit</t>
        </is>
      </c>
      <c r="T4763" s="15" t="n">
        <v>92</v>
      </c>
      <c r="U4763" s="15" t="n">
        <v>10</v>
      </c>
      <c r="V4763" s="15">
        <f>ROUNDUP((T4763+U4763+2*'Read Me'!$B$13)*(1+'Read Me'!$B$12),-1)</f>
        <v/>
      </c>
      <c r="W4763" s="15">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I-I-0162</t>
        </is>
      </c>
      <c r="B4764" s="12" t="inlineStr">
        <is>
          <t>I</t>
        </is>
      </c>
      <c r="C4764" s="12" t="inlineStr">
        <is>
          <t>Modular / portable power</t>
        </is>
      </c>
      <c r="D4764" s="12" t="inlineStr">
        <is>
          <t>Home run JB-RICE 4 SCR + oxida-DI01 to the control / marshalling room</t>
        </is>
      </c>
      <c r="E4764" s="12" t="inlineStr"/>
      <c r="F4764" s="12" t="inlineStr">
        <is>
          <t>PCM: power control module</t>
        </is>
      </c>
      <c r="G4764" s="12" t="inlineStr">
        <is>
          <t>JB-RICE 4 SCR + oxida-DI01</t>
        </is>
      </c>
      <c r="H4764" s="12" t="inlineStr">
        <is>
          <t>RICE 4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5" t="n">
        <v>436</v>
      </c>
      <c r="U4764" s="15" t="n">
        <v>76</v>
      </c>
      <c r="V4764" s="15">
        <f>ROUNDUP((T4764+U4764+2*'Read Me'!$B$13)*(1+'Read Me'!$B$12),-1)</f>
        <v/>
      </c>
      <c r="W4764" s="15">
        <f>V4764*N4764*O4764</f>
        <v/>
      </c>
      <c r="X4764" s="12">
        <f>IF(LEFT(I4764,2)="MV",2*N4764*IF(L4764="1/C",O4764,1),0)</f>
        <v/>
      </c>
      <c r="Y4764" s="12">
        <f>IF(OR(LEFT(K4764,4)="LVAX",LEFT(K4764,6)="MV15AX",LEFT(K4764,4)="CTAX",LEFT(K4764,2)="W|"),2*N4764*O4764,0)</f>
        <v/>
      </c>
      <c r="Z4764" s="12" t="inlineStr"/>
      <c r="AA4764" s="12">
        <f>N4764*O4764</f>
        <v/>
      </c>
    </row>
    <row r="4765">
      <c r="A4765" s="12" t="inlineStr">
        <is>
          <t>I-I-0163</t>
        </is>
      </c>
      <c r="B4765" s="12" t="inlineStr">
        <is>
          <t>I</t>
        </is>
      </c>
      <c r="C4765" s="12" t="inlineStr">
        <is>
          <t>Modular / portable power</t>
        </is>
      </c>
      <c r="D4765" s="12" t="inlineStr">
        <is>
          <t>Analog instrument to JB JB-RICE 4 radiators (-AI01: 5 x 1 pr (field cables)</t>
        </is>
      </c>
      <c r="E4765" s="12" t="inlineStr"/>
      <c r="F4765" s="12" t="inlineStr">
        <is>
          <t>RICE 4 radiators (5)</t>
        </is>
      </c>
      <c r="G4765" s="12" t="inlineStr">
        <is>
          <t>JB-RICE 4 radiators (-AI01</t>
        </is>
      </c>
      <c r="H4765" s="12" t="inlineStr">
        <is>
          <t>RICE 4 radiators (5)</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5</v>
      </c>
      <c r="O4765" s="12" t="n">
        <v>1</v>
      </c>
      <c r="P4765" s="12" t="n"/>
      <c r="Q4765" s="12" t="n"/>
      <c r="R4765" s="12" t="n"/>
      <c r="S4765" s="12" t="inlineStr">
        <is>
          <t>Tray / conduit</t>
        </is>
      </c>
      <c r="T4765" s="15" t="n">
        <v>80</v>
      </c>
      <c r="U4765" s="15" t="n">
        <v>10</v>
      </c>
      <c r="V4765" s="15">
        <f>ROUNDUP((T4765+U4765+2*'Read Me'!$B$13)*(1+'Read Me'!$B$12),-1)</f>
        <v/>
      </c>
      <c r="W4765" s="15">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I-I-0164</t>
        </is>
      </c>
      <c r="B4766" s="12" t="inlineStr">
        <is>
          <t>I</t>
        </is>
      </c>
      <c r="C4766" s="12" t="inlineStr">
        <is>
          <t>Modular / portable power</t>
        </is>
      </c>
      <c r="D4766" s="12" t="inlineStr">
        <is>
          <t>Home run JB-RICE 4 radiators (-AI01 to the control / marshalling room</t>
        </is>
      </c>
      <c r="E4766" s="12" t="inlineStr"/>
      <c r="F4766" s="12" t="inlineStr">
        <is>
          <t>PCM: power control module</t>
        </is>
      </c>
      <c r="G4766" s="12" t="inlineStr">
        <is>
          <t>JB-RICE 4 radiators (-AI01</t>
        </is>
      </c>
      <c r="H4766" s="12" t="inlineStr">
        <is>
          <t>RICE 4 radiators (5)</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Tray</t>
        </is>
      </c>
      <c r="T4766" s="15" t="n">
        <v>0</v>
      </c>
      <c r="U4766" s="15" t="n">
        <v>206</v>
      </c>
      <c r="V4766" s="15">
        <f>ROUNDUP((T4766+U4766+2*'Read Me'!$B$13)*(1+'Read Me'!$B$12),-1)</f>
        <v/>
      </c>
      <c r="W4766" s="15">
        <f>V4766*N4766*O4766</f>
        <v/>
      </c>
      <c r="X4766" s="12">
        <f>IF(LEFT(I4766,2)="MV",2*N4766*IF(L4766="1/C",O4766,1),0)</f>
        <v/>
      </c>
      <c r="Y4766" s="12">
        <f>IF(OR(LEFT(K4766,4)="LVAX",LEFT(K4766,6)="MV15AX",LEFT(K4766,4)="CTAX",LEFT(K4766,2)="W|"),2*N4766*O4766,0)</f>
        <v/>
      </c>
      <c r="Z4766" s="12" t="inlineStr"/>
      <c r="AA4766" s="12">
        <f>N4766*O4766</f>
        <v/>
      </c>
    </row>
    <row r="4767">
      <c r="A4767" s="12" t="inlineStr">
        <is>
          <t>I-I-0165</t>
        </is>
      </c>
      <c r="B4767" s="12" t="inlineStr">
        <is>
          <t>I</t>
        </is>
      </c>
      <c r="C4767" s="12" t="inlineStr">
        <is>
          <t>Modular / portable power</t>
        </is>
      </c>
      <c r="D4767" s="12" t="inlineStr">
        <is>
          <t>Discrete device to JB JB-RICE 4 radiators (-DI01: 10 x 1 pr (field cables)</t>
        </is>
      </c>
      <c r="E4767" s="12" t="inlineStr"/>
      <c r="F4767" s="12" t="inlineStr">
        <is>
          <t>RICE 4 radiators (5)</t>
        </is>
      </c>
      <c r="G4767" s="12" t="inlineStr">
        <is>
          <t>JB-RICE 4 radiators (-DI01</t>
        </is>
      </c>
      <c r="H4767" s="12" t="inlineStr">
        <is>
          <t>RICE 4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10</v>
      </c>
      <c r="O4767" s="12" t="n">
        <v>1</v>
      </c>
      <c r="P4767" s="12" t="n"/>
      <c r="Q4767" s="12" t="n"/>
      <c r="R4767" s="12" t="n"/>
      <c r="S4767" s="12" t="inlineStr">
        <is>
          <t>Tray / conduit</t>
        </is>
      </c>
      <c r="T4767" s="15" t="n">
        <v>80</v>
      </c>
      <c r="U4767" s="15" t="n">
        <v>10</v>
      </c>
      <c r="V4767" s="15">
        <f>ROUNDUP((T4767+U4767+2*'Read Me'!$B$13)*(1+'Read Me'!$B$12),-1)</f>
        <v/>
      </c>
      <c r="W4767" s="15">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I-I-0166</t>
        </is>
      </c>
      <c r="B4768" s="12" t="inlineStr">
        <is>
          <t>I</t>
        </is>
      </c>
      <c r="C4768" s="12" t="inlineStr">
        <is>
          <t>Modular / portable power</t>
        </is>
      </c>
      <c r="D4768" s="12" t="inlineStr">
        <is>
          <t>Home run JB-RICE 4 radiators (-DI01 to the control / marshalling room</t>
        </is>
      </c>
      <c r="E4768" s="12" t="inlineStr"/>
      <c r="F4768" s="12" t="inlineStr">
        <is>
          <t>PCM: power control module</t>
        </is>
      </c>
      <c r="G4768" s="12" t="inlineStr">
        <is>
          <t>JB-RICE 4 radiators (-DI01</t>
        </is>
      </c>
      <c r="H4768" s="12" t="inlineStr">
        <is>
          <t>RICE 4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Tray</t>
        </is>
      </c>
      <c r="T4768" s="15" t="n">
        <v>0</v>
      </c>
      <c r="U4768" s="15" t="n">
        <v>206</v>
      </c>
      <c r="V4768" s="15">
        <f>ROUNDUP((T4768+U4768+2*'Read Me'!$B$13)*(1+'Read Me'!$B$12),-1)</f>
        <v/>
      </c>
      <c r="W4768" s="15">
        <f>V4768*N4768*O4768</f>
        <v/>
      </c>
      <c r="X4768" s="12">
        <f>IF(LEFT(I4768,2)="MV",2*N4768*IF(L4768="1/C",O4768,1),0)</f>
        <v/>
      </c>
      <c r="Y4768" s="12">
        <f>IF(OR(LEFT(K4768,4)="LVAX",LEFT(K4768,6)="MV15AX",LEFT(K4768,4)="CTAX",LEFT(K4768,2)="W|"),2*N4768*O4768,0)</f>
        <v/>
      </c>
      <c r="Z4768" s="12" t="inlineStr"/>
      <c r="AA4768" s="12">
        <f>N4768*O4768</f>
        <v/>
      </c>
    </row>
    <row r="4769">
      <c r="A4769" s="12" t="inlineStr">
        <is>
          <t>I-I-0167</t>
        </is>
      </c>
      <c r="B4769" s="12" t="inlineStr">
        <is>
          <t>I</t>
        </is>
      </c>
      <c r="C4769" s="12" t="inlineStr">
        <is>
          <t>Modular / portable power</t>
        </is>
      </c>
      <c r="D4769" s="12" t="inlineStr">
        <is>
          <t>Analog instrument to JB JB-RICE 5 SCR + oxida-AI01: 10 x 1 pr (field cables)</t>
        </is>
      </c>
      <c r="E4769" s="12" t="inlineStr"/>
      <c r="F4769" s="12" t="inlineStr">
        <is>
          <t>RICE 5 SCR + oxidation catalyst and stack</t>
        </is>
      </c>
      <c r="G4769" s="12" t="inlineStr">
        <is>
          <t>JB-RICE 5 SCR + oxida-AI01</t>
        </is>
      </c>
      <c r="H4769" s="12" t="inlineStr">
        <is>
          <t>RICE 5 SCR + oxidation catalyst and stack</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5" t="n">
        <v>92</v>
      </c>
      <c r="U4769" s="15" t="n">
        <v>10</v>
      </c>
      <c r="V4769" s="15">
        <f>ROUNDUP((T4769+U4769+2*'Read Me'!$B$13)*(1+'Read Me'!$B$12),-1)</f>
        <v/>
      </c>
      <c r="W4769" s="15">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I-I-0168</t>
        </is>
      </c>
      <c r="B4770" s="12" t="inlineStr">
        <is>
          <t>I</t>
        </is>
      </c>
      <c r="C4770" s="12" t="inlineStr">
        <is>
          <t>Modular / portable power</t>
        </is>
      </c>
      <c r="D4770" s="12" t="inlineStr">
        <is>
          <t>Home run JB-RICE 5 SCR + oxida-AI01 to the control / marshalling room</t>
        </is>
      </c>
      <c r="E4770" s="12" t="inlineStr"/>
      <c r="F4770" s="12" t="inlineStr">
        <is>
          <t>PCM: power control module</t>
        </is>
      </c>
      <c r="G4770" s="12" t="inlineStr">
        <is>
          <t>JB-RICE 5 SCR + oxida-AI01</t>
        </is>
      </c>
      <c r="H4770" s="12" t="inlineStr">
        <is>
          <t>RICE 5 SCR + oxidation catalyst and stack</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5" t="n">
        <v>158</v>
      </c>
      <c r="U4770" s="15" t="n">
        <v>164</v>
      </c>
      <c r="V4770" s="15">
        <f>ROUNDUP((T4770+U4770+2*'Read Me'!$B$13)*(1+'Read Me'!$B$12),-1)</f>
        <v/>
      </c>
      <c r="W4770" s="15">
        <f>V4770*N4770*O4770</f>
        <v/>
      </c>
      <c r="X4770" s="12">
        <f>IF(LEFT(I4770,2)="MV",2*N4770*IF(L4770="1/C",O4770,1),0)</f>
        <v/>
      </c>
      <c r="Y4770" s="12">
        <f>IF(OR(LEFT(K4770,4)="LVAX",LEFT(K4770,6)="MV15AX",LEFT(K4770,4)="CTAX",LEFT(K4770,2)="W|"),2*N4770*O4770,0)</f>
        <v/>
      </c>
      <c r="Z4770" s="12" t="inlineStr"/>
      <c r="AA4770" s="12">
        <f>N4770*O4770</f>
        <v/>
      </c>
    </row>
    <row r="4771">
      <c r="A4771" s="12" t="inlineStr">
        <is>
          <t>I-I-0169</t>
        </is>
      </c>
      <c r="B4771" s="12" t="inlineStr">
        <is>
          <t>I</t>
        </is>
      </c>
      <c r="C4771" s="12" t="inlineStr">
        <is>
          <t>Modular / portable power</t>
        </is>
      </c>
      <c r="D4771" s="12" t="inlineStr">
        <is>
          <t>Discrete device to JB JB-RICE 5 SCR + oxida-DI01: 6 x 1 pr (field cables)</t>
        </is>
      </c>
      <c r="E4771" s="12" t="inlineStr"/>
      <c r="F4771" s="12" t="inlineStr">
        <is>
          <t>RICE 5 SCR + oxidation catalyst and stack</t>
        </is>
      </c>
      <c r="G4771" s="12" t="inlineStr">
        <is>
          <t>JB-RICE 5 SCR + oxida-DI01</t>
        </is>
      </c>
      <c r="H4771" s="12" t="inlineStr">
        <is>
          <t>RICE 5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6</v>
      </c>
      <c r="O4771" s="12" t="n">
        <v>1</v>
      </c>
      <c r="P4771" s="12" t="n"/>
      <c r="Q4771" s="12" t="n"/>
      <c r="R4771" s="12" t="n"/>
      <c r="S4771" s="12" t="inlineStr">
        <is>
          <t>Tray / conduit</t>
        </is>
      </c>
      <c r="T4771" s="15" t="n">
        <v>92</v>
      </c>
      <c r="U4771" s="15" t="n">
        <v>10</v>
      </c>
      <c r="V4771" s="15">
        <f>ROUNDUP((T4771+U4771+2*'Read Me'!$B$13)*(1+'Read Me'!$B$12),-1)</f>
        <v/>
      </c>
      <c r="W4771" s="15">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I-I-0170</t>
        </is>
      </c>
      <c r="B4772" s="12" t="inlineStr">
        <is>
          <t>I</t>
        </is>
      </c>
      <c r="C4772" s="12" t="inlineStr">
        <is>
          <t>Modular / portable power</t>
        </is>
      </c>
      <c r="D4772" s="12" t="inlineStr">
        <is>
          <t>Home run JB-RICE 5 SCR + oxida-DI01 to the control / marshalling room</t>
        </is>
      </c>
      <c r="E4772" s="12" t="inlineStr"/>
      <c r="F4772" s="12" t="inlineStr">
        <is>
          <t>PCM: power control module</t>
        </is>
      </c>
      <c r="G4772" s="12" t="inlineStr">
        <is>
          <t>JB-RICE 5 SCR + oxida-DI01</t>
        </is>
      </c>
      <c r="H4772" s="12" t="inlineStr">
        <is>
          <t>RICE 5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5" t="n">
        <v>158</v>
      </c>
      <c r="U4772" s="15" t="n">
        <v>164</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I-I-0171</t>
        </is>
      </c>
      <c r="B4773" s="12" t="inlineStr">
        <is>
          <t>I</t>
        </is>
      </c>
      <c r="C4773" s="12" t="inlineStr">
        <is>
          <t>Modular / portable power</t>
        </is>
      </c>
      <c r="D4773" s="12" t="inlineStr">
        <is>
          <t>Analog instrument to JB JB-RICE 5 radiators (-AI01: 5 x 1 pr (field cables)</t>
        </is>
      </c>
      <c r="E4773" s="12" t="inlineStr"/>
      <c r="F4773" s="12" t="inlineStr">
        <is>
          <t>RICE 5 radiators (5)</t>
        </is>
      </c>
      <c r="G4773" s="12" t="inlineStr">
        <is>
          <t>JB-RICE 5 radiators (-AI01</t>
        </is>
      </c>
      <c r="H4773" s="12" t="inlineStr">
        <is>
          <t>RICE 5 radiators (5)</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5</v>
      </c>
      <c r="O4773" s="12" t="n">
        <v>1</v>
      </c>
      <c r="P4773" s="12" t="n"/>
      <c r="Q4773" s="12" t="n"/>
      <c r="R4773" s="12" t="n"/>
      <c r="S4773" s="12" t="inlineStr">
        <is>
          <t>Tray / conduit</t>
        </is>
      </c>
      <c r="T4773" s="15" t="n">
        <v>80</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I-I-0172</t>
        </is>
      </c>
      <c r="B4774" s="12" t="inlineStr">
        <is>
          <t>I</t>
        </is>
      </c>
      <c r="C4774" s="12" t="inlineStr">
        <is>
          <t>Modular / portable power</t>
        </is>
      </c>
      <c r="D4774" s="12" t="inlineStr">
        <is>
          <t>Home run JB-RICE 5 radiators (-AI01 to the control / marshalling room</t>
        </is>
      </c>
      <c r="E4774" s="12" t="inlineStr"/>
      <c r="F4774" s="12" t="inlineStr">
        <is>
          <t>PCM: power control module</t>
        </is>
      </c>
      <c r="G4774" s="12" t="inlineStr">
        <is>
          <t>JB-RICE 5 radiators (-AI01</t>
        </is>
      </c>
      <c r="H4774" s="12" t="inlineStr">
        <is>
          <t>RICE 5 radiators (5)</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Tray</t>
        </is>
      </c>
      <c r="T4774" s="15" t="n">
        <v>0</v>
      </c>
      <c r="U4774" s="15" t="n">
        <v>178</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I-I-0173</t>
        </is>
      </c>
      <c r="B4775" s="12" t="inlineStr">
        <is>
          <t>I</t>
        </is>
      </c>
      <c r="C4775" s="12" t="inlineStr">
        <is>
          <t>Modular / portable power</t>
        </is>
      </c>
      <c r="D4775" s="12" t="inlineStr">
        <is>
          <t>Discrete device to JB JB-RICE 5 radiators (-DI01: 10 x 1 pr (field cables)</t>
        </is>
      </c>
      <c r="E4775" s="12" t="inlineStr"/>
      <c r="F4775" s="12" t="inlineStr">
        <is>
          <t>RICE 5 radiators (5)</t>
        </is>
      </c>
      <c r="G4775" s="12" t="inlineStr">
        <is>
          <t>JB-RICE 5 radiators (-DI01</t>
        </is>
      </c>
      <c r="H4775" s="12" t="inlineStr">
        <is>
          <t>RICE 5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10</v>
      </c>
      <c r="O4775" s="12" t="n">
        <v>1</v>
      </c>
      <c r="P4775" s="12" t="n"/>
      <c r="Q4775" s="12" t="n"/>
      <c r="R4775" s="12" t="n"/>
      <c r="S4775" s="12" t="inlineStr">
        <is>
          <t>Tray / conduit</t>
        </is>
      </c>
      <c r="T4775" s="15" t="n">
        <v>80</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I-I-0174</t>
        </is>
      </c>
      <c r="B4776" s="12" t="inlineStr">
        <is>
          <t>I</t>
        </is>
      </c>
      <c r="C4776" s="12" t="inlineStr">
        <is>
          <t>Modular / portable power</t>
        </is>
      </c>
      <c r="D4776" s="12" t="inlineStr">
        <is>
          <t>Home run JB-RICE 5 radiators (-DI01 to the control / marshalling room</t>
        </is>
      </c>
      <c r="E4776" s="12" t="inlineStr"/>
      <c r="F4776" s="12" t="inlineStr">
        <is>
          <t>PCM: power control module</t>
        </is>
      </c>
      <c r="G4776" s="12" t="inlineStr">
        <is>
          <t>JB-RICE 5 radiators (-DI01</t>
        </is>
      </c>
      <c r="H4776" s="12" t="inlineStr">
        <is>
          <t>RICE 5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Tray</t>
        </is>
      </c>
      <c r="T4776" s="15" t="n">
        <v>0</v>
      </c>
      <c r="U4776" s="15" t="n">
        <v>178</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I-I-0175</t>
        </is>
      </c>
      <c r="B4777" s="12" t="inlineStr">
        <is>
          <t>I</t>
        </is>
      </c>
      <c r="C4777" s="12" t="inlineStr">
        <is>
          <t>Modular / portable power</t>
        </is>
      </c>
      <c r="D4777" s="12" t="inlineStr">
        <is>
          <t>Analog instrument to JB JB-RICE 6 SCR + oxida-AI01: 10 x 1 pr (field cables)</t>
        </is>
      </c>
      <c r="E4777" s="12" t="inlineStr"/>
      <c r="F4777" s="12" t="inlineStr">
        <is>
          <t>RICE 6 SCR + oxidation catalyst and stack</t>
        </is>
      </c>
      <c r="G4777" s="12" t="inlineStr">
        <is>
          <t>JB-RICE 6 SCR + oxida-AI01</t>
        </is>
      </c>
      <c r="H4777" s="12" t="inlineStr">
        <is>
          <t>RICE 6 SCR + oxidation catalyst and stack</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5" t="n">
        <v>92</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I-I-0176</t>
        </is>
      </c>
      <c r="B4778" s="12" t="inlineStr">
        <is>
          <t>I</t>
        </is>
      </c>
      <c r="C4778" s="12" t="inlineStr">
        <is>
          <t>Modular / portable power</t>
        </is>
      </c>
      <c r="D4778" s="12" t="inlineStr">
        <is>
          <t>Home run JB-RICE 6 SCR + oxida-AI01 to the control / marshalling room</t>
        </is>
      </c>
      <c r="E4778" s="12" t="inlineStr"/>
      <c r="F4778" s="12" t="inlineStr">
        <is>
          <t>PCM: power control module</t>
        </is>
      </c>
      <c r="G4778" s="12" t="inlineStr">
        <is>
          <t>JB-RICE 6 SCR + oxida-AI01</t>
        </is>
      </c>
      <c r="H4778" s="12" t="inlineStr">
        <is>
          <t>RICE 6 SCR + oxidation catalyst and stack</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113</v>
      </c>
      <c r="U4778" s="15" t="n">
        <v>153</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I-I-0177</t>
        </is>
      </c>
      <c r="B4779" s="12" t="inlineStr">
        <is>
          <t>I</t>
        </is>
      </c>
      <c r="C4779" s="12" t="inlineStr">
        <is>
          <t>Modular / portable power</t>
        </is>
      </c>
      <c r="D4779" s="12" t="inlineStr">
        <is>
          <t>Discrete device to JB JB-RICE 6 SCR + oxida-DI01: 6 x 1 pr (field cables)</t>
        </is>
      </c>
      <c r="E4779" s="12" t="inlineStr"/>
      <c r="F4779" s="12" t="inlineStr">
        <is>
          <t>RICE 6 SCR + oxidation catalyst and stack</t>
        </is>
      </c>
      <c r="G4779" s="12" t="inlineStr">
        <is>
          <t>JB-RICE 6 SCR + oxida-DI01</t>
        </is>
      </c>
      <c r="H4779" s="12" t="inlineStr">
        <is>
          <t>RICE 6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6</v>
      </c>
      <c r="O4779" s="12" t="n">
        <v>1</v>
      </c>
      <c r="P4779" s="12" t="n"/>
      <c r="Q4779" s="12" t="n"/>
      <c r="R4779" s="12" t="n"/>
      <c r="S4779" s="12" t="inlineStr">
        <is>
          <t>Tray / conduit</t>
        </is>
      </c>
      <c r="T4779" s="15" t="n">
        <v>92</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I-I-0178</t>
        </is>
      </c>
      <c r="B4780" s="12" t="inlineStr">
        <is>
          <t>I</t>
        </is>
      </c>
      <c r="C4780" s="12" t="inlineStr">
        <is>
          <t>Modular / portable power</t>
        </is>
      </c>
      <c r="D4780" s="12" t="inlineStr">
        <is>
          <t>Home run JB-RICE 6 SCR + oxida-DI01 to the control / marshalling room</t>
        </is>
      </c>
      <c r="E4780" s="12" t="inlineStr"/>
      <c r="F4780" s="12" t="inlineStr">
        <is>
          <t>PCM: power control module</t>
        </is>
      </c>
      <c r="G4780" s="12" t="inlineStr">
        <is>
          <t>JB-RICE 6 SCR + oxida-DI01</t>
        </is>
      </c>
      <c r="H4780" s="12" t="inlineStr">
        <is>
          <t>RICE 6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113</v>
      </c>
      <c r="U4780" s="15" t="n">
        <v>153</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I-I-0179</t>
        </is>
      </c>
      <c r="B4781" s="12" t="inlineStr">
        <is>
          <t>I</t>
        </is>
      </c>
      <c r="C4781" s="12" t="inlineStr">
        <is>
          <t>Modular / portable power</t>
        </is>
      </c>
      <c r="D4781" s="12" t="inlineStr">
        <is>
          <t>Analog instrument to JB JB-RICE 6 radiators (-AI01: 5 x 1 pr (field cables)</t>
        </is>
      </c>
      <c r="E4781" s="12" t="inlineStr"/>
      <c r="F4781" s="12" t="inlineStr">
        <is>
          <t>RICE 6 radiators (5)</t>
        </is>
      </c>
      <c r="G4781" s="12" t="inlineStr">
        <is>
          <t>JB-RICE 6 radiators (-AI01</t>
        </is>
      </c>
      <c r="H4781" s="12" t="inlineStr">
        <is>
          <t>RICE 6 radiators (5)</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5</v>
      </c>
      <c r="O4781" s="12" t="n">
        <v>1</v>
      </c>
      <c r="P4781" s="12" t="n"/>
      <c r="Q4781" s="12" t="n"/>
      <c r="R4781" s="12" t="n"/>
      <c r="S4781" s="12" t="inlineStr">
        <is>
          <t>Tray / conduit</t>
        </is>
      </c>
      <c r="T4781" s="15" t="n">
        <v>80</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I-I-0180</t>
        </is>
      </c>
      <c r="B4782" s="12" t="inlineStr">
        <is>
          <t>I</t>
        </is>
      </c>
      <c r="C4782" s="12" t="inlineStr">
        <is>
          <t>Modular / portable power</t>
        </is>
      </c>
      <c r="D4782" s="12" t="inlineStr">
        <is>
          <t>Home run JB-RICE 6 radiators (-AI01 to the control / marshalling room</t>
        </is>
      </c>
      <c r="E4782" s="12" t="inlineStr"/>
      <c r="F4782" s="12" t="inlineStr">
        <is>
          <t>PCM: power control module</t>
        </is>
      </c>
      <c r="G4782" s="12" t="inlineStr">
        <is>
          <t>JB-RICE 6 radiators (-AI01</t>
        </is>
      </c>
      <c r="H4782" s="12" t="inlineStr">
        <is>
          <t>RICE 6 radiators (5)</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5" t="n">
        <v>0</v>
      </c>
      <c r="U4782" s="15" t="n">
        <v>150</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I-I-0181</t>
        </is>
      </c>
      <c r="B4783" s="12" t="inlineStr">
        <is>
          <t>I</t>
        </is>
      </c>
      <c r="C4783" s="12" t="inlineStr">
        <is>
          <t>Modular / portable power</t>
        </is>
      </c>
      <c r="D4783" s="12" t="inlineStr">
        <is>
          <t>Discrete device to JB JB-RICE 6 radiators (-DI01: 10 x 1 pr (field cables)</t>
        </is>
      </c>
      <c r="E4783" s="12" t="inlineStr"/>
      <c r="F4783" s="12" t="inlineStr">
        <is>
          <t>RICE 6 radiators (5)</t>
        </is>
      </c>
      <c r="G4783" s="12" t="inlineStr">
        <is>
          <t>JB-RICE 6 radiators (-DI01</t>
        </is>
      </c>
      <c r="H4783" s="12" t="inlineStr">
        <is>
          <t>RICE 6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10</v>
      </c>
      <c r="O4783" s="12" t="n">
        <v>1</v>
      </c>
      <c r="P4783" s="12" t="n"/>
      <c r="Q4783" s="12" t="n"/>
      <c r="R4783" s="12" t="n"/>
      <c r="S4783" s="12" t="inlineStr">
        <is>
          <t>Tray / conduit</t>
        </is>
      </c>
      <c r="T4783" s="15" t="n">
        <v>80</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I-I-0182</t>
        </is>
      </c>
      <c r="B4784" s="12" t="inlineStr">
        <is>
          <t>I</t>
        </is>
      </c>
      <c r="C4784" s="12" t="inlineStr">
        <is>
          <t>Modular / portable power</t>
        </is>
      </c>
      <c r="D4784" s="12" t="inlineStr">
        <is>
          <t>Home run JB-RICE 6 radiators (-DI01 to the control / marshalling room</t>
        </is>
      </c>
      <c r="E4784" s="12" t="inlineStr"/>
      <c r="F4784" s="12" t="inlineStr">
        <is>
          <t>PCM: power control module</t>
        </is>
      </c>
      <c r="G4784" s="12" t="inlineStr">
        <is>
          <t>JB-RICE 6 radiators (-DI01</t>
        </is>
      </c>
      <c r="H4784" s="12" t="inlineStr">
        <is>
          <t>RICE 6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5" t="n">
        <v>0</v>
      </c>
      <c r="U4784" s="15" t="n">
        <v>150</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I-I-0183</t>
        </is>
      </c>
      <c r="B4785" s="12" t="inlineStr">
        <is>
          <t>I</t>
        </is>
      </c>
      <c r="C4785" s="12" t="inlineStr">
        <is>
          <t>Modular / portable power</t>
        </is>
      </c>
      <c r="D4785" s="12" t="inlineStr">
        <is>
          <t>Analog instrument to JB JB-RICE 7 SCR + oxida-AI01: 10 x 1 pr (field cables)</t>
        </is>
      </c>
      <c r="E4785" s="12" t="inlineStr"/>
      <c r="F4785" s="12" t="inlineStr">
        <is>
          <t>RICE 7 SCR + oxidation catalyst and stack</t>
        </is>
      </c>
      <c r="G4785" s="12" t="inlineStr">
        <is>
          <t>JB-RICE 7 SCR + oxida-AI01</t>
        </is>
      </c>
      <c r="H4785" s="12" t="inlineStr">
        <is>
          <t>RICE 7 SCR + oxidation catalyst and stack</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5" t="n">
        <v>92</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I-I-0184</t>
        </is>
      </c>
      <c r="B4786" s="12" t="inlineStr">
        <is>
          <t>I</t>
        </is>
      </c>
      <c r="C4786" s="12" t="inlineStr">
        <is>
          <t>Modular / portable power</t>
        </is>
      </c>
      <c r="D4786" s="12" t="inlineStr">
        <is>
          <t>Home run JB-RICE 7 SCR + oxida-AI01 to the control / marshalling room</t>
        </is>
      </c>
      <c r="E4786" s="12" t="inlineStr"/>
      <c r="F4786" s="12" t="inlineStr">
        <is>
          <t>PCM: power control module</t>
        </is>
      </c>
      <c r="G4786" s="12" t="inlineStr">
        <is>
          <t>JB-RICE 7 SCR + oxida-AI01</t>
        </is>
      </c>
      <c r="H4786" s="12" t="inlineStr">
        <is>
          <t>RICE 7 SCR + oxidation catalyst and stack</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113</v>
      </c>
      <c r="U4786" s="15" t="n">
        <v>125</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I-I-0185</t>
        </is>
      </c>
      <c r="B4787" s="12" t="inlineStr">
        <is>
          <t>I</t>
        </is>
      </c>
      <c r="C4787" s="12" t="inlineStr">
        <is>
          <t>Modular / portable power</t>
        </is>
      </c>
      <c r="D4787" s="12" t="inlineStr">
        <is>
          <t>Discrete device to JB JB-RICE 7 SCR + oxida-DI01: 6 x 1 pr (field cables)</t>
        </is>
      </c>
      <c r="E4787" s="12" t="inlineStr"/>
      <c r="F4787" s="12" t="inlineStr">
        <is>
          <t>RICE 7 SCR + oxidation catalyst and stack</t>
        </is>
      </c>
      <c r="G4787" s="12" t="inlineStr">
        <is>
          <t>JB-RICE 7 SCR + oxida-DI01</t>
        </is>
      </c>
      <c r="H4787" s="12" t="inlineStr">
        <is>
          <t>RICE 7 SCR + oxidation catalyst and stack</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6</v>
      </c>
      <c r="O4787" s="12" t="n">
        <v>1</v>
      </c>
      <c r="P4787" s="12" t="n"/>
      <c r="Q4787" s="12" t="n"/>
      <c r="R4787" s="12" t="n"/>
      <c r="S4787" s="12" t="inlineStr">
        <is>
          <t>Tray / conduit</t>
        </is>
      </c>
      <c r="T4787" s="15" t="n">
        <v>92</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I-I-0186</t>
        </is>
      </c>
      <c r="B4788" s="12" t="inlineStr">
        <is>
          <t>I</t>
        </is>
      </c>
      <c r="C4788" s="12" t="inlineStr">
        <is>
          <t>Modular / portable power</t>
        </is>
      </c>
      <c r="D4788" s="12" t="inlineStr">
        <is>
          <t>Home run JB-RICE 7 SCR + oxida-DI01 to the control / marshalling room</t>
        </is>
      </c>
      <c r="E4788" s="12" t="inlineStr"/>
      <c r="F4788" s="12" t="inlineStr">
        <is>
          <t>PCM: power control module</t>
        </is>
      </c>
      <c r="G4788" s="12" t="inlineStr">
        <is>
          <t>JB-RICE 7 SCR + oxida-DI01</t>
        </is>
      </c>
      <c r="H4788" s="12" t="inlineStr">
        <is>
          <t>RICE 7 SCR + oxidation catalyst and stack</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113</v>
      </c>
      <c r="U4788" s="15" t="n">
        <v>125</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I-I-0187</t>
        </is>
      </c>
      <c r="B4789" s="12" t="inlineStr">
        <is>
          <t>I</t>
        </is>
      </c>
      <c r="C4789" s="12" t="inlineStr">
        <is>
          <t>Modular / portable power</t>
        </is>
      </c>
      <c r="D4789" s="12" t="inlineStr">
        <is>
          <t>Analog instrument to JB JB-RICE 7 radiators (-AI01: 5 x 1 pr (field cables)</t>
        </is>
      </c>
      <c r="E4789" s="12" t="inlineStr"/>
      <c r="F4789" s="12" t="inlineStr">
        <is>
          <t>RICE 7 radiators (5)</t>
        </is>
      </c>
      <c r="G4789" s="12" t="inlineStr">
        <is>
          <t>JB-RICE 7 radiators (-AI01</t>
        </is>
      </c>
      <c r="H4789" s="12" t="inlineStr">
        <is>
          <t>RICE 7 radiators (5)</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5</v>
      </c>
      <c r="O4789" s="12" t="n">
        <v>1</v>
      </c>
      <c r="P4789" s="12" t="n"/>
      <c r="Q4789" s="12" t="n"/>
      <c r="R4789" s="12" t="n"/>
      <c r="S4789" s="12" t="inlineStr">
        <is>
          <t>Tray / conduit</t>
        </is>
      </c>
      <c r="T4789" s="15" t="n">
        <v>80</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I-I-0188</t>
        </is>
      </c>
      <c r="B4790" s="12" t="inlineStr">
        <is>
          <t>I</t>
        </is>
      </c>
      <c r="C4790" s="12" t="inlineStr">
        <is>
          <t>Modular / portable power</t>
        </is>
      </c>
      <c r="D4790" s="12" t="inlineStr">
        <is>
          <t>Home run JB-RICE 7 radiators (-AI01 to the control / marshalling room</t>
        </is>
      </c>
      <c r="E4790" s="12" t="inlineStr"/>
      <c r="F4790" s="12" t="inlineStr">
        <is>
          <t>PCM: power control module</t>
        </is>
      </c>
      <c r="G4790" s="12" t="inlineStr">
        <is>
          <t>JB-RICE 7 radiators (-AI01</t>
        </is>
      </c>
      <c r="H4790" s="12" t="inlineStr">
        <is>
          <t>RICE 7 radiators (5)</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5" t="n">
        <v>0</v>
      </c>
      <c r="U4790" s="15" t="n">
        <v>122</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I-I-0189</t>
        </is>
      </c>
      <c r="B4791" s="12" t="inlineStr">
        <is>
          <t>I</t>
        </is>
      </c>
      <c r="C4791" s="12" t="inlineStr">
        <is>
          <t>Modular / portable power</t>
        </is>
      </c>
      <c r="D4791" s="12" t="inlineStr">
        <is>
          <t>Discrete device to JB JB-RICE 7 radiators (-DI01: 10 x 1 pr (field cables)</t>
        </is>
      </c>
      <c r="E4791" s="12" t="inlineStr"/>
      <c r="F4791" s="12" t="inlineStr">
        <is>
          <t>RICE 7 radiators (5)</t>
        </is>
      </c>
      <c r="G4791" s="12" t="inlineStr">
        <is>
          <t>JB-RICE 7 radiators (-DI01</t>
        </is>
      </c>
      <c r="H4791" s="12" t="inlineStr">
        <is>
          <t>RICE 7 radiators (5)</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10</v>
      </c>
      <c r="O4791" s="12" t="n">
        <v>1</v>
      </c>
      <c r="P4791" s="12" t="n"/>
      <c r="Q4791" s="12" t="n"/>
      <c r="R4791" s="12" t="n"/>
      <c r="S4791" s="12" t="inlineStr">
        <is>
          <t>Tray / conduit</t>
        </is>
      </c>
      <c r="T4791" s="15" t="n">
        <v>80</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I-I-0190</t>
        </is>
      </c>
      <c r="B4792" s="12" t="inlineStr">
        <is>
          <t>I</t>
        </is>
      </c>
      <c r="C4792" s="12" t="inlineStr">
        <is>
          <t>Modular / portable power</t>
        </is>
      </c>
      <c r="D4792" s="12" t="inlineStr">
        <is>
          <t>Home run JB-RICE 7 radiators (-DI01 to the control / marshalling room</t>
        </is>
      </c>
      <c r="E4792" s="12" t="inlineStr"/>
      <c r="F4792" s="12" t="inlineStr">
        <is>
          <t>PCM: power control module</t>
        </is>
      </c>
      <c r="G4792" s="12" t="inlineStr">
        <is>
          <t>JB-RICE 7 radiators (-DI01</t>
        </is>
      </c>
      <c r="H4792" s="12" t="inlineStr">
        <is>
          <t>RICE 7 radiators (5)</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5" t="n">
        <v>0</v>
      </c>
      <c r="U4792" s="15" t="n">
        <v>122</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I-I-0191</t>
        </is>
      </c>
      <c r="B4793" s="12" t="inlineStr">
        <is>
          <t>I</t>
        </is>
      </c>
      <c r="C4793" s="12" t="inlineStr">
        <is>
          <t>Modular / portable power</t>
        </is>
      </c>
      <c r="D4793" s="12" t="inlineStr">
        <is>
          <t>Analog instrument to JB JB-RICE 8 SCR + oxida-AI01: 10 x 1 pr (field cables)</t>
        </is>
      </c>
      <c r="E4793" s="12" t="inlineStr"/>
      <c r="F4793" s="12" t="inlineStr">
        <is>
          <t>RICE 8 SCR + oxidation catalyst and stack</t>
        </is>
      </c>
      <c r="G4793" s="12" t="inlineStr">
        <is>
          <t>JB-RICE 8 SCR + oxida-AI01</t>
        </is>
      </c>
      <c r="H4793" s="12" t="inlineStr">
        <is>
          <t>RICE 8 SCR + oxidation catalyst and stack</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10</v>
      </c>
      <c r="O4793" s="12" t="n">
        <v>1</v>
      </c>
      <c r="P4793" s="12" t="n"/>
      <c r="Q4793" s="12" t="n"/>
      <c r="R4793" s="12" t="n"/>
      <c r="S4793" s="12" t="inlineStr">
        <is>
          <t>Tray / conduit</t>
        </is>
      </c>
      <c r="T4793" s="15" t="n">
        <v>92</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I-I-0192</t>
        </is>
      </c>
      <c r="B4794" s="12" t="inlineStr">
        <is>
          <t>I</t>
        </is>
      </c>
      <c r="C4794" s="12" t="inlineStr">
        <is>
          <t>Modular / portable power</t>
        </is>
      </c>
      <c r="D4794" s="12" t="inlineStr">
        <is>
          <t>Home run JB-RICE 8 SCR + oxida-AI01 to the control / marshalling room</t>
        </is>
      </c>
      <c r="E4794" s="12" t="inlineStr"/>
      <c r="F4794" s="12" t="inlineStr">
        <is>
          <t>PCM: power control module</t>
        </is>
      </c>
      <c r="G4794" s="12" t="inlineStr">
        <is>
          <t>JB-RICE 8 SCR + oxida-AI01</t>
        </is>
      </c>
      <c r="H4794" s="12" t="inlineStr">
        <is>
          <t>RICE 8 SCR + oxidation catalyst and stack</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113</v>
      </c>
      <c r="U4794" s="15" t="n">
        <v>97</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I-I-0193</t>
        </is>
      </c>
      <c r="B4795" s="12" t="inlineStr">
        <is>
          <t>I</t>
        </is>
      </c>
      <c r="C4795" s="12" t="inlineStr">
        <is>
          <t>Modular / portable power</t>
        </is>
      </c>
      <c r="D4795" s="12" t="inlineStr">
        <is>
          <t>Discrete device to JB JB-RICE 8 SCR + oxida-DI01: 6 x 1 pr (field cables)</t>
        </is>
      </c>
      <c r="E4795" s="12" t="inlineStr"/>
      <c r="F4795" s="12" t="inlineStr">
        <is>
          <t>RICE 8 SCR + oxidation catalyst and stack</t>
        </is>
      </c>
      <c r="G4795" s="12" t="inlineStr">
        <is>
          <t>JB-RICE 8 SCR + oxida-DI01</t>
        </is>
      </c>
      <c r="H4795" s="12" t="inlineStr">
        <is>
          <t>RICE 8 SCR + oxidation catalyst and stack</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6</v>
      </c>
      <c r="O4795" s="12" t="n">
        <v>1</v>
      </c>
      <c r="P4795" s="12" t="n"/>
      <c r="Q4795" s="12" t="n"/>
      <c r="R4795" s="12" t="n"/>
      <c r="S4795" s="12" t="inlineStr">
        <is>
          <t>Tray / conduit</t>
        </is>
      </c>
      <c r="T4795" s="15" t="n">
        <v>92</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I-I-0194</t>
        </is>
      </c>
      <c r="B4796" s="12" t="inlineStr">
        <is>
          <t>I</t>
        </is>
      </c>
      <c r="C4796" s="12" t="inlineStr">
        <is>
          <t>Modular / portable power</t>
        </is>
      </c>
      <c r="D4796" s="12" t="inlineStr">
        <is>
          <t>Home run JB-RICE 8 SCR + oxida-DI01 to the control / marshalling room</t>
        </is>
      </c>
      <c r="E4796" s="12" t="inlineStr"/>
      <c r="F4796" s="12" t="inlineStr">
        <is>
          <t>PCM: power control module</t>
        </is>
      </c>
      <c r="G4796" s="12" t="inlineStr">
        <is>
          <t>JB-RICE 8 SCR + oxida-DI01</t>
        </is>
      </c>
      <c r="H4796" s="12" t="inlineStr">
        <is>
          <t>RICE 8 SCR + oxidation catalyst and stack</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113</v>
      </c>
      <c r="U4796" s="15" t="n">
        <v>97</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I-I-0195</t>
        </is>
      </c>
      <c r="B4797" s="12" t="inlineStr">
        <is>
          <t>I</t>
        </is>
      </c>
      <c r="C4797" s="12" t="inlineStr">
        <is>
          <t>Modular / portable power</t>
        </is>
      </c>
      <c r="D4797" s="12" t="inlineStr">
        <is>
          <t>Analog instrument to JB JB-RICE 8 radiators (-AI01: 5 x 1 pr (field cables)</t>
        </is>
      </c>
      <c r="E4797" s="12" t="inlineStr"/>
      <c r="F4797" s="12" t="inlineStr">
        <is>
          <t>RICE 8 radiators (5)</t>
        </is>
      </c>
      <c r="G4797" s="12" t="inlineStr">
        <is>
          <t>JB-RICE 8 radiators (-AI01</t>
        </is>
      </c>
      <c r="H4797" s="12" t="inlineStr">
        <is>
          <t>RICE 8 radiators (5)</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5</v>
      </c>
      <c r="O4797" s="12" t="n">
        <v>1</v>
      </c>
      <c r="P4797" s="12" t="n"/>
      <c r="Q4797" s="12" t="n"/>
      <c r="R4797" s="12" t="n"/>
      <c r="S4797" s="12" t="inlineStr">
        <is>
          <t>Tray / conduit</t>
        </is>
      </c>
      <c r="T4797" s="15" t="n">
        <v>80</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I-I-0196</t>
        </is>
      </c>
      <c r="B4798" s="12" t="inlineStr">
        <is>
          <t>I</t>
        </is>
      </c>
      <c r="C4798" s="12" t="inlineStr">
        <is>
          <t>Modular / portable power</t>
        </is>
      </c>
      <c r="D4798" s="12" t="inlineStr">
        <is>
          <t>Home run JB-RICE 8 radiators (-AI01 to the control / marshalling room</t>
        </is>
      </c>
      <c r="E4798" s="12" t="inlineStr"/>
      <c r="F4798" s="12" t="inlineStr">
        <is>
          <t>PCM: power control module</t>
        </is>
      </c>
      <c r="G4798" s="12" t="inlineStr">
        <is>
          <t>JB-RICE 8 radiators (-AI01</t>
        </is>
      </c>
      <c r="H4798" s="12" t="inlineStr">
        <is>
          <t>RICE 8 radiators (5)</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5" t="n">
        <v>0</v>
      </c>
      <c r="U4798" s="15" t="n">
        <v>94</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I-I-0197</t>
        </is>
      </c>
      <c r="B4799" s="12" t="inlineStr">
        <is>
          <t>I</t>
        </is>
      </c>
      <c r="C4799" s="12" t="inlineStr">
        <is>
          <t>Modular / portable power</t>
        </is>
      </c>
      <c r="D4799" s="12" t="inlineStr">
        <is>
          <t>Discrete device to JB JB-RICE 8 radiators (-DI01: 10 x 1 pr (field cables)</t>
        </is>
      </c>
      <c r="E4799" s="12" t="inlineStr"/>
      <c r="F4799" s="12" t="inlineStr">
        <is>
          <t>RICE 8 radiators (5)</t>
        </is>
      </c>
      <c r="G4799" s="12" t="inlineStr">
        <is>
          <t>JB-RICE 8 radiators (-DI01</t>
        </is>
      </c>
      <c r="H4799" s="12" t="inlineStr">
        <is>
          <t>RICE 8 radiators (5)</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5" t="n">
        <v>80</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I-I-0198</t>
        </is>
      </c>
      <c r="B4800" s="12" t="inlineStr">
        <is>
          <t>I</t>
        </is>
      </c>
      <c r="C4800" s="12" t="inlineStr">
        <is>
          <t>Modular / portable power</t>
        </is>
      </c>
      <c r="D4800" s="12" t="inlineStr">
        <is>
          <t>Home run JB-RICE 8 radiators (-DI01 to the control / marshalling room</t>
        </is>
      </c>
      <c r="E4800" s="12" t="inlineStr"/>
      <c r="F4800" s="12" t="inlineStr">
        <is>
          <t>PCM: power control module</t>
        </is>
      </c>
      <c r="G4800" s="12" t="inlineStr">
        <is>
          <t>JB-RICE 8 radiators (-DI01</t>
        </is>
      </c>
      <c r="H4800" s="12" t="inlineStr">
        <is>
          <t>RICE 8 radiators (5)</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5" t="n">
        <v>0</v>
      </c>
      <c r="U4800" s="15" t="n">
        <v>94</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I-I-0199</t>
        </is>
      </c>
      <c r="B4801" s="12" t="inlineStr">
        <is>
          <t>I</t>
        </is>
      </c>
      <c r="C4801" s="12" t="inlineStr">
        <is>
          <t>Modular / portable power</t>
        </is>
      </c>
      <c r="D4801" s="12" t="inlineStr">
        <is>
          <t>Instrumentation</t>
        </is>
      </c>
      <c r="E4801" s="12" t="inlineStr"/>
      <c r="F4801" s="12" t="inlineStr">
        <is>
          <t>PCM: power control module</t>
        </is>
      </c>
      <c r="G4801" s="12" t="inlineStr">
        <is>
          <t>RICE</t>
        </is>
      </c>
      <c r="H4801" s="12" t="inlineStr">
        <is>
          <t>RICE engine hall (8 engines)</t>
        </is>
      </c>
      <c r="I4801" s="12" t="inlineStr">
        <is>
          <t>Instrumentation</t>
        </is>
      </c>
      <c r="J4801" s="12" t="inlineStr">
        <is>
          <t>Instrumentation PLTC / TC-ER 300 V, #18 twisted shielded pairs, overall shield</t>
        </is>
      </c>
      <c r="K4801" s="12" t="inlineStr">
        <is>
          <t>PLTC|4 pr|18</t>
        </is>
      </c>
      <c r="L4801" s="12" t="inlineStr">
        <is>
          <t>4 pr</t>
        </is>
      </c>
      <c r="M4801" s="12" t="inlineStr">
        <is>
          <t>18</t>
        </is>
      </c>
      <c r="N4801" s="12" t="n">
        <v>1</v>
      </c>
      <c r="O4801" s="12" t="n">
        <v>1</v>
      </c>
      <c r="P4801" s="12" t="n"/>
      <c r="Q4801" s="12" t="n"/>
      <c r="R4801" s="12" t="n"/>
      <c r="S4801" s="12" t="inlineStr">
        <is>
          <t>Duct bank</t>
        </is>
      </c>
      <c r="T4801" s="15" t="n">
        <v>57</v>
      </c>
      <c r="U4801" s="15" t="n">
        <v>83</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I-I-0200</t>
        </is>
      </c>
      <c r="B4802" s="12" t="inlineStr">
        <is>
          <t>I</t>
        </is>
      </c>
      <c r="C4802" s="12" t="inlineStr">
        <is>
          <t>Modular / portable power</t>
        </is>
      </c>
      <c r="D4802" s="12" t="inlineStr">
        <is>
          <t>Instrumentation</t>
        </is>
      </c>
      <c r="E4802" s="12" t="inlineStr"/>
      <c r="F4802" s="12" t="inlineStr">
        <is>
          <t>PCM: power control module</t>
        </is>
      </c>
      <c r="G4802" s="12" t="inlineStr">
        <is>
          <t>RICE</t>
        </is>
      </c>
      <c r="H4802" s="12" t="inlineStr">
        <is>
          <t>RICE engine hall (8 engines)</t>
        </is>
      </c>
      <c r="I4802" s="12" t="inlineStr">
        <is>
          <t>Instrumentation</t>
        </is>
      </c>
      <c r="J4802" s="12" t="inlineStr">
        <is>
          <t>Instrumentation PLTC / TC-ER 300 V, #18 twisted shielded pairs, overall shield</t>
        </is>
      </c>
      <c r="K4802" s="12" t="inlineStr">
        <is>
          <t>PLTC|4 pr|18</t>
        </is>
      </c>
      <c r="L4802" s="12" t="inlineStr">
        <is>
          <t>4 pr</t>
        </is>
      </c>
      <c r="M4802" s="12" t="inlineStr">
        <is>
          <t>18</t>
        </is>
      </c>
      <c r="N4802" s="12" t="n">
        <v>1</v>
      </c>
      <c r="O4802" s="12" t="n">
        <v>1</v>
      </c>
      <c r="P4802" s="12" t="n"/>
      <c r="Q4802" s="12" t="n"/>
      <c r="R4802" s="12" t="n"/>
      <c r="S4802" s="12" t="inlineStr">
        <is>
          <t>Duct bank</t>
        </is>
      </c>
      <c r="T4802" s="15" t="n">
        <v>57</v>
      </c>
      <c r="U4802" s="15" t="n">
        <v>83</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I-I-0201</t>
        </is>
      </c>
      <c r="B4803" s="12" t="inlineStr">
        <is>
          <t>I</t>
        </is>
      </c>
      <c r="C4803" s="12" t="inlineStr">
        <is>
          <t>Modular / portable power</t>
        </is>
      </c>
      <c r="D4803" s="12" t="inlineStr">
        <is>
          <t>Instrumentation</t>
        </is>
      </c>
      <c r="E4803" s="12" t="inlineStr"/>
      <c r="F4803" s="12" t="inlineStr">
        <is>
          <t>PCM: power control module</t>
        </is>
      </c>
      <c r="G4803" s="12" t="inlineStr">
        <is>
          <t>RICE</t>
        </is>
      </c>
      <c r="H4803" s="12" t="inlineStr">
        <is>
          <t>RICE engine hall (8 engines)</t>
        </is>
      </c>
      <c r="I4803" s="12" t="inlineStr">
        <is>
          <t>Instrumentation</t>
        </is>
      </c>
      <c r="J4803" s="12" t="inlineStr">
        <is>
          <t>Instrumentation PLTC / TC-ER 300 V, #18 twisted shielded pairs, overall shield</t>
        </is>
      </c>
      <c r="K4803" s="12" t="inlineStr">
        <is>
          <t>PLTC|12 pr|18</t>
        </is>
      </c>
      <c r="L4803" s="12" t="inlineStr">
        <is>
          <t>12 pr</t>
        </is>
      </c>
      <c r="M4803" s="12" t="inlineStr">
        <is>
          <t>18</t>
        </is>
      </c>
      <c r="N4803" s="12" t="n">
        <v>1</v>
      </c>
      <c r="O4803" s="12" t="n">
        <v>1</v>
      </c>
      <c r="P4803" s="12" t="n"/>
      <c r="Q4803" s="12" t="n"/>
      <c r="R4803" s="12" t="n"/>
      <c r="S4803" s="12" t="inlineStr">
        <is>
          <t>Duct bank</t>
        </is>
      </c>
      <c r="T4803" s="15" t="n">
        <v>57</v>
      </c>
      <c r="U4803" s="15" t="n">
        <v>83</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I-I-0202</t>
        </is>
      </c>
      <c r="B4804" s="12" t="inlineStr">
        <is>
          <t>I</t>
        </is>
      </c>
      <c r="C4804" s="12" t="inlineStr">
        <is>
          <t>Modular / portable power</t>
        </is>
      </c>
      <c r="D4804" s="12" t="inlineStr">
        <is>
          <t>Instrumentation</t>
        </is>
      </c>
      <c r="E4804" s="12" t="inlineStr"/>
      <c r="F4804" s="12" t="inlineStr">
        <is>
          <t>PCM: power control module</t>
        </is>
      </c>
      <c r="G4804" s="12" t="inlineStr">
        <is>
          <t>RICE</t>
        </is>
      </c>
      <c r="H4804" s="12" t="inlineStr">
        <is>
          <t>RICE engine hall (8 engines)</t>
        </is>
      </c>
      <c r="I4804" s="12" t="inlineStr">
        <is>
          <t>Instrumentation</t>
        </is>
      </c>
      <c r="J4804" s="12" t="inlineStr">
        <is>
          <t>Instrumentation PLTC / TC-ER 300 V, #18 twisted shielded pairs, overall shield</t>
        </is>
      </c>
      <c r="K4804" s="12" t="inlineStr">
        <is>
          <t>PLTC|12 pr|18</t>
        </is>
      </c>
      <c r="L4804" s="12" t="inlineStr">
        <is>
          <t>12 pr</t>
        </is>
      </c>
      <c r="M4804" s="12" t="inlineStr">
        <is>
          <t>18</t>
        </is>
      </c>
      <c r="N4804" s="12" t="n">
        <v>1</v>
      </c>
      <c r="O4804" s="12" t="n">
        <v>1</v>
      </c>
      <c r="P4804" s="12" t="n"/>
      <c r="Q4804" s="12" t="n"/>
      <c r="R4804" s="12" t="n"/>
      <c r="S4804" s="12" t="inlineStr">
        <is>
          <t>Duct bank</t>
        </is>
      </c>
      <c r="T4804" s="15" t="n">
        <v>57</v>
      </c>
      <c r="U4804" s="15" t="n">
        <v>83</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I-I-0203</t>
        </is>
      </c>
      <c r="B4805" s="12" t="inlineStr">
        <is>
          <t>I</t>
        </is>
      </c>
      <c r="C4805" s="12" t="inlineStr">
        <is>
          <t>Modular / portable power</t>
        </is>
      </c>
      <c r="D4805" s="12" t="inlineStr">
        <is>
          <t>Instrumentation</t>
        </is>
      </c>
      <c r="E4805" s="12" t="inlineStr"/>
      <c r="F4805" s="12" t="inlineStr">
        <is>
          <t>PCM: power control module</t>
        </is>
      </c>
      <c r="G4805" s="12" t="inlineStr">
        <is>
          <t>RICE</t>
        </is>
      </c>
      <c r="H4805" s="12" t="inlineStr">
        <is>
          <t>RICE engine hall (8 engines)</t>
        </is>
      </c>
      <c r="I4805" s="12" t="inlineStr">
        <is>
          <t>Instrumentation</t>
        </is>
      </c>
      <c r="J4805" s="12" t="inlineStr">
        <is>
          <t>Instrumentation PLTC / TC-ER 300 V, #18 twisted shielded pairs, overall shield</t>
        </is>
      </c>
      <c r="K4805" s="12" t="inlineStr">
        <is>
          <t>PLTC|12 pr|18</t>
        </is>
      </c>
      <c r="L4805" s="12" t="inlineStr">
        <is>
          <t>12 pr</t>
        </is>
      </c>
      <c r="M4805" s="12" t="inlineStr">
        <is>
          <t>18</t>
        </is>
      </c>
      <c r="N4805" s="12" t="n">
        <v>1</v>
      </c>
      <c r="O4805" s="12" t="n">
        <v>1</v>
      </c>
      <c r="P4805" s="12" t="n"/>
      <c r="Q4805" s="12" t="n"/>
      <c r="R4805" s="12" t="n"/>
      <c r="S4805" s="12" t="inlineStr">
        <is>
          <t>Duct bank</t>
        </is>
      </c>
      <c r="T4805" s="15" t="n">
        <v>57</v>
      </c>
      <c r="U4805" s="15" t="n">
        <v>83</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I-I-0204</t>
        </is>
      </c>
      <c r="B4806" s="12" t="inlineStr">
        <is>
          <t>I</t>
        </is>
      </c>
      <c r="C4806" s="12" t="inlineStr">
        <is>
          <t>Modular / portable power</t>
        </is>
      </c>
      <c r="D4806" s="12" t="inlineStr">
        <is>
          <t>Instrumentation</t>
        </is>
      </c>
      <c r="E4806" s="12" t="inlineStr"/>
      <c r="F4806" s="12" t="inlineStr">
        <is>
          <t>PCM: power control module</t>
        </is>
      </c>
      <c r="G4806" s="12" t="inlineStr">
        <is>
          <t>RICE</t>
        </is>
      </c>
      <c r="H4806" s="12" t="inlineStr">
        <is>
          <t>RICE engine hall (8 engines)</t>
        </is>
      </c>
      <c r="I4806" s="12" t="inlineStr">
        <is>
          <t>Instrumentation</t>
        </is>
      </c>
      <c r="J4806" s="12" t="inlineStr">
        <is>
          <t>Instrumentation PLTC / TC-ER 300 V, #18 twisted shielded pairs, overall shield</t>
        </is>
      </c>
      <c r="K4806" s="12" t="inlineStr">
        <is>
          <t>PLTC|12 pr|18</t>
        </is>
      </c>
      <c r="L4806" s="12" t="inlineStr">
        <is>
          <t>12 pr</t>
        </is>
      </c>
      <c r="M4806" s="12" t="inlineStr">
        <is>
          <t>18</t>
        </is>
      </c>
      <c r="N4806" s="12" t="n">
        <v>1</v>
      </c>
      <c r="O4806" s="12" t="n">
        <v>1</v>
      </c>
      <c r="P4806" s="12" t="n"/>
      <c r="Q4806" s="12" t="n"/>
      <c r="R4806" s="12" t="n"/>
      <c r="S4806" s="12" t="inlineStr">
        <is>
          <t>Duct bank</t>
        </is>
      </c>
      <c r="T4806" s="15" t="n">
        <v>57</v>
      </c>
      <c r="U4806" s="15" t="n">
        <v>83</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I-I-0205</t>
        </is>
      </c>
      <c r="B4807" s="12" t="inlineStr">
        <is>
          <t>I</t>
        </is>
      </c>
      <c r="C4807" s="12" t="inlineStr">
        <is>
          <t>Modular / portable power</t>
        </is>
      </c>
      <c r="D4807" s="12" t="inlineStr">
        <is>
          <t>Instrumentation</t>
        </is>
      </c>
      <c r="E4807" s="12" t="inlineStr"/>
      <c r="F4807" s="12" t="inlineStr">
        <is>
          <t>PCM: power control module</t>
        </is>
      </c>
      <c r="G4807" s="12" t="inlineStr">
        <is>
          <t>RICE</t>
        </is>
      </c>
      <c r="H4807" s="12" t="inlineStr">
        <is>
          <t>RICE engine hall (8 engines)</t>
        </is>
      </c>
      <c r="I4807" s="12" t="inlineStr">
        <is>
          <t>Instrumentation</t>
        </is>
      </c>
      <c r="J4807" s="12" t="inlineStr">
        <is>
          <t>Instrumentation PLTC / TC-ER 300 V, #18 twisted shielded pairs, overall shield</t>
        </is>
      </c>
      <c r="K4807" s="12" t="inlineStr">
        <is>
          <t>PLTC|12 pr|18</t>
        </is>
      </c>
      <c r="L4807" s="12" t="inlineStr">
        <is>
          <t>12 pr</t>
        </is>
      </c>
      <c r="M4807" s="12" t="inlineStr">
        <is>
          <t>18</t>
        </is>
      </c>
      <c r="N4807" s="12" t="n">
        <v>1</v>
      </c>
      <c r="O4807" s="12" t="n">
        <v>1</v>
      </c>
      <c r="P4807" s="12" t="n"/>
      <c r="Q4807" s="12" t="n"/>
      <c r="R4807" s="12" t="n"/>
      <c r="S4807" s="12" t="inlineStr">
        <is>
          <t>Duct bank</t>
        </is>
      </c>
      <c r="T4807" s="15" t="n">
        <v>57</v>
      </c>
      <c r="U4807" s="15" t="n">
        <v>83</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I-I-0206</t>
        </is>
      </c>
      <c r="B4808" s="12" t="inlineStr">
        <is>
          <t>I</t>
        </is>
      </c>
      <c r="C4808" s="12" t="inlineStr">
        <is>
          <t>Modular / portable power</t>
        </is>
      </c>
      <c r="D4808" s="12" t="inlineStr">
        <is>
          <t>Instrumentation</t>
        </is>
      </c>
      <c r="E4808" s="12" t="inlineStr"/>
      <c r="F4808" s="12" t="inlineStr">
        <is>
          <t>PCM: power control module</t>
        </is>
      </c>
      <c r="G4808" s="12" t="inlineStr">
        <is>
          <t>RICE</t>
        </is>
      </c>
      <c r="H4808" s="12" t="inlineStr">
        <is>
          <t>RICE engine hall (8 engines)</t>
        </is>
      </c>
      <c r="I4808" s="12" t="inlineStr">
        <is>
          <t>Instrumentation</t>
        </is>
      </c>
      <c r="J4808" s="12" t="inlineStr">
        <is>
          <t>Instrumentation PLTC / TC-ER 300 V, #18 twisted shielded pairs, overall shield</t>
        </is>
      </c>
      <c r="K4808" s="12" t="inlineStr">
        <is>
          <t>PLTC|12 pr|18</t>
        </is>
      </c>
      <c r="L4808" s="12" t="inlineStr">
        <is>
          <t>12 pr</t>
        </is>
      </c>
      <c r="M4808" s="12" t="inlineStr">
        <is>
          <t>18</t>
        </is>
      </c>
      <c r="N4808" s="12" t="n">
        <v>1</v>
      </c>
      <c r="O4808" s="12" t="n">
        <v>1</v>
      </c>
      <c r="P4808" s="12" t="n"/>
      <c r="Q4808" s="12" t="n"/>
      <c r="R4808" s="12" t="n"/>
      <c r="S4808" s="12" t="inlineStr">
        <is>
          <t>Duct bank</t>
        </is>
      </c>
      <c r="T4808" s="15" t="n">
        <v>57</v>
      </c>
      <c r="U4808" s="15" t="n">
        <v>83</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I-I-0207</t>
        </is>
      </c>
      <c r="B4809" s="12" t="inlineStr">
        <is>
          <t>I</t>
        </is>
      </c>
      <c r="C4809" s="12" t="inlineStr">
        <is>
          <t>Modular / portable power</t>
        </is>
      </c>
      <c r="D4809" s="12" t="inlineStr">
        <is>
          <t>Instrumentation</t>
        </is>
      </c>
      <c r="E4809" s="12" t="inlineStr"/>
      <c r="F4809" s="12" t="inlineStr">
        <is>
          <t>PCM: power control module</t>
        </is>
      </c>
      <c r="G4809" s="12" t="inlineStr">
        <is>
          <t>RICE</t>
        </is>
      </c>
      <c r="H4809" s="12" t="inlineStr">
        <is>
          <t>RICE engine hall (8 engines)</t>
        </is>
      </c>
      <c r="I4809" s="12" t="inlineStr">
        <is>
          <t>Instrumentation</t>
        </is>
      </c>
      <c r="J4809" s="12" t="inlineStr">
        <is>
          <t>Instrumentation PLTC / TC-ER 300 V, #18 twisted shielded pairs, overall shield</t>
        </is>
      </c>
      <c r="K4809" s="12" t="inlineStr">
        <is>
          <t>PLTC|12 pr|18</t>
        </is>
      </c>
      <c r="L4809" s="12" t="inlineStr">
        <is>
          <t>12 pr</t>
        </is>
      </c>
      <c r="M4809" s="12" t="inlineStr">
        <is>
          <t>18</t>
        </is>
      </c>
      <c r="N4809" s="12" t="n">
        <v>1</v>
      </c>
      <c r="O4809" s="12" t="n">
        <v>1</v>
      </c>
      <c r="P4809" s="12" t="n"/>
      <c r="Q4809" s="12" t="n"/>
      <c r="R4809" s="12" t="n"/>
      <c r="S4809" s="12" t="inlineStr">
        <is>
          <t>Duct bank</t>
        </is>
      </c>
      <c r="T4809" s="15" t="n">
        <v>57</v>
      </c>
      <c r="U4809" s="15" t="n">
        <v>83</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I-I-0208</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PLTC|12 pr|18</t>
        </is>
      </c>
      <c r="L4810" s="12" t="inlineStr">
        <is>
          <t>12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I-I-0209</t>
        </is>
      </c>
      <c r="B4811" s="12" t="inlineStr">
        <is>
          <t>I</t>
        </is>
      </c>
      <c r="C4811" s="12" t="inlineStr">
        <is>
          <t>Modular / portable power</t>
        </is>
      </c>
      <c r="D4811" s="12" t="inlineStr">
        <is>
          <t>Thermocouples</t>
        </is>
      </c>
      <c r="E4811" s="12" t="inlineStr"/>
      <c r="F4811" s="12" t="inlineStr">
        <is>
          <t>PCM: power control module</t>
        </is>
      </c>
      <c r="G4811" s="12" t="inlineStr">
        <is>
          <t>RICE</t>
        </is>
      </c>
      <c r="H4811" s="12" t="inlineStr">
        <is>
          <t>RICE engine hall (8 engines)</t>
        </is>
      </c>
      <c r="I4811" s="12" t="inlineStr">
        <is>
          <t>Instrumentation</t>
        </is>
      </c>
      <c r="J4811" s="12" t="inlineStr">
        <is>
          <t>Thermocouple extension KX, #16 shielded pairs, PLTC</t>
        </is>
      </c>
      <c r="K4811" s="12" t="inlineStr">
        <is>
          <t>TCX|12 pr|16</t>
        </is>
      </c>
      <c r="L4811" s="12" t="inlineStr">
        <is>
          <t>12 pr</t>
        </is>
      </c>
      <c r="M4811" s="12" t="inlineStr">
        <is>
          <t>16</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I-I-0210</t>
        </is>
      </c>
      <c r="B4812" s="12" t="inlineStr">
        <is>
          <t>I</t>
        </is>
      </c>
      <c r="C4812" s="12" t="inlineStr">
        <is>
          <t>Modular / portable power</t>
        </is>
      </c>
      <c r="D4812" s="12" t="inlineStr">
        <is>
          <t>Thermocouples</t>
        </is>
      </c>
      <c r="E4812" s="12" t="inlineStr"/>
      <c r="F4812" s="12" t="inlineStr">
        <is>
          <t>PCM: power control module</t>
        </is>
      </c>
      <c r="G4812" s="12" t="inlineStr">
        <is>
          <t>RICE</t>
        </is>
      </c>
      <c r="H4812" s="12" t="inlineStr">
        <is>
          <t>RICE engine hall (8 engines)</t>
        </is>
      </c>
      <c r="I4812" s="12" t="inlineStr">
        <is>
          <t>Instrumentation</t>
        </is>
      </c>
      <c r="J4812" s="12" t="inlineStr">
        <is>
          <t>Thermocouple extension KX, #16 shielded pairs, PLTC</t>
        </is>
      </c>
      <c r="K4812" s="12" t="inlineStr">
        <is>
          <t>TCX|12 pr|16</t>
        </is>
      </c>
      <c r="L4812" s="12" t="inlineStr">
        <is>
          <t>12 pr</t>
        </is>
      </c>
      <c r="M4812" s="12" t="inlineStr">
        <is>
          <t>16</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I-I-0211</t>
        </is>
      </c>
      <c r="B4813" s="12" t="inlineStr">
        <is>
          <t>I</t>
        </is>
      </c>
      <c r="C4813" s="12" t="inlineStr">
        <is>
          <t>Modular / portable power</t>
        </is>
      </c>
      <c r="D4813" s="12" t="inlineStr">
        <is>
          <t>Thermocouples</t>
        </is>
      </c>
      <c r="E4813" s="12" t="inlineStr"/>
      <c r="F4813" s="12" t="inlineStr">
        <is>
          <t>PCM: power control module</t>
        </is>
      </c>
      <c r="G4813" s="12" t="inlineStr">
        <is>
          <t>RICE</t>
        </is>
      </c>
      <c r="H4813" s="12" t="inlineStr">
        <is>
          <t>RICE engine hall (8 engines)</t>
        </is>
      </c>
      <c r="I4813" s="12" t="inlineStr">
        <is>
          <t>Instrumentation</t>
        </is>
      </c>
      <c r="J4813" s="12" t="inlineStr">
        <is>
          <t>Thermocouple extension KX, #16 shielded pairs, PLTC</t>
        </is>
      </c>
      <c r="K4813" s="12" t="inlineStr">
        <is>
          <t>TCX|12 pr|16</t>
        </is>
      </c>
      <c r="L4813" s="12" t="inlineStr">
        <is>
          <t>12 pr</t>
        </is>
      </c>
      <c r="M4813" s="12" t="inlineStr">
        <is>
          <t>16</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I-I-0212</t>
        </is>
      </c>
      <c r="B4814" s="12" t="inlineStr">
        <is>
          <t>I</t>
        </is>
      </c>
      <c r="C4814" s="12" t="inlineStr">
        <is>
          <t>Modular / portable power</t>
        </is>
      </c>
      <c r="D4814" s="12" t="inlineStr">
        <is>
          <t>Thermocouples</t>
        </is>
      </c>
      <c r="E4814" s="12" t="inlineStr"/>
      <c r="F4814" s="12" t="inlineStr">
        <is>
          <t>PCM: power control module</t>
        </is>
      </c>
      <c r="G4814" s="12" t="inlineStr">
        <is>
          <t>RICE</t>
        </is>
      </c>
      <c r="H4814" s="12" t="inlineStr">
        <is>
          <t>RICE engine hall (8 engines)</t>
        </is>
      </c>
      <c r="I4814" s="12" t="inlineStr">
        <is>
          <t>Instrumentation</t>
        </is>
      </c>
      <c r="J4814" s="12" t="inlineStr">
        <is>
          <t>Thermocouple extension KX, #16 shielded pairs, PLTC</t>
        </is>
      </c>
      <c r="K4814" s="12" t="inlineStr">
        <is>
          <t>TCX|12 pr|16</t>
        </is>
      </c>
      <c r="L4814" s="12" t="inlineStr">
        <is>
          <t>12 pr</t>
        </is>
      </c>
      <c r="M4814" s="12" t="inlineStr">
        <is>
          <t>16</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I-I-0213</t>
        </is>
      </c>
      <c r="B4815" s="12" t="inlineStr">
        <is>
          <t>I</t>
        </is>
      </c>
      <c r="C4815" s="12" t="inlineStr">
        <is>
          <t>Modular / portable power</t>
        </is>
      </c>
      <c r="D4815" s="12" t="inlineStr">
        <is>
          <t>Thermocouples</t>
        </is>
      </c>
      <c r="E4815" s="12" t="inlineStr"/>
      <c r="F4815" s="12" t="inlineStr">
        <is>
          <t>PCM: power control module</t>
        </is>
      </c>
      <c r="G4815" s="12" t="inlineStr">
        <is>
          <t>RICE</t>
        </is>
      </c>
      <c r="H4815" s="12" t="inlineStr">
        <is>
          <t>RICE engine hall (8 engines)</t>
        </is>
      </c>
      <c r="I4815" s="12" t="inlineStr">
        <is>
          <t>Instrumentation</t>
        </is>
      </c>
      <c r="J4815" s="12" t="inlineStr">
        <is>
          <t>Thermocouple extension KX, #16 shielded pairs, PLTC</t>
        </is>
      </c>
      <c r="K4815" s="12" t="inlineStr">
        <is>
          <t>TCX|12 pr|16</t>
        </is>
      </c>
      <c r="L4815" s="12" t="inlineStr">
        <is>
          <t>12 pr</t>
        </is>
      </c>
      <c r="M4815" s="12" t="inlineStr">
        <is>
          <t>16</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I-I-0214</t>
        </is>
      </c>
      <c r="B4816" s="12" t="inlineStr">
        <is>
          <t>I</t>
        </is>
      </c>
      <c r="C4816" s="12" t="inlineStr">
        <is>
          <t>Modular / portable power</t>
        </is>
      </c>
      <c r="D4816" s="12" t="inlineStr">
        <is>
          <t>Thermocouples</t>
        </is>
      </c>
      <c r="E4816" s="12" t="inlineStr"/>
      <c r="F4816" s="12" t="inlineStr">
        <is>
          <t>PCM: power control module</t>
        </is>
      </c>
      <c r="G4816" s="12" t="inlineStr">
        <is>
          <t>RICE</t>
        </is>
      </c>
      <c r="H4816" s="12" t="inlineStr">
        <is>
          <t>RICE engine hall (8 engines)</t>
        </is>
      </c>
      <c r="I4816" s="12" t="inlineStr">
        <is>
          <t>Instrumentation</t>
        </is>
      </c>
      <c r="J4816" s="12" t="inlineStr">
        <is>
          <t>Thermocouple extension KX, #16 shielded pairs, PLTC</t>
        </is>
      </c>
      <c r="K4816" s="12" t="inlineStr">
        <is>
          <t>TCX|12 pr|16</t>
        </is>
      </c>
      <c r="L4816" s="12" t="inlineStr">
        <is>
          <t>12 pr</t>
        </is>
      </c>
      <c r="M4816" s="12" t="inlineStr">
        <is>
          <t>16</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I-I-0215</t>
        </is>
      </c>
      <c r="B4817" s="12" t="inlineStr">
        <is>
          <t>I</t>
        </is>
      </c>
      <c r="C4817" s="12" t="inlineStr">
        <is>
          <t>Modular / portable power</t>
        </is>
      </c>
      <c r="D4817" s="12" t="inlineStr">
        <is>
          <t>Analog instrument to JB JB-RICE-1-AI01: 20 x 1 pr (field cables)</t>
        </is>
      </c>
      <c r="E4817" s="12" t="inlineStr">
        <is>
          <t>RICE-1</t>
        </is>
      </c>
      <c r="F4817" s="12" t="inlineStr">
        <is>
          <t>RICE engine-generator 1</t>
        </is>
      </c>
      <c r="G4817" s="12" t="inlineStr">
        <is>
          <t>JB-RICE-1-AI01</t>
        </is>
      </c>
      <c r="H4817" s="12" t="inlineStr">
        <is>
          <t>RICE engine-generator 1</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5" t="n">
        <v>72</v>
      </c>
      <c r="U4817" s="15" t="n">
        <v>10</v>
      </c>
      <c r="V4817" s="15">
        <f>ROUNDUP((T4817+U4817+2*'Read Me'!$B$13)*(1+'Read Me'!$B$12),-1)</f>
        <v/>
      </c>
      <c r="W4817" s="15">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I-I-0216</t>
        </is>
      </c>
      <c r="B4818" s="12" t="inlineStr">
        <is>
          <t>I</t>
        </is>
      </c>
      <c r="C4818" s="12" t="inlineStr">
        <is>
          <t>Modular / portable power</t>
        </is>
      </c>
      <c r="D4818" s="12" t="inlineStr">
        <is>
          <t>Home run JB-RICE-1-AI01 to the control / marshalling room</t>
        </is>
      </c>
      <c r="E4818" s="12" t="inlineStr"/>
      <c r="F4818" s="12" t="inlineStr">
        <is>
          <t>PCM: power control module</t>
        </is>
      </c>
      <c r="G4818" s="12" t="inlineStr">
        <is>
          <t>JB-RICE-1-AI01</t>
        </is>
      </c>
      <c r="H4818" s="12" t="inlineStr">
        <is>
          <t>RICE engine-generator 1</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5" t="n">
        <v>516</v>
      </c>
      <c r="U4818" s="15" t="n">
        <v>137</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I-I-0217</t>
        </is>
      </c>
      <c r="B4819" s="12" t="inlineStr">
        <is>
          <t>I</t>
        </is>
      </c>
      <c r="C4819" s="12" t="inlineStr">
        <is>
          <t>Modular / portable power</t>
        </is>
      </c>
      <c r="D4819" s="12" t="inlineStr">
        <is>
          <t>Analog instrument to JB JB-RICE-1-AI02: 20 x 1 pr (field cables)</t>
        </is>
      </c>
      <c r="E4819" s="12" t="inlineStr">
        <is>
          <t>RICE-1</t>
        </is>
      </c>
      <c r="F4819" s="12" t="inlineStr">
        <is>
          <t>RICE engine-generator 1</t>
        </is>
      </c>
      <c r="G4819" s="12" t="inlineStr">
        <is>
          <t>JB-RICE-1-AI02</t>
        </is>
      </c>
      <c r="H4819" s="12" t="inlineStr">
        <is>
          <t>RICE engine-generator 1</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5" t="n">
        <v>72</v>
      </c>
      <c r="U4819" s="15" t="n">
        <v>10</v>
      </c>
      <c r="V4819" s="15">
        <f>ROUNDUP((T4819+U4819+2*'Read Me'!$B$13)*(1+'Read Me'!$B$12),-1)</f>
        <v/>
      </c>
      <c r="W4819" s="15">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I-I-0218</t>
        </is>
      </c>
      <c r="B4820" s="12" t="inlineStr">
        <is>
          <t>I</t>
        </is>
      </c>
      <c r="C4820" s="12" t="inlineStr">
        <is>
          <t>Modular / portable power</t>
        </is>
      </c>
      <c r="D4820" s="12" t="inlineStr">
        <is>
          <t>Home run JB-RICE-1-AI02 to the control / marshalling room</t>
        </is>
      </c>
      <c r="E4820" s="12" t="inlineStr"/>
      <c r="F4820" s="12" t="inlineStr">
        <is>
          <t>PCM: power control module</t>
        </is>
      </c>
      <c r="G4820" s="12" t="inlineStr">
        <is>
          <t>JB-RICE-1-AI02</t>
        </is>
      </c>
      <c r="H4820" s="12" t="inlineStr">
        <is>
          <t>RICE engine-generator 1</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5" t="n">
        <v>516</v>
      </c>
      <c r="U4820" s="15" t="n">
        <v>137</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I-I-0219</t>
        </is>
      </c>
      <c r="B4821" s="12" t="inlineStr">
        <is>
          <t>I</t>
        </is>
      </c>
      <c r="C4821" s="12" t="inlineStr">
        <is>
          <t>Modular / portable power</t>
        </is>
      </c>
      <c r="D4821" s="12" t="inlineStr">
        <is>
          <t>Analog instrument to JB JB-RICE-1-AI03: 20 x 1 pr (field cables)</t>
        </is>
      </c>
      <c r="E4821" s="12" t="inlineStr">
        <is>
          <t>RICE-1</t>
        </is>
      </c>
      <c r="F4821" s="12" t="inlineStr">
        <is>
          <t>RICE engine-generator 1</t>
        </is>
      </c>
      <c r="G4821" s="12" t="inlineStr">
        <is>
          <t>JB-RICE-1-AI03</t>
        </is>
      </c>
      <c r="H4821" s="12" t="inlineStr">
        <is>
          <t>RICE engine-generator 1</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5" t="n">
        <v>72</v>
      </c>
      <c r="U4821" s="15" t="n">
        <v>10</v>
      </c>
      <c r="V4821" s="15">
        <f>ROUNDUP((T4821+U4821+2*'Read Me'!$B$13)*(1+'Read Me'!$B$12),-1)</f>
        <v/>
      </c>
      <c r="W4821" s="15">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I-I-0220</t>
        </is>
      </c>
      <c r="B4822" s="12" t="inlineStr">
        <is>
          <t>I</t>
        </is>
      </c>
      <c r="C4822" s="12" t="inlineStr">
        <is>
          <t>Modular / portable power</t>
        </is>
      </c>
      <c r="D4822" s="12" t="inlineStr">
        <is>
          <t>Home run JB-RICE-1-AI03 to the control / marshalling room</t>
        </is>
      </c>
      <c r="E4822" s="12" t="inlineStr"/>
      <c r="F4822" s="12" t="inlineStr">
        <is>
          <t>PCM: power control module</t>
        </is>
      </c>
      <c r="G4822" s="12" t="inlineStr">
        <is>
          <t>JB-RICE-1-AI03</t>
        </is>
      </c>
      <c r="H4822" s="12" t="inlineStr">
        <is>
          <t>RICE engine-generator 1</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5" t="n">
        <v>516</v>
      </c>
      <c r="U4822" s="15" t="n">
        <v>137</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I-I-0221</t>
        </is>
      </c>
      <c r="B4823" s="12" t="inlineStr">
        <is>
          <t>I</t>
        </is>
      </c>
      <c r="C4823" s="12" t="inlineStr">
        <is>
          <t>Modular / portable power</t>
        </is>
      </c>
      <c r="D4823" s="12" t="inlineStr">
        <is>
          <t>Analog instrument to JB JB-RICE-1-AI04: 20 x 1 pr (field cables)</t>
        </is>
      </c>
      <c r="E4823" s="12" t="inlineStr">
        <is>
          <t>RICE-1</t>
        </is>
      </c>
      <c r="F4823" s="12" t="inlineStr">
        <is>
          <t>RICE engine-generator 1</t>
        </is>
      </c>
      <c r="G4823" s="12" t="inlineStr">
        <is>
          <t>JB-RICE-1-AI04</t>
        </is>
      </c>
      <c r="H4823" s="12" t="inlineStr">
        <is>
          <t>RICE engine-generator 1</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5" t="n">
        <v>72</v>
      </c>
      <c r="U4823" s="15" t="n">
        <v>10</v>
      </c>
      <c r="V4823" s="15">
        <f>ROUNDUP((T4823+U4823+2*'Read Me'!$B$13)*(1+'Read Me'!$B$12),-1)</f>
        <v/>
      </c>
      <c r="W4823" s="15">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I-I-0222</t>
        </is>
      </c>
      <c r="B4824" s="12" t="inlineStr">
        <is>
          <t>I</t>
        </is>
      </c>
      <c r="C4824" s="12" t="inlineStr">
        <is>
          <t>Modular / portable power</t>
        </is>
      </c>
      <c r="D4824" s="12" t="inlineStr">
        <is>
          <t>Home run JB-RICE-1-AI04 to the control / marshalling room</t>
        </is>
      </c>
      <c r="E4824" s="12" t="inlineStr"/>
      <c r="F4824" s="12" t="inlineStr">
        <is>
          <t>PCM: power control module</t>
        </is>
      </c>
      <c r="G4824" s="12" t="inlineStr">
        <is>
          <t>JB-RICE-1-AI04</t>
        </is>
      </c>
      <c r="H4824" s="12" t="inlineStr">
        <is>
          <t>RICE engine-generator 1</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5" t="n">
        <v>516</v>
      </c>
      <c r="U4824" s="15" t="n">
        <v>137</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I-I-0223</t>
        </is>
      </c>
      <c r="B4825" s="12" t="inlineStr">
        <is>
          <t>I</t>
        </is>
      </c>
      <c r="C4825" s="12" t="inlineStr">
        <is>
          <t>Modular / portable power</t>
        </is>
      </c>
      <c r="D4825" s="12" t="inlineStr">
        <is>
          <t>Discrete device to JB JB-RICE-1-DI01: 20 x 1 pr (field cables)</t>
        </is>
      </c>
      <c r="E4825" s="12" t="inlineStr">
        <is>
          <t>RICE-1</t>
        </is>
      </c>
      <c r="F4825" s="12" t="inlineStr">
        <is>
          <t>RICE engine-generator 1</t>
        </is>
      </c>
      <c r="G4825" s="12" t="inlineStr">
        <is>
          <t>JB-RICE-1-DI01</t>
        </is>
      </c>
      <c r="H4825" s="12" t="inlineStr">
        <is>
          <t>RICE engine-generator 1</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5" t="n">
        <v>72</v>
      </c>
      <c r="U4825" s="15" t="n">
        <v>10</v>
      </c>
      <c r="V4825" s="15">
        <f>ROUNDUP((T4825+U4825+2*'Read Me'!$B$13)*(1+'Read Me'!$B$12),-1)</f>
        <v/>
      </c>
      <c r="W4825" s="15">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I-I-0224</t>
        </is>
      </c>
      <c r="B4826" s="12" t="inlineStr">
        <is>
          <t>I</t>
        </is>
      </c>
      <c r="C4826" s="12" t="inlineStr">
        <is>
          <t>Modular / portable power</t>
        </is>
      </c>
      <c r="D4826" s="12" t="inlineStr">
        <is>
          <t>Home run JB-RICE-1-DI01 to the control / marshalling room</t>
        </is>
      </c>
      <c r="E4826" s="12" t="inlineStr"/>
      <c r="F4826" s="12" t="inlineStr">
        <is>
          <t>PCM: power control module</t>
        </is>
      </c>
      <c r="G4826" s="12" t="inlineStr">
        <is>
          <t>JB-RICE-1-DI01</t>
        </is>
      </c>
      <c r="H4826" s="12" t="inlineStr">
        <is>
          <t>RICE engine-generator 1</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5" t="n">
        <v>516</v>
      </c>
      <c r="U4826" s="15" t="n">
        <v>137</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I-I-0225</t>
        </is>
      </c>
      <c r="B4827" s="12" t="inlineStr">
        <is>
          <t>I</t>
        </is>
      </c>
      <c r="C4827" s="12" t="inlineStr">
        <is>
          <t>Modular / portable power</t>
        </is>
      </c>
      <c r="D4827" s="12" t="inlineStr">
        <is>
          <t>Discrete device to JB JB-RICE-1-DI02: 20 x 1 pr (field cables)</t>
        </is>
      </c>
      <c r="E4827" s="12" t="inlineStr">
        <is>
          <t>RICE-1</t>
        </is>
      </c>
      <c r="F4827" s="12" t="inlineStr">
        <is>
          <t>RICE engine-generator 1</t>
        </is>
      </c>
      <c r="G4827" s="12" t="inlineStr">
        <is>
          <t>JB-RICE-1-DI02</t>
        </is>
      </c>
      <c r="H4827" s="12" t="inlineStr">
        <is>
          <t>RICE engine-generator 1</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5" t="n">
        <v>72</v>
      </c>
      <c r="U4827" s="15" t="n">
        <v>10</v>
      </c>
      <c r="V4827" s="15">
        <f>ROUNDUP((T4827+U4827+2*'Read Me'!$B$13)*(1+'Read Me'!$B$12),-1)</f>
        <v/>
      </c>
      <c r="W4827" s="15">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I-I-0226</t>
        </is>
      </c>
      <c r="B4828" s="12" t="inlineStr">
        <is>
          <t>I</t>
        </is>
      </c>
      <c r="C4828" s="12" t="inlineStr">
        <is>
          <t>Modular / portable power</t>
        </is>
      </c>
      <c r="D4828" s="12" t="inlineStr">
        <is>
          <t>Home run JB-RICE-1-DI02 to the control / marshalling room</t>
        </is>
      </c>
      <c r="E4828" s="12" t="inlineStr"/>
      <c r="F4828" s="12" t="inlineStr">
        <is>
          <t>PCM: power control module</t>
        </is>
      </c>
      <c r="G4828" s="12" t="inlineStr">
        <is>
          <t>JB-RICE-1-DI02</t>
        </is>
      </c>
      <c r="H4828" s="12" t="inlineStr">
        <is>
          <t>RICE engine-generator 1</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5" t="n">
        <v>516</v>
      </c>
      <c r="U4828" s="15" t="n">
        <v>137</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I-I-0227</t>
        </is>
      </c>
      <c r="B4829" s="12" t="inlineStr">
        <is>
          <t>I</t>
        </is>
      </c>
      <c r="C4829" s="12" t="inlineStr">
        <is>
          <t>Modular / portable power</t>
        </is>
      </c>
      <c r="D4829" s="12" t="inlineStr">
        <is>
          <t>Discrete device to JB JB-RICE-1-DI03: 20 x 1 pr (field cables)</t>
        </is>
      </c>
      <c r="E4829" s="12" t="inlineStr">
        <is>
          <t>RICE-1</t>
        </is>
      </c>
      <c r="F4829" s="12" t="inlineStr">
        <is>
          <t>RICE engine-generator 1</t>
        </is>
      </c>
      <c r="G4829" s="12" t="inlineStr">
        <is>
          <t>JB-RICE-1-DI03</t>
        </is>
      </c>
      <c r="H4829" s="12" t="inlineStr">
        <is>
          <t>RICE engine-generator 1</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5" t="n">
        <v>72</v>
      </c>
      <c r="U4829" s="15" t="n">
        <v>10</v>
      </c>
      <c r="V4829" s="15">
        <f>ROUNDUP((T4829+U4829+2*'Read Me'!$B$13)*(1+'Read Me'!$B$12),-1)</f>
        <v/>
      </c>
      <c r="W4829" s="15">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I-I-0228</t>
        </is>
      </c>
      <c r="B4830" s="12" t="inlineStr">
        <is>
          <t>I</t>
        </is>
      </c>
      <c r="C4830" s="12" t="inlineStr">
        <is>
          <t>Modular / portable power</t>
        </is>
      </c>
      <c r="D4830" s="12" t="inlineStr">
        <is>
          <t>Home run JB-RICE-1-DI03 to the control / marshalling room</t>
        </is>
      </c>
      <c r="E4830" s="12" t="inlineStr"/>
      <c r="F4830" s="12" t="inlineStr">
        <is>
          <t>PCM: power control module</t>
        </is>
      </c>
      <c r="G4830" s="12" t="inlineStr">
        <is>
          <t>JB-RICE-1-DI03</t>
        </is>
      </c>
      <c r="H4830" s="12" t="inlineStr">
        <is>
          <t>RICE engine-generator 1</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5" t="n">
        <v>516</v>
      </c>
      <c r="U4830" s="15" t="n">
        <v>137</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I-I-0229</t>
        </is>
      </c>
      <c r="B4831" s="12" t="inlineStr">
        <is>
          <t>I</t>
        </is>
      </c>
      <c r="C4831" s="12" t="inlineStr">
        <is>
          <t>Modular / portable power</t>
        </is>
      </c>
      <c r="D4831" s="12" t="inlineStr">
        <is>
          <t>Thermocouple to TC JB JB-RICE-1-TC01: 20 x 1 pr (field cables)</t>
        </is>
      </c>
      <c r="E4831" s="12" t="inlineStr">
        <is>
          <t>RICE-1</t>
        </is>
      </c>
      <c r="F4831" s="12" t="inlineStr">
        <is>
          <t>RICE engine-generator 1</t>
        </is>
      </c>
      <c r="G4831" s="12" t="inlineStr">
        <is>
          <t>JB-RICE-1-TC01</t>
        </is>
      </c>
      <c r="H4831" s="12" t="inlineStr">
        <is>
          <t>RICE engine-generator 1</t>
        </is>
      </c>
      <c r="I4831" s="12" t="inlineStr">
        <is>
          <t>Instrumentation</t>
        </is>
      </c>
      <c r="J4831" s="12" t="inlineStr">
        <is>
          <t>Thermocouple extension KX, #16 shielded pairs, PLTC</t>
        </is>
      </c>
      <c r="K4831" s="12" t="inlineStr">
        <is>
          <t>TCX|1 pr|16</t>
        </is>
      </c>
      <c r="L4831" s="12" t="inlineStr">
        <is>
          <t>1 pr</t>
        </is>
      </c>
      <c r="M4831" s="12" t="inlineStr">
        <is>
          <t>16</t>
        </is>
      </c>
      <c r="N4831" s="12" t="n">
        <v>20</v>
      </c>
      <c r="O4831" s="12" t="n">
        <v>1</v>
      </c>
      <c r="P4831" s="12" t="n"/>
      <c r="Q4831" s="12" t="n"/>
      <c r="R4831" s="12" t="n"/>
      <c r="S4831" s="12" t="inlineStr">
        <is>
          <t>Tray / conduit</t>
        </is>
      </c>
      <c r="T4831" s="15" t="n">
        <v>72</v>
      </c>
      <c r="U4831" s="15" t="n">
        <v>10</v>
      </c>
      <c r="V4831" s="15">
        <f>ROUNDUP((T4831+U4831+2*'Read Me'!$B$13)*(1+'Read Me'!$B$12),-1)</f>
        <v/>
      </c>
      <c r="W4831" s="15">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I-I-0230</t>
        </is>
      </c>
      <c r="B4832" s="12" t="inlineStr">
        <is>
          <t>I</t>
        </is>
      </c>
      <c r="C4832" s="12" t="inlineStr">
        <is>
          <t>Modular / portable power</t>
        </is>
      </c>
      <c r="D4832" s="12" t="inlineStr">
        <is>
          <t>Home run JB-RICE-1-TC01 to the control / marshalling room</t>
        </is>
      </c>
      <c r="E4832" s="12" t="inlineStr"/>
      <c r="F4832" s="12" t="inlineStr">
        <is>
          <t>PCM: power control module</t>
        </is>
      </c>
      <c r="G4832" s="12" t="inlineStr">
        <is>
          <t>JB-RICE-1-TC01</t>
        </is>
      </c>
      <c r="H4832" s="12" t="inlineStr">
        <is>
          <t>RICE engine-generator 1</t>
        </is>
      </c>
      <c r="I4832" s="12" t="inlineStr">
        <is>
          <t>Instrumentation</t>
        </is>
      </c>
      <c r="J4832" s="12" t="inlineStr">
        <is>
          <t>Thermocouple extension KX, #16 shielded pairs, PLTC</t>
        </is>
      </c>
      <c r="K4832" s="12" t="inlineStr">
        <is>
          <t>TCX|24 pr|16</t>
        </is>
      </c>
      <c r="L4832" s="12" t="inlineStr">
        <is>
          <t>24 pr</t>
        </is>
      </c>
      <c r="M4832" s="12" t="inlineStr">
        <is>
          <t>16</t>
        </is>
      </c>
      <c r="N4832" s="12" t="n">
        <v>1</v>
      </c>
      <c r="O4832" s="12" t="n">
        <v>1</v>
      </c>
      <c r="P4832" s="12" t="n"/>
      <c r="Q4832" s="12" t="n"/>
      <c r="R4832" s="12" t="n"/>
      <c r="S4832" s="12" t="inlineStr">
        <is>
          <t>Duct bank</t>
        </is>
      </c>
      <c r="T4832" s="15" t="n">
        <v>516</v>
      </c>
      <c r="U4832" s="15" t="n">
        <v>137</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I-I-0231</t>
        </is>
      </c>
      <c r="B4833" s="12" t="inlineStr">
        <is>
          <t>I</t>
        </is>
      </c>
      <c r="C4833" s="12" t="inlineStr">
        <is>
          <t>Modular / portable power</t>
        </is>
      </c>
      <c r="D4833" s="12" t="inlineStr">
        <is>
          <t>Thermocouple to TC JB JB-RICE-1-TC02: 10 x 1 pr (field cables)</t>
        </is>
      </c>
      <c r="E4833" s="12" t="inlineStr">
        <is>
          <t>RICE-1</t>
        </is>
      </c>
      <c r="F4833" s="12" t="inlineStr">
        <is>
          <t>RICE engine-generator 1</t>
        </is>
      </c>
      <c r="G4833" s="12" t="inlineStr">
        <is>
          <t>JB-RICE-1-TC02</t>
        </is>
      </c>
      <c r="H4833" s="12" t="inlineStr">
        <is>
          <t>RICE engine-generator 1</t>
        </is>
      </c>
      <c r="I4833" s="12" t="inlineStr">
        <is>
          <t>Instrumentation</t>
        </is>
      </c>
      <c r="J4833" s="12" t="inlineStr">
        <is>
          <t>Thermocouple extension KX, #16 shielded pairs, PLTC</t>
        </is>
      </c>
      <c r="K4833" s="12" t="inlineStr">
        <is>
          <t>TCX|1 pr|16</t>
        </is>
      </c>
      <c r="L4833" s="12" t="inlineStr">
        <is>
          <t>1 pr</t>
        </is>
      </c>
      <c r="M4833" s="12" t="inlineStr">
        <is>
          <t>16</t>
        </is>
      </c>
      <c r="N4833" s="12" t="n">
        <v>10</v>
      </c>
      <c r="O4833" s="12" t="n">
        <v>1</v>
      </c>
      <c r="P4833" s="12" t="n"/>
      <c r="Q4833" s="12" t="n"/>
      <c r="R4833" s="12" t="n"/>
      <c r="S4833" s="12" t="inlineStr">
        <is>
          <t>Tray / conduit</t>
        </is>
      </c>
      <c r="T4833" s="15" t="n">
        <v>72</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I-I-0232</t>
        </is>
      </c>
      <c r="B4834" s="12" t="inlineStr">
        <is>
          <t>I</t>
        </is>
      </c>
      <c r="C4834" s="12" t="inlineStr">
        <is>
          <t>Modular / portable power</t>
        </is>
      </c>
      <c r="D4834" s="12" t="inlineStr">
        <is>
          <t>Home run JB-RICE-1-TC02 to the control / marshalling room</t>
        </is>
      </c>
      <c r="E4834" s="12" t="inlineStr"/>
      <c r="F4834" s="12" t="inlineStr">
        <is>
          <t>PCM: power control module</t>
        </is>
      </c>
      <c r="G4834" s="12" t="inlineStr">
        <is>
          <t>JB-RICE-1-TC02</t>
        </is>
      </c>
      <c r="H4834" s="12" t="inlineStr">
        <is>
          <t>RICE engine-generator 1</t>
        </is>
      </c>
      <c r="I4834" s="12" t="inlineStr">
        <is>
          <t>Instrumentation</t>
        </is>
      </c>
      <c r="J4834" s="12" t="inlineStr">
        <is>
          <t>Thermocouple extension KX, #16 shielded pairs, PLTC</t>
        </is>
      </c>
      <c r="K4834" s="12" t="inlineStr">
        <is>
          <t>TCX|24 pr|16</t>
        </is>
      </c>
      <c r="L4834" s="12" t="inlineStr">
        <is>
          <t>24 pr</t>
        </is>
      </c>
      <c r="M4834" s="12" t="inlineStr">
        <is>
          <t>16</t>
        </is>
      </c>
      <c r="N4834" s="12" t="n">
        <v>1</v>
      </c>
      <c r="O4834" s="12" t="n">
        <v>1</v>
      </c>
      <c r="P4834" s="12" t="n"/>
      <c r="Q4834" s="12" t="n"/>
      <c r="R4834" s="12" t="n"/>
      <c r="S4834" s="12" t="inlineStr">
        <is>
          <t>Duct bank</t>
        </is>
      </c>
      <c r="T4834" s="15" t="n">
        <v>516</v>
      </c>
      <c r="U4834" s="15" t="n">
        <v>137</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I-I-0233</t>
        </is>
      </c>
      <c r="B4835" s="12" t="inlineStr">
        <is>
          <t>I</t>
        </is>
      </c>
      <c r="C4835" s="12" t="inlineStr">
        <is>
          <t>Modular / portable power</t>
        </is>
      </c>
      <c r="D4835" s="12" t="inlineStr">
        <is>
          <t>RTD to JB JB-RICE-1-RTD01: 10 x 1 tri (field cables)</t>
        </is>
      </c>
      <c r="E4835" s="12" t="inlineStr">
        <is>
          <t>RICE-1</t>
        </is>
      </c>
      <c r="F4835" s="12" t="inlineStr">
        <is>
          <t>RICE engine-generator 1</t>
        </is>
      </c>
      <c r="G4835" s="12" t="inlineStr">
        <is>
          <t>JB-RICE-1-RTD01</t>
        </is>
      </c>
      <c r="H4835" s="12" t="inlineStr">
        <is>
          <t>RICE engine-generator 1</t>
        </is>
      </c>
      <c r="I4835" s="12" t="inlineStr">
        <is>
          <t>Instrumentation</t>
        </is>
      </c>
      <c r="J4835" s="12" t="inlineStr">
        <is>
          <t>RTD cable, #18 shielded triads, PLTC</t>
        </is>
      </c>
      <c r="K4835" s="12" t="inlineStr">
        <is>
          <t>RTD|1 tri|18</t>
        </is>
      </c>
      <c r="L4835" s="12" t="inlineStr">
        <is>
          <t>1 tri</t>
        </is>
      </c>
      <c r="M4835" s="12" t="inlineStr">
        <is>
          <t>18</t>
        </is>
      </c>
      <c r="N4835" s="12" t="n">
        <v>10</v>
      </c>
      <c r="O4835" s="12" t="n">
        <v>1</v>
      </c>
      <c r="P4835" s="12" t="n"/>
      <c r="Q4835" s="12" t="n"/>
      <c r="R4835" s="12" t="n"/>
      <c r="S4835" s="12" t="inlineStr">
        <is>
          <t>Tray / conduit</t>
        </is>
      </c>
      <c r="T4835" s="15" t="n">
        <v>72</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I-I-0234</t>
        </is>
      </c>
      <c r="B4836" s="12" t="inlineStr">
        <is>
          <t>I</t>
        </is>
      </c>
      <c r="C4836" s="12" t="inlineStr">
        <is>
          <t>Modular / portable power</t>
        </is>
      </c>
      <c r="D4836" s="12" t="inlineStr">
        <is>
          <t>Home run JB-RICE-1-RTD01 to the control / marshalling room</t>
        </is>
      </c>
      <c r="E4836" s="12" t="inlineStr"/>
      <c r="F4836" s="12" t="inlineStr">
        <is>
          <t>PCM: power control module</t>
        </is>
      </c>
      <c r="G4836" s="12" t="inlineStr">
        <is>
          <t>JB-RICE-1-RTD01</t>
        </is>
      </c>
      <c r="H4836" s="12" t="inlineStr">
        <is>
          <t>RICE engine-generator 1</t>
        </is>
      </c>
      <c r="I4836" s="12" t="inlineStr">
        <is>
          <t>Instrumentation</t>
        </is>
      </c>
      <c r="J4836" s="12" t="inlineStr">
        <is>
          <t>RTD cable, #18 shielded triads, PLTC</t>
        </is>
      </c>
      <c r="K4836" s="12" t="inlineStr">
        <is>
          <t>RTD|12 tri|18</t>
        </is>
      </c>
      <c r="L4836" s="12" t="inlineStr">
        <is>
          <t>12 tri</t>
        </is>
      </c>
      <c r="M4836" s="12" t="inlineStr">
        <is>
          <t>18</t>
        </is>
      </c>
      <c r="N4836" s="12" t="n">
        <v>1</v>
      </c>
      <c r="O4836" s="12" t="n">
        <v>1</v>
      </c>
      <c r="P4836" s="12" t="n"/>
      <c r="Q4836" s="12" t="n"/>
      <c r="R4836" s="12" t="n"/>
      <c r="S4836" s="12" t="inlineStr">
        <is>
          <t>Duct bank</t>
        </is>
      </c>
      <c r="T4836" s="15" t="n">
        <v>516</v>
      </c>
      <c r="U4836" s="15" t="n">
        <v>137</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I-I-0235</t>
        </is>
      </c>
      <c r="B4837" s="12" t="inlineStr">
        <is>
          <t>I</t>
        </is>
      </c>
      <c r="C4837" s="12" t="inlineStr">
        <is>
          <t>Modular / portable power</t>
        </is>
      </c>
      <c r="D4837" s="12" t="inlineStr">
        <is>
          <t>RTD to JB JB-RICE-1-RTD02: 2 x 1 tri (field cables)</t>
        </is>
      </c>
      <c r="E4837" s="12" t="inlineStr">
        <is>
          <t>RICE-1</t>
        </is>
      </c>
      <c r="F4837" s="12" t="inlineStr">
        <is>
          <t>RICE engine-generator 1</t>
        </is>
      </c>
      <c r="G4837" s="12" t="inlineStr">
        <is>
          <t>JB-RICE-1-RTD02</t>
        </is>
      </c>
      <c r="H4837" s="12" t="inlineStr">
        <is>
          <t>RICE engine-generator 1</t>
        </is>
      </c>
      <c r="I4837" s="12" t="inlineStr">
        <is>
          <t>Instrumentation</t>
        </is>
      </c>
      <c r="J4837" s="12" t="inlineStr">
        <is>
          <t>RTD cable, #18 shielded triads, PLTC</t>
        </is>
      </c>
      <c r="K4837" s="12" t="inlineStr">
        <is>
          <t>RTD|1 tri|18</t>
        </is>
      </c>
      <c r="L4837" s="12" t="inlineStr">
        <is>
          <t>1 tri</t>
        </is>
      </c>
      <c r="M4837" s="12" t="inlineStr">
        <is>
          <t>18</t>
        </is>
      </c>
      <c r="N4837" s="12" t="n">
        <v>2</v>
      </c>
      <c r="O4837" s="12" t="n">
        <v>1</v>
      </c>
      <c r="P4837" s="12" t="n"/>
      <c r="Q4837" s="12" t="n"/>
      <c r="R4837" s="12" t="n"/>
      <c r="S4837" s="12" t="inlineStr">
        <is>
          <t>Tray / conduit</t>
        </is>
      </c>
      <c r="T4837" s="15" t="n">
        <v>72</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I-I-0236</t>
        </is>
      </c>
      <c r="B4838" s="12" t="inlineStr">
        <is>
          <t>I</t>
        </is>
      </c>
      <c r="C4838" s="12" t="inlineStr">
        <is>
          <t>Modular / portable power</t>
        </is>
      </c>
      <c r="D4838" s="12" t="inlineStr">
        <is>
          <t>Home run JB-RICE-1-RTD02 to the control / marshalling room</t>
        </is>
      </c>
      <c r="E4838" s="12" t="inlineStr"/>
      <c r="F4838" s="12" t="inlineStr">
        <is>
          <t>PCM: power control module</t>
        </is>
      </c>
      <c r="G4838" s="12" t="inlineStr">
        <is>
          <t>JB-RICE-1-RTD02</t>
        </is>
      </c>
      <c r="H4838" s="12" t="inlineStr">
        <is>
          <t>RICE engine-generator 1</t>
        </is>
      </c>
      <c r="I4838" s="12" t="inlineStr">
        <is>
          <t>Instrumentation</t>
        </is>
      </c>
      <c r="J4838" s="12" t="inlineStr">
        <is>
          <t>RTD cable, #18 shielded triads, PLTC</t>
        </is>
      </c>
      <c r="K4838" s="12" t="inlineStr">
        <is>
          <t>RTD|12 tri|18</t>
        </is>
      </c>
      <c r="L4838" s="12" t="inlineStr">
        <is>
          <t>12 tri</t>
        </is>
      </c>
      <c r="M4838" s="12" t="inlineStr">
        <is>
          <t>18</t>
        </is>
      </c>
      <c r="N4838" s="12" t="n">
        <v>1</v>
      </c>
      <c r="O4838" s="12" t="n">
        <v>1</v>
      </c>
      <c r="P4838" s="12" t="n"/>
      <c r="Q4838" s="12" t="n"/>
      <c r="R4838" s="12" t="n"/>
      <c r="S4838" s="12" t="inlineStr">
        <is>
          <t>Duct bank</t>
        </is>
      </c>
      <c r="T4838" s="15" t="n">
        <v>516</v>
      </c>
      <c r="U4838" s="15" t="n">
        <v>137</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I-I-0237</t>
        </is>
      </c>
      <c r="B4839" s="12" t="inlineStr">
        <is>
          <t>I</t>
        </is>
      </c>
      <c r="C4839" s="12" t="inlineStr">
        <is>
          <t>Modular / portable power</t>
        </is>
      </c>
      <c r="D4839" s="12" t="inlineStr">
        <is>
          <t>Analog instrument to JB JB-RICE-2-AI01: 20 x 1 pr (field cables)</t>
        </is>
      </c>
      <c r="E4839" s="12" t="inlineStr">
        <is>
          <t>RICE-2</t>
        </is>
      </c>
      <c r="F4839" s="12" t="inlineStr">
        <is>
          <t>RICE engine-generator 2</t>
        </is>
      </c>
      <c r="G4839" s="12" t="inlineStr">
        <is>
          <t>JB-RICE-2-AI01</t>
        </is>
      </c>
      <c r="H4839" s="12" t="inlineStr">
        <is>
          <t>RICE engine-generator 2</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72</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I-I-0238</t>
        </is>
      </c>
      <c r="B4840" s="12" t="inlineStr">
        <is>
          <t>I</t>
        </is>
      </c>
      <c r="C4840" s="12" t="inlineStr">
        <is>
          <t>Modular / portable power</t>
        </is>
      </c>
      <c r="D4840" s="12" t="inlineStr">
        <is>
          <t>Home run JB-RICE-2-AI01 to the control / marshalling room</t>
        </is>
      </c>
      <c r="E4840" s="12" t="inlineStr"/>
      <c r="F4840" s="12" t="inlineStr">
        <is>
          <t>PCM: power control module</t>
        </is>
      </c>
      <c r="G4840" s="12" t="inlineStr">
        <is>
          <t>JB-RICE-2-AI01</t>
        </is>
      </c>
      <c r="H4840" s="12" t="inlineStr">
        <is>
          <t>RICE engine-generator 2</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516</v>
      </c>
      <c r="U4840" s="15" t="n">
        <v>109</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I-I-0239</t>
        </is>
      </c>
      <c r="B4841" s="12" t="inlineStr">
        <is>
          <t>I</t>
        </is>
      </c>
      <c r="C4841" s="12" t="inlineStr">
        <is>
          <t>Modular / portable power</t>
        </is>
      </c>
      <c r="D4841" s="12" t="inlineStr">
        <is>
          <t>Analog instrument to JB JB-RICE-2-AI02: 20 x 1 pr (field cables)</t>
        </is>
      </c>
      <c r="E4841" s="12" t="inlineStr">
        <is>
          <t>RICE-2</t>
        </is>
      </c>
      <c r="F4841" s="12" t="inlineStr">
        <is>
          <t>RICE engine-generator 2</t>
        </is>
      </c>
      <c r="G4841" s="12" t="inlineStr">
        <is>
          <t>JB-RICE-2-AI02</t>
        </is>
      </c>
      <c r="H4841" s="12" t="inlineStr">
        <is>
          <t>RICE engine-generator 2</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72</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I-I-0240</t>
        </is>
      </c>
      <c r="B4842" s="12" t="inlineStr">
        <is>
          <t>I</t>
        </is>
      </c>
      <c r="C4842" s="12" t="inlineStr">
        <is>
          <t>Modular / portable power</t>
        </is>
      </c>
      <c r="D4842" s="12" t="inlineStr">
        <is>
          <t>Home run JB-RICE-2-AI02 to the control / marshalling room</t>
        </is>
      </c>
      <c r="E4842" s="12" t="inlineStr"/>
      <c r="F4842" s="12" t="inlineStr">
        <is>
          <t>PCM: power control module</t>
        </is>
      </c>
      <c r="G4842" s="12" t="inlineStr">
        <is>
          <t>JB-RICE-2-AI02</t>
        </is>
      </c>
      <c r="H4842" s="12" t="inlineStr">
        <is>
          <t>RICE engine-generator 2</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516</v>
      </c>
      <c r="U4842" s="15" t="n">
        <v>109</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I-I-0241</t>
        </is>
      </c>
      <c r="B4843" s="12" t="inlineStr">
        <is>
          <t>I</t>
        </is>
      </c>
      <c r="C4843" s="12" t="inlineStr">
        <is>
          <t>Modular / portable power</t>
        </is>
      </c>
      <c r="D4843" s="12" t="inlineStr">
        <is>
          <t>Analog instrument to JB JB-RICE-2-AI03: 20 x 1 pr (field cables)</t>
        </is>
      </c>
      <c r="E4843" s="12" t="inlineStr">
        <is>
          <t>RICE-2</t>
        </is>
      </c>
      <c r="F4843" s="12" t="inlineStr">
        <is>
          <t>RICE engine-generator 2</t>
        </is>
      </c>
      <c r="G4843" s="12" t="inlineStr">
        <is>
          <t>JB-RICE-2-AI03</t>
        </is>
      </c>
      <c r="H4843" s="12" t="inlineStr">
        <is>
          <t>RICE engine-generator 2</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72</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I-I-0242</t>
        </is>
      </c>
      <c r="B4844" s="12" t="inlineStr">
        <is>
          <t>I</t>
        </is>
      </c>
      <c r="C4844" s="12" t="inlineStr">
        <is>
          <t>Modular / portable power</t>
        </is>
      </c>
      <c r="D4844" s="12" t="inlineStr">
        <is>
          <t>Home run JB-RICE-2-AI03 to the control / marshalling room</t>
        </is>
      </c>
      <c r="E4844" s="12" t="inlineStr"/>
      <c r="F4844" s="12" t="inlineStr">
        <is>
          <t>PCM: power control module</t>
        </is>
      </c>
      <c r="G4844" s="12" t="inlineStr">
        <is>
          <t>JB-RICE-2-AI03</t>
        </is>
      </c>
      <c r="H4844" s="12" t="inlineStr">
        <is>
          <t>RICE engine-generator 2</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516</v>
      </c>
      <c r="U4844" s="15" t="n">
        <v>109</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I-I-0243</t>
        </is>
      </c>
      <c r="B4845" s="12" t="inlineStr">
        <is>
          <t>I</t>
        </is>
      </c>
      <c r="C4845" s="12" t="inlineStr">
        <is>
          <t>Modular / portable power</t>
        </is>
      </c>
      <c r="D4845" s="12" t="inlineStr">
        <is>
          <t>Analog instrument to JB JB-RICE-2-AI04: 20 x 1 pr (field cables)</t>
        </is>
      </c>
      <c r="E4845" s="12" t="inlineStr">
        <is>
          <t>RICE-2</t>
        </is>
      </c>
      <c r="F4845" s="12" t="inlineStr">
        <is>
          <t>RICE engine-generator 2</t>
        </is>
      </c>
      <c r="G4845" s="12" t="inlineStr">
        <is>
          <t>JB-RICE-2-AI04</t>
        </is>
      </c>
      <c r="H4845" s="12" t="inlineStr">
        <is>
          <t>RICE engine-generator 2</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5" t="n">
        <v>72</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I-I-0244</t>
        </is>
      </c>
      <c r="B4846" s="12" t="inlineStr">
        <is>
          <t>I</t>
        </is>
      </c>
      <c r="C4846" s="12" t="inlineStr">
        <is>
          <t>Modular / portable power</t>
        </is>
      </c>
      <c r="D4846" s="12" t="inlineStr">
        <is>
          <t>Home run JB-RICE-2-AI04 to the control / marshalling room</t>
        </is>
      </c>
      <c r="E4846" s="12" t="inlineStr"/>
      <c r="F4846" s="12" t="inlineStr">
        <is>
          <t>PCM: power control module</t>
        </is>
      </c>
      <c r="G4846" s="12" t="inlineStr">
        <is>
          <t>JB-RICE-2-AI04</t>
        </is>
      </c>
      <c r="H4846" s="12" t="inlineStr">
        <is>
          <t>RICE engine-generator 2</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5" t="n">
        <v>516</v>
      </c>
      <c r="U4846" s="15" t="n">
        <v>109</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I-I-0245</t>
        </is>
      </c>
      <c r="B4847" s="12" t="inlineStr">
        <is>
          <t>I</t>
        </is>
      </c>
      <c r="C4847" s="12" t="inlineStr">
        <is>
          <t>Modular / portable power</t>
        </is>
      </c>
      <c r="D4847" s="12" t="inlineStr">
        <is>
          <t>Discrete device to JB JB-RICE-2-DI01: 20 x 1 pr (field cables)</t>
        </is>
      </c>
      <c r="E4847" s="12" t="inlineStr">
        <is>
          <t>RICE-2</t>
        </is>
      </c>
      <c r="F4847" s="12" t="inlineStr">
        <is>
          <t>RICE engine-generator 2</t>
        </is>
      </c>
      <c r="G4847" s="12" t="inlineStr">
        <is>
          <t>JB-RICE-2-DI01</t>
        </is>
      </c>
      <c r="H4847" s="12" t="inlineStr">
        <is>
          <t>RICE engine-generator 2</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5" t="n">
        <v>72</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I-I-0246</t>
        </is>
      </c>
      <c r="B4848" s="12" t="inlineStr">
        <is>
          <t>I</t>
        </is>
      </c>
      <c r="C4848" s="12" t="inlineStr">
        <is>
          <t>Modular / portable power</t>
        </is>
      </c>
      <c r="D4848" s="12" t="inlineStr">
        <is>
          <t>Home run JB-RICE-2-DI01 to the control / marshalling room</t>
        </is>
      </c>
      <c r="E4848" s="12" t="inlineStr"/>
      <c r="F4848" s="12" t="inlineStr">
        <is>
          <t>PCM: power control module</t>
        </is>
      </c>
      <c r="G4848" s="12" t="inlineStr">
        <is>
          <t>JB-RICE-2-DI01</t>
        </is>
      </c>
      <c r="H4848" s="12" t="inlineStr">
        <is>
          <t>RICE engine-generator 2</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5" t="n">
        <v>516</v>
      </c>
      <c r="U4848" s="15" t="n">
        <v>109</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I-I-0247</t>
        </is>
      </c>
      <c r="B4849" s="12" t="inlineStr">
        <is>
          <t>I</t>
        </is>
      </c>
      <c r="C4849" s="12" t="inlineStr">
        <is>
          <t>Modular / portable power</t>
        </is>
      </c>
      <c r="D4849" s="12" t="inlineStr">
        <is>
          <t>Discrete device to JB JB-RICE-2-DI02: 20 x 1 pr (field cables)</t>
        </is>
      </c>
      <c r="E4849" s="12" t="inlineStr">
        <is>
          <t>RICE-2</t>
        </is>
      </c>
      <c r="F4849" s="12" t="inlineStr">
        <is>
          <t>RICE engine-generator 2</t>
        </is>
      </c>
      <c r="G4849" s="12" t="inlineStr">
        <is>
          <t>JB-RICE-2-DI02</t>
        </is>
      </c>
      <c r="H4849" s="12" t="inlineStr">
        <is>
          <t>RICE engine-generator 2</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5" t="n">
        <v>72</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I-I-0248</t>
        </is>
      </c>
      <c r="B4850" s="12" t="inlineStr">
        <is>
          <t>I</t>
        </is>
      </c>
      <c r="C4850" s="12" t="inlineStr">
        <is>
          <t>Modular / portable power</t>
        </is>
      </c>
      <c r="D4850" s="12" t="inlineStr">
        <is>
          <t>Home run JB-RICE-2-DI02 to the control / marshalling room</t>
        </is>
      </c>
      <c r="E4850" s="12" t="inlineStr"/>
      <c r="F4850" s="12" t="inlineStr">
        <is>
          <t>PCM: power control module</t>
        </is>
      </c>
      <c r="G4850" s="12" t="inlineStr">
        <is>
          <t>JB-RICE-2-DI02</t>
        </is>
      </c>
      <c r="H4850" s="12" t="inlineStr">
        <is>
          <t>RICE engine-generator 2</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5" t="n">
        <v>516</v>
      </c>
      <c r="U4850" s="15" t="n">
        <v>109</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I-I-0249</t>
        </is>
      </c>
      <c r="B4851" s="12" t="inlineStr">
        <is>
          <t>I</t>
        </is>
      </c>
      <c r="C4851" s="12" t="inlineStr">
        <is>
          <t>Modular / portable power</t>
        </is>
      </c>
      <c r="D4851" s="12" t="inlineStr">
        <is>
          <t>Discrete device to JB JB-RICE-2-DI03: 20 x 1 pr (field cables)</t>
        </is>
      </c>
      <c r="E4851" s="12" t="inlineStr">
        <is>
          <t>RICE-2</t>
        </is>
      </c>
      <c r="F4851" s="12" t="inlineStr">
        <is>
          <t>RICE engine-generator 2</t>
        </is>
      </c>
      <c r="G4851" s="12" t="inlineStr">
        <is>
          <t>JB-RICE-2-DI03</t>
        </is>
      </c>
      <c r="H4851" s="12" t="inlineStr">
        <is>
          <t>RICE engine-generator 2</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5" t="n">
        <v>72</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I-I-0250</t>
        </is>
      </c>
      <c r="B4852" s="12" t="inlineStr">
        <is>
          <t>I</t>
        </is>
      </c>
      <c r="C4852" s="12" t="inlineStr">
        <is>
          <t>Modular / portable power</t>
        </is>
      </c>
      <c r="D4852" s="12" t="inlineStr">
        <is>
          <t>Home run JB-RICE-2-DI03 to the control / marshalling room</t>
        </is>
      </c>
      <c r="E4852" s="12" t="inlineStr"/>
      <c r="F4852" s="12" t="inlineStr">
        <is>
          <t>PCM: power control module</t>
        </is>
      </c>
      <c r="G4852" s="12" t="inlineStr">
        <is>
          <t>JB-RICE-2-DI03</t>
        </is>
      </c>
      <c r="H4852" s="12" t="inlineStr">
        <is>
          <t>RICE engine-generator 2</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5" t="n">
        <v>516</v>
      </c>
      <c r="U4852" s="15" t="n">
        <v>109</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I-I-0251</t>
        </is>
      </c>
      <c r="B4853" s="12" t="inlineStr">
        <is>
          <t>I</t>
        </is>
      </c>
      <c r="C4853" s="12" t="inlineStr">
        <is>
          <t>Modular / portable power</t>
        </is>
      </c>
      <c r="D4853" s="12" t="inlineStr">
        <is>
          <t>Thermocouple to TC JB JB-RICE-2-TC01: 20 x 1 pr (field cables)</t>
        </is>
      </c>
      <c r="E4853" s="12" t="inlineStr">
        <is>
          <t>RICE-2</t>
        </is>
      </c>
      <c r="F4853" s="12" t="inlineStr">
        <is>
          <t>RICE engine-generator 2</t>
        </is>
      </c>
      <c r="G4853" s="12" t="inlineStr">
        <is>
          <t>JB-RICE-2-TC01</t>
        </is>
      </c>
      <c r="H4853" s="12" t="inlineStr">
        <is>
          <t>RICE engine-generator 2</t>
        </is>
      </c>
      <c r="I4853" s="12" t="inlineStr">
        <is>
          <t>Instrumentation</t>
        </is>
      </c>
      <c r="J4853" s="12" t="inlineStr">
        <is>
          <t>Thermocouple extension KX, #16 shielded pairs, PLTC</t>
        </is>
      </c>
      <c r="K4853" s="12" t="inlineStr">
        <is>
          <t>TCX|1 pr|16</t>
        </is>
      </c>
      <c r="L4853" s="12" t="inlineStr">
        <is>
          <t>1 pr</t>
        </is>
      </c>
      <c r="M4853" s="12" t="inlineStr">
        <is>
          <t>16</t>
        </is>
      </c>
      <c r="N4853" s="12" t="n">
        <v>20</v>
      </c>
      <c r="O4853" s="12" t="n">
        <v>1</v>
      </c>
      <c r="P4853" s="12" t="n"/>
      <c r="Q4853" s="12" t="n"/>
      <c r="R4853" s="12" t="n"/>
      <c r="S4853" s="12" t="inlineStr">
        <is>
          <t>Tray / conduit</t>
        </is>
      </c>
      <c r="T4853" s="15" t="n">
        <v>72</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I-I-0252</t>
        </is>
      </c>
      <c r="B4854" s="12" t="inlineStr">
        <is>
          <t>I</t>
        </is>
      </c>
      <c r="C4854" s="12" t="inlineStr">
        <is>
          <t>Modular / portable power</t>
        </is>
      </c>
      <c r="D4854" s="12" t="inlineStr">
        <is>
          <t>Home run JB-RICE-2-TC01 to the control / marshalling room</t>
        </is>
      </c>
      <c r="E4854" s="12" t="inlineStr"/>
      <c r="F4854" s="12" t="inlineStr">
        <is>
          <t>PCM: power control module</t>
        </is>
      </c>
      <c r="G4854" s="12" t="inlineStr">
        <is>
          <t>JB-RICE-2-TC01</t>
        </is>
      </c>
      <c r="H4854" s="12" t="inlineStr">
        <is>
          <t>RICE engine-generator 2</t>
        </is>
      </c>
      <c r="I4854" s="12" t="inlineStr">
        <is>
          <t>Instrumentation</t>
        </is>
      </c>
      <c r="J4854" s="12" t="inlineStr">
        <is>
          <t>Thermocouple extension KX, #16 shielded pairs, PLTC</t>
        </is>
      </c>
      <c r="K4854" s="12" t="inlineStr">
        <is>
          <t>TCX|24 pr|16</t>
        </is>
      </c>
      <c r="L4854" s="12" t="inlineStr">
        <is>
          <t>24 pr</t>
        </is>
      </c>
      <c r="M4854" s="12" t="inlineStr">
        <is>
          <t>16</t>
        </is>
      </c>
      <c r="N4854" s="12" t="n">
        <v>1</v>
      </c>
      <c r="O4854" s="12" t="n">
        <v>1</v>
      </c>
      <c r="P4854" s="12" t="n"/>
      <c r="Q4854" s="12" t="n"/>
      <c r="R4854" s="12" t="n"/>
      <c r="S4854" s="12" t="inlineStr">
        <is>
          <t>Duct bank</t>
        </is>
      </c>
      <c r="T4854" s="15" t="n">
        <v>516</v>
      </c>
      <c r="U4854" s="15" t="n">
        <v>109</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I-I-0253</t>
        </is>
      </c>
      <c r="B4855" s="12" t="inlineStr">
        <is>
          <t>I</t>
        </is>
      </c>
      <c r="C4855" s="12" t="inlineStr">
        <is>
          <t>Modular / portable power</t>
        </is>
      </c>
      <c r="D4855" s="12" t="inlineStr">
        <is>
          <t>Thermocouple to TC JB JB-RICE-2-TC02: 10 x 1 pr (field cables)</t>
        </is>
      </c>
      <c r="E4855" s="12" t="inlineStr">
        <is>
          <t>RICE-2</t>
        </is>
      </c>
      <c r="F4855" s="12" t="inlineStr">
        <is>
          <t>RICE engine-generator 2</t>
        </is>
      </c>
      <c r="G4855" s="12" t="inlineStr">
        <is>
          <t>JB-RICE-2-TC02</t>
        </is>
      </c>
      <c r="H4855" s="12" t="inlineStr">
        <is>
          <t>RICE engine-generator 2</t>
        </is>
      </c>
      <c r="I4855" s="12" t="inlineStr">
        <is>
          <t>Instrumentation</t>
        </is>
      </c>
      <c r="J4855" s="12" t="inlineStr">
        <is>
          <t>Thermocouple extension KX, #16 shielded pairs, PLTC</t>
        </is>
      </c>
      <c r="K4855" s="12" t="inlineStr">
        <is>
          <t>TCX|1 pr|16</t>
        </is>
      </c>
      <c r="L4855" s="12" t="inlineStr">
        <is>
          <t>1 pr</t>
        </is>
      </c>
      <c r="M4855" s="12" t="inlineStr">
        <is>
          <t>16</t>
        </is>
      </c>
      <c r="N4855" s="12" t="n">
        <v>10</v>
      </c>
      <c r="O4855" s="12" t="n">
        <v>1</v>
      </c>
      <c r="P4855" s="12" t="n"/>
      <c r="Q4855" s="12" t="n"/>
      <c r="R4855" s="12" t="n"/>
      <c r="S4855" s="12" t="inlineStr">
        <is>
          <t>Tray / conduit</t>
        </is>
      </c>
      <c r="T4855" s="15" t="n">
        <v>72</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I-I-0254</t>
        </is>
      </c>
      <c r="B4856" s="12" t="inlineStr">
        <is>
          <t>I</t>
        </is>
      </c>
      <c r="C4856" s="12" t="inlineStr">
        <is>
          <t>Modular / portable power</t>
        </is>
      </c>
      <c r="D4856" s="12" t="inlineStr">
        <is>
          <t>Home run JB-RICE-2-TC02 to the control / marshalling room</t>
        </is>
      </c>
      <c r="E4856" s="12" t="inlineStr"/>
      <c r="F4856" s="12" t="inlineStr">
        <is>
          <t>PCM: power control module</t>
        </is>
      </c>
      <c r="G4856" s="12" t="inlineStr">
        <is>
          <t>JB-RICE-2-TC02</t>
        </is>
      </c>
      <c r="H4856" s="12" t="inlineStr">
        <is>
          <t>RICE engine-generator 2</t>
        </is>
      </c>
      <c r="I4856" s="12" t="inlineStr">
        <is>
          <t>Instrumentation</t>
        </is>
      </c>
      <c r="J4856" s="12" t="inlineStr">
        <is>
          <t>Thermocouple extension KX, #16 shielded pairs, PLTC</t>
        </is>
      </c>
      <c r="K4856" s="12" t="inlineStr">
        <is>
          <t>TCX|24 pr|16</t>
        </is>
      </c>
      <c r="L4856" s="12" t="inlineStr">
        <is>
          <t>24 pr</t>
        </is>
      </c>
      <c r="M4856" s="12" t="inlineStr">
        <is>
          <t>16</t>
        </is>
      </c>
      <c r="N4856" s="12" t="n">
        <v>1</v>
      </c>
      <c r="O4856" s="12" t="n">
        <v>1</v>
      </c>
      <c r="P4856" s="12" t="n"/>
      <c r="Q4856" s="12" t="n"/>
      <c r="R4856" s="12" t="n"/>
      <c r="S4856" s="12" t="inlineStr">
        <is>
          <t>Duct bank</t>
        </is>
      </c>
      <c r="T4856" s="15" t="n">
        <v>516</v>
      </c>
      <c r="U4856" s="15" t="n">
        <v>109</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I-I-0255</t>
        </is>
      </c>
      <c r="B4857" s="12" t="inlineStr">
        <is>
          <t>I</t>
        </is>
      </c>
      <c r="C4857" s="12" t="inlineStr">
        <is>
          <t>Modular / portable power</t>
        </is>
      </c>
      <c r="D4857" s="12" t="inlineStr">
        <is>
          <t>RTD to JB JB-RICE-2-RTD01: 10 x 1 tri (field cables)</t>
        </is>
      </c>
      <c r="E4857" s="12" t="inlineStr">
        <is>
          <t>RICE-2</t>
        </is>
      </c>
      <c r="F4857" s="12" t="inlineStr">
        <is>
          <t>RICE engine-generator 2</t>
        </is>
      </c>
      <c r="G4857" s="12" t="inlineStr">
        <is>
          <t>JB-RICE-2-RTD01</t>
        </is>
      </c>
      <c r="H4857" s="12" t="inlineStr">
        <is>
          <t>RICE engine-generator 2</t>
        </is>
      </c>
      <c r="I4857" s="12" t="inlineStr">
        <is>
          <t>Instrumentation</t>
        </is>
      </c>
      <c r="J4857" s="12" t="inlineStr">
        <is>
          <t>RTD cable, #18 shielded triads, PLTC</t>
        </is>
      </c>
      <c r="K4857" s="12" t="inlineStr">
        <is>
          <t>RTD|1 tri|18</t>
        </is>
      </c>
      <c r="L4857" s="12" t="inlineStr">
        <is>
          <t>1 tri</t>
        </is>
      </c>
      <c r="M4857" s="12" t="inlineStr">
        <is>
          <t>18</t>
        </is>
      </c>
      <c r="N4857" s="12" t="n">
        <v>10</v>
      </c>
      <c r="O4857" s="12" t="n">
        <v>1</v>
      </c>
      <c r="P4857" s="12" t="n"/>
      <c r="Q4857" s="12" t="n"/>
      <c r="R4857" s="12" t="n"/>
      <c r="S4857" s="12" t="inlineStr">
        <is>
          <t>Tray / conduit</t>
        </is>
      </c>
      <c r="T4857" s="15" t="n">
        <v>72</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I-I-0256</t>
        </is>
      </c>
      <c r="B4858" s="12" t="inlineStr">
        <is>
          <t>I</t>
        </is>
      </c>
      <c r="C4858" s="12" t="inlineStr">
        <is>
          <t>Modular / portable power</t>
        </is>
      </c>
      <c r="D4858" s="12" t="inlineStr">
        <is>
          <t>Home run JB-RICE-2-RTD01 to the control / marshalling room</t>
        </is>
      </c>
      <c r="E4858" s="12" t="inlineStr"/>
      <c r="F4858" s="12" t="inlineStr">
        <is>
          <t>PCM: power control module</t>
        </is>
      </c>
      <c r="G4858" s="12" t="inlineStr">
        <is>
          <t>JB-RICE-2-RTD01</t>
        </is>
      </c>
      <c r="H4858" s="12" t="inlineStr">
        <is>
          <t>RICE engine-generator 2</t>
        </is>
      </c>
      <c r="I4858" s="12" t="inlineStr">
        <is>
          <t>Instrumentation</t>
        </is>
      </c>
      <c r="J4858" s="12" t="inlineStr">
        <is>
          <t>RTD cable, #18 shielded triads, PLTC</t>
        </is>
      </c>
      <c r="K4858" s="12" t="inlineStr">
        <is>
          <t>RTD|12 tri|18</t>
        </is>
      </c>
      <c r="L4858" s="12" t="inlineStr">
        <is>
          <t>12 tri</t>
        </is>
      </c>
      <c r="M4858" s="12" t="inlineStr">
        <is>
          <t>18</t>
        </is>
      </c>
      <c r="N4858" s="12" t="n">
        <v>1</v>
      </c>
      <c r="O4858" s="12" t="n">
        <v>1</v>
      </c>
      <c r="P4858" s="12" t="n"/>
      <c r="Q4858" s="12" t="n"/>
      <c r="R4858" s="12" t="n"/>
      <c r="S4858" s="12" t="inlineStr">
        <is>
          <t>Duct bank</t>
        </is>
      </c>
      <c r="T4858" s="15" t="n">
        <v>516</v>
      </c>
      <c r="U4858" s="15" t="n">
        <v>109</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I-I-0257</t>
        </is>
      </c>
      <c r="B4859" s="12" t="inlineStr">
        <is>
          <t>I</t>
        </is>
      </c>
      <c r="C4859" s="12" t="inlineStr">
        <is>
          <t>Modular / portable power</t>
        </is>
      </c>
      <c r="D4859" s="12" t="inlineStr">
        <is>
          <t>RTD to JB JB-RICE-2-RTD02: 2 x 1 tri (field cables)</t>
        </is>
      </c>
      <c r="E4859" s="12" t="inlineStr">
        <is>
          <t>RICE-2</t>
        </is>
      </c>
      <c r="F4859" s="12" t="inlineStr">
        <is>
          <t>RICE engine-generator 2</t>
        </is>
      </c>
      <c r="G4859" s="12" t="inlineStr">
        <is>
          <t>JB-RICE-2-RTD02</t>
        </is>
      </c>
      <c r="H4859" s="12" t="inlineStr">
        <is>
          <t>RICE engine-generator 2</t>
        </is>
      </c>
      <c r="I4859" s="12" t="inlineStr">
        <is>
          <t>Instrumentation</t>
        </is>
      </c>
      <c r="J4859" s="12" t="inlineStr">
        <is>
          <t>RTD cable, #18 shielded triads, PLTC</t>
        </is>
      </c>
      <c r="K4859" s="12" t="inlineStr">
        <is>
          <t>RTD|1 tri|18</t>
        </is>
      </c>
      <c r="L4859" s="12" t="inlineStr">
        <is>
          <t>1 tri</t>
        </is>
      </c>
      <c r="M4859" s="12" t="inlineStr">
        <is>
          <t>18</t>
        </is>
      </c>
      <c r="N4859" s="12" t="n">
        <v>2</v>
      </c>
      <c r="O4859" s="12" t="n">
        <v>1</v>
      </c>
      <c r="P4859" s="12" t="n"/>
      <c r="Q4859" s="12" t="n"/>
      <c r="R4859" s="12" t="n"/>
      <c r="S4859" s="12" t="inlineStr">
        <is>
          <t>Tray / conduit</t>
        </is>
      </c>
      <c r="T4859" s="15" t="n">
        <v>72</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I-I-0258</t>
        </is>
      </c>
      <c r="B4860" s="12" t="inlineStr">
        <is>
          <t>I</t>
        </is>
      </c>
      <c r="C4860" s="12" t="inlineStr">
        <is>
          <t>Modular / portable power</t>
        </is>
      </c>
      <c r="D4860" s="12" t="inlineStr">
        <is>
          <t>Home run JB-RICE-2-RTD02 to the control / marshalling room</t>
        </is>
      </c>
      <c r="E4860" s="12" t="inlineStr"/>
      <c r="F4860" s="12" t="inlineStr">
        <is>
          <t>PCM: power control module</t>
        </is>
      </c>
      <c r="G4860" s="12" t="inlineStr">
        <is>
          <t>JB-RICE-2-RTD02</t>
        </is>
      </c>
      <c r="H4860" s="12" t="inlineStr">
        <is>
          <t>RICE engine-generator 2</t>
        </is>
      </c>
      <c r="I4860" s="12" t="inlineStr">
        <is>
          <t>Instrumentation</t>
        </is>
      </c>
      <c r="J4860" s="12" t="inlineStr">
        <is>
          <t>RTD cable, #18 shielded triads, PLTC</t>
        </is>
      </c>
      <c r="K4860" s="12" t="inlineStr">
        <is>
          <t>RTD|12 tri|18</t>
        </is>
      </c>
      <c r="L4860" s="12" t="inlineStr">
        <is>
          <t>12 tri</t>
        </is>
      </c>
      <c r="M4860" s="12" t="inlineStr">
        <is>
          <t>18</t>
        </is>
      </c>
      <c r="N4860" s="12" t="n">
        <v>1</v>
      </c>
      <c r="O4860" s="12" t="n">
        <v>1</v>
      </c>
      <c r="P4860" s="12" t="n"/>
      <c r="Q4860" s="12" t="n"/>
      <c r="R4860" s="12" t="n"/>
      <c r="S4860" s="12" t="inlineStr">
        <is>
          <t>Duct bank</t>
        </is>
      </c>
      <c r="T4860" s="15" t="n">
        <v>516</v>
      </c>
      <c r="U4860" s="15" t="n">
        <v>109</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I-I-0259</t>
        </is>
      </c>
      <c r="B4861" s="12" t="inlineStr">
        <is>
          <t>I</t>
        </is>
      </c>
      <c r="C4861" s="12" t="inlineStr">
        <is>
          <t>Modular / portable power</t>
        </is>
      </c>
      <c r="D4861" s="12" t="inlineStr">
        <is>
          <t>Analog instrument to JB JB-RICE-3-AI01: 20 x 1 pr (field cables)</t>
        </is>
      </c>
      <c r="E4861" s="12" t="inlineStr">
        <is>
          <t>RICE-3</t>
        </is>
      </c>
      <c r="F4861" s="12" t="inlineStr">
        <is>
          <t>RICE engine-generator 3</t>
        </is>
      </c>
      <c r="G4861" s="12" t="inlineStr">
        <is>
          <t>JB-RICE-3-AI01</t>
        </is>
      </c>
      <c r="H4861" s="12" t="inlineStr">
        <is>
          <t>RICE engine-generator 3</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5" t="n">
        <v>72</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I-I-0260</t>
        </is>
      </c>
      <c r="B4862" s="12" t="inlineStr">
        <is>
          <t>I</t>
        </is>
      </c>
      <c r="C4862" s="12" t="inlineStr">
        <is>
          <t>Modular / portable power</t>
        </is>
      </c>
      <c r="D4862" s="12" t="inlineStr">
        <is>
          <t>Home run JB-RICE-3-AI01 to the control / marshalling room</t>
        </is>
      </c>
      <c r="E4862" s="12" t="inlineStr"/>
      <c r="F4862" s="12" t="inlineStr">
        <is>
          <t>PCM: power control module</t>
        </is>
      </c>
      <c r="G4862" s="12" t="inlineStr">
        <is>
          <t>JB-RICE-3-AI01</t>
        </is>
      </c>
      <c r="H4862" s="12" t="inlineStr">
        <is>
          <t>RICE engine-generator 3</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516</v>
      </c>
      <c r="U4862" s="15" t="n">
        <v>81</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I-I-0261</t>
        </is>
      </c>
      <c r="B4863" s="12" t="inlineStr">
        <is>
          <t>I</t>
        </is>
      </c>
      <c r="C4863" s="12" t="inlineStr">
        <is>
          <t>Modular / portable power</t>
        </is>
      </c>
      <c r="D4863" s="12" t="inlineStr">
        <is>
          <t>Analog instrument to JB JB-RICE-3-AI02: 20 x 1 pr (field cables)</t>
        </is>
      </c>
      <c r="E4863" s="12" t="inlineStr">
        <is>
          <t>RICE-3</t>
        </is>
      </c>
      <c r="F4863" s="12" t="inlineStr">
        <is>
          <t>RICE engine-generator 3</t>
        </is>
      </c>
      <c r="G4863" s="12" t="inlineStr">
        <is>
          <t>JB-RICE-3-AI02</t>
        </is>
      </c>
      <c r="H4863" s="12" t="inlineStr">
        <is>
          <t>RICE engine-generator 3</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5" t="n">
        <v>72</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I-I-0262</t>
        </is>
      </c>
      <c r="B4864" s="12" t="inlineStr">
        <is>
          <t>I</t>
        </is>
      </c>
      <c r="C4864" s="12" t="inlineStr">
        <is>
          <t>Modular / portable power</t>
        </is>
      </c>
      <c r="D4864" s="12" t="inlineStr">
        <is>
          <t>Home run JB-RICE-3-AI02 to the control / marshalling room</t>
        </is>
      </c>
      <c r="E4864" s="12" t="inlineStr"/>
      <c r="F4864" s="12" t="inlineStr">
        <is>
          <t>PCM: power control module</t>
        </is>
      </c>
      <c r="G4864" s="12" t="inlineStr">
        <is>
          <t>JB-RICE-3-AI02</t>
        </is>
      </c>
      <c r="H4864" s="12" t="inlineStr">
        <is>
          <t>RICE engine-generator 3</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516</v>
      </c>
      <c r="U4864" s="15" t="n">
        <v>81</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I-I-0263</t>
        </is>
      </c>
      <c r="B4865" s="12" t="inlineStr">
        <is>
          <t>I</t>
        </is>
      </c>
      <c r="C4865" s="12" t="inlineStr">
        <is>
          <t>Modular / portable power</t>
        </is>
      </c>
      <c r="D4865" s="12" t="inlineStr">
        <is>
          <t>Analog instrument to JB JB-RICE-3-AI03: 20 x 1 pr (field cables)</t>
        </is>
      </c>
      <c r="E4865" s="12" t="inlineStr">
        <is>
          <t>RICE-3</t>
        </is>
      </c>
      <c r="F4865" s="12" t="inlineStr">
        <is>
          <t>RICE engine-generator 3</t>
        </is>
      </c>
      <c r="G4865" s="12" t="inlineStr">
        <is>
          <t>JB-RICE-3-AI03</t>
        </is>
      </c>
      <c r="H4865" s="12" t="inlineStr">
        <is>
          <t>RICE engine-generator 3</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72</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I-I-0264</t>
        </is>
      </c>
      <c r="B4866" s="12" t="inlineStr">
        <is>
          <t>I</t>
        </is>
      </c>
      <c r="C4866" s="12" t="inlineStr">
        <is>
          <t>Modular / portable power</t>
        </is>
      </c>
      <c r="D4866" s="12" t="inlineStr">
        <is>
          <t>Home run JB-RICE-3-AI03 to the control / marshalling room</t>
        </is>
      </c>
      <c r="E4866" s="12" t="inlineStr"/>
      <c r="F4866" s="12" t="inlineStr">
        <is>
          <t>PCM: power control module</t>
        </is>
      </c>
      <c r="G4866" s="12" t="inlineStr">
        <is>
          <t>JB-RICE-3-AI03</t>
        </is>
      </c>
      <c r="H4866" s="12" t="inlineStr">
        <is>
          <t>RICE engine-generator 3</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5" t="n">
        <v>516</v>
      </c>
      <c r="U4866" s="15" t="n">
        <v>81</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I-I-0265</t>
        </is>
      </c>
      <c r="B4867" s="12" t="inlineStr">
        <is>
          <t>I</t>
        </is>
      </c>
      <c r="C4867" s="12" t="inlineStr">
        <is>
          <t>Modular / portable power</t>
        </is>
      </c>
      <c r="D4867" s="12" t="inlineStr">
        <is>
          <t>Analog instrument to JB JB-RICE-3-AI04: 20 x 1 pr (field cables)</t>
        </is>
      </c>
      <c r="E4867" s="12" t="inlineStr">
        <is>
          <t>RICE-3</t>
        </is>
      </c>
      <c r="F4867" s="12" t="inlineStr">
        <is>
          <t>RICE engine-generator 3</t>
        </is>
      </c>
      <c r="G4867" s="12" t="inlineStr">
        <is>
          <t>JB-RICE-3-AI04</t>
        </is>
      </c>
      <c r="H4867" s="12" t="inlineStr">
        <is>
          <t>RICE engine-generator 3</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72</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I-I-0266</t>
        </is>
      </c>
      <c r="B4868" s="12" t="inlineStr">
        <is>
          <t>I</t>
        </is>
      </c>
      <c r="C4868" s="12" t="inlineStr">
        <is>
          <t>Modular / portable power</t>
        </is>
      </c>
      <c r="D4868" s="12" t="inlineStr">
        <is>
          <t>Home run JB-RICE-3-AI04 to the control / marshalling room</t>
        </is>
      </c>
      <c r="E4868" s="12" t="inlineStr"/>
      <c r="F4868" s="12" t="inlineStr">
        <is>
          <t>PCM: power control module</t>
        </is>
      </c>
      <c r="G4868" s="12" t="inlineStr">
        <is>
          <t>JB-RICE-3-AI04</t>
        </is>
      </c>
      <c r="H4868" s="12" t="inlineStr">
        <is>
          <t>RICE engine-generator 3</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5" t="n">
        <v>516</v>
      </c>
      <c r="U4868" s="15" t="n">
        <v>81</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I-I-0267</t>
        </is>
      </c>
      <c r="B4869" s="12" t="inlineStr">
        <is>
          <t>I</t>
        </is>
      </c>
      <c r="C4869" s="12" t="inlineStr">
        <is>
          <t>Modular / portable power</t>
        </is>
      </c>
      <c r="D4869" s="12" t="inlineStr">
        <is>
          <t>Discrete device to JB JB-RICE-3-DI01: 20 x 1 pr (field cables)</t>
        </is>
      </c>
      <c r="E4869" s="12" t="inlineStr">
        <is>
          <t>RICE-3</t>
        </is>
      </c>
      <c r="F4869" s="12" t="inlineStr">
        <is>
          <t>RICE engine-generator 3</t>
        </is>
      </c>
      <c r="G4869" s="12" t="inlineStr">
        <is>
          <t>JB-RICE-3-DI01</t>
        </is>
      </c>
      <c r="H4869" s="12" t="inlineStr">
        <is>
          <t>RICE engine-generator 3</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5" t="n">
        <v>72</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I-I-0268</t>
        </is>
      </c>
      <c r="B4870" s="12" t="inlineStr">
        <is>
          <t>I</t>
        </is>
      </c>
      <c r="C4870" s="12" t="inlineStr">
        <is>
          <t>Modular / portable power</t>
        </is>
      </c>
      <c r="D4870" s="12" t="inlineStr">
        <is>
          <t>Home run JB-RICE-3-DI01 to the control / marshalling room</t>
        </is>
      </c>
      <c r="E4870" s="12" t="inlineStr"/>
      <c r="F4870" s="12" t="inlineStr">
        <is>
          <t>PCM: power control module</t>
        </is>
      </c>
      <c r="G4870" s="12" t="inlineStr">
        <is>
          <t>JB-RICE-3-DI01</t>
        </is>
      </c>
      <c r="H4870" s="12" t="inlineStr">
        <is>
          <t>RICE engine-generator 3</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5" t="n">
        <v>516</v>
      </c>
      <c r="U4870" s="15" t="n">
        <v>81</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I-I-0269</t>
        </is>
      </c>
      <c r="B4871" s="12" t="inlineStr">
        <is>
          <t>I</t>
        </is>
      </c>
      <c r="C4871" s="12" t="inlineStr">
        <is>
          <t>Modular / portable power</t>
        </is>
      </c>
      <c r="D4871" s="12" t="inlineStr">
        <is>
          <t>Discrete device to JB JB-RICE-3-DI02: 20 x 1 pr (field cables)</t>
        </is>
      </c>
      <c r="E4871" s="12" t="inlineStr">
        <is>
          <t>RICE-3</t>
        </is>
      </c>
      <c r="F4871" s="12" t="inlineStr">
        <is>
          <t>RICE engine-generator 3</t>
        </is>
      </c>
      <c r="G4871" s="12" t="inlineStr">
        <is>
          <t>JB-RICE-3-DI02</t>
        </is>
      </c>
      <c r="H4871" s="12" t="inlineStr">
        <is>
          <t>RICE engine-generator 3</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5" t="n">
        <v>72</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I-I-0270</t>
        </is>
      </c>
      <c r="B4872" s="12" t="inlineStr">
        <is>
          <t>I</t>
        </is>
      </c>
      <c r="C4872" s="12" t="inlineStr">
        <is>
          <t>Modular / portable power</t>
        </is>
      </c>
      <c r="D4872" s="12" t="inlineStr">
        <is>
          <t>Home run JB-RICE-3-DI02 to the control / marshalling room</t>
        </is>
      </c>
      <c r="E4872" s="12" t="inlineStr"/>
      <c r="F4872" s="12" t="inlineStr">
        <is>
          <t>PCM: power control module</t>
        </is>
      </c>
      <c r="G4872" s="12" t="inlineStr">
        <is>
          <t>JB-RICE-3-DI02</t>
        </is>
      </c>
      <c r="H4872" s="12" t="inlineStr">
        <is>
          <t>RICE engine-generator 3</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5" t="n">
        <v>516</v>
      </c>
      <c r="U4872" s="15" t="n">
        <v>81</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I-I-0271</t>
        </is>
      </c>
      <c r="B4873" s="12" t="inlineStr">
        <is>
          <t>I</t>
        </is>
      </c>
      <c r="C4873" s="12" t="inlineStr">
        <is>
          <t>Modular / portable power</t>
        </is>
      </c>
      <c r="D4873" s="12" t="inlineStr">
        <is>
          <t>Discrete device to JB JB-RICE-3-DI03: 20 x 1 pr (field cables)</t>
        </is>
      </c>
      <c r="E4873" s="12" t="inlineStr">
        <is>
          <t>RICE-3</t>
        </is>
      </c>
      <c r="F4873" s="12" t="inlineStr">
        <is>
          <t>RICE engine-generator 3</t>
        </is>
      </c>
      <c r="G4873" s="12" t="inlineStr">
        <is>
          <t>JB-RICE-3-DI03</t>
        </is>
      </c>
      <c r="H4873" s="12" t="inlineStr">
        <is>
          <t>RICE engine-generator 3</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5" t="n">
        <v>72</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I-I-0272</t>
        </is>
      </c>
      <c r="B4874" s="12" t="inlineStr">
        <is>
          <t>I</t>
        </is>
      </c>
      <c r="C4874" s="12" t="inlineStr">
        <is>
          <t>Modular / portable power</t>
        </is>
      </c>
      <c r="D4874" s="12" t="inlineStr">
        <is>
          <t>Home run JB-RICE-3-DI03 to the control / marshalling room</t>
        </is>
      </c>
      <c r="E4874" s="12" t="inlineStr"/>
      <c r="F4874" s="12" t="inlineStr">
        <is>
          <t>PCM: power control module</t>
        </is>
      </c>
      <c r="G4874" s="12" t="inlineStr">
        <is>
          <t>JB-RICE-3-DI03</t>
        </is>
      </c>
      <c r="H4874" s="12" t="inlineStr">
        <is>
          <t>RICE engine-generator 3</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5" t="n">
        <v>516</v>
      </c>
      <c r="U4874" s="15" t="n">
        <v>81</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I-I-0273</t>
        </is>
      </c>
      <c r="B4875" s="12" t="inlineStr">
        <is>
          <t>I</t>
        </is>
      </c>
      <c r="C4875" s="12" t="inlineStr">
        <is>
          <t>Modular / portable power</t>
        </is>
      </c>
      <c r="D4875" s="12" t="inlineStr">
        <is>
          <t>Thermocouple to TC JB JB-RICE-3-TC01: 20 x 1 pr (field cables)</t>
        </is>
      </c>
      <c r="E4875" s="12" t="inlineStr">
        <is>
          <t>RICE-3</t>
        </is>
      </c>
      <c r="F4875" s="12" t="inlineStr">
        <is>
          <t>RICE engine-generator 3</t>
        </is>
      </c>
      <c r="G4875" s="12" t="inlineStr">
        <is>
          <t>JB-RICE-3-TC01</t>
        </is>
      </c>
      <c r="H4875" s="12" t="inlineStr">
        <is>
          <t>RICE engine-generator 3</t>
        </is>
      </c>
      <c r="I4875" s="12" t="inlineStr">
        <is>
          <t>Instrumentation</t>
        </is>
      </c>
      <c r="J4875" s="12" t="inlineStr">
        <is>
          <t>Thermocouple extension KX, #16 shielded pairs, PLTC</t>
        </is>
      </c>
      <c r="K4875" s="12" t="inlineStr">
        <is>
          <t>TCX|1 pr|16</t>
        </is>
      </c>
      <c r="L4875" s="12" t="inlineStr">
        <is>
          <t>1 pr</t>
        </is>
      </c>
      <c r="M4875" s="12" t="inlineStr">
        <is>
          <t>16</t>
        </is>
      </c>
      <c r="N4875" s="12" t="n">
        <v>20</v>
      </c>
      <c r="O4875" s="12" t="n">
        <v>1</v>
      </c>
      <c r="P4875" s="12" t="n"/>
      <c r="Q4875" s="12" t="n"/>
      <c r="R4875" s="12" t="n"/>
      <c r="S4875" s="12" t="inlineStr">
        <is>
          <t>Tray / conduit</t>
        </is>
      </c>
      <c r="T4875" s="15" t="n">
        <v>72</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I-I-0274</t>
        </is>
      </c>
      <c r="B4876" s="12" t="inlineStr">
        <is>
          <t>I</t>
        </is>
      </c>
      <c r="C4876" s="12" t="inlineStr">
        <is>
          <t>Modular / portable power</t>
        </is>
      </c>
      <c r="D4876" s="12" t="inlineStr">
        <is>
          <t>Home run JB-RICE-3-TC01 to the control / marshalling room</t>
        </is>
      </c>
      <c r="E4876" s="12" t="inlineStr"/>
      <c r="F4876" s="12" t="inlineStr">
        <is>
          <t>PCM: power control module</t>
        </is>
      </c>
      <c r="G4876" s="12" t="inlineStr">
        <is>
          <t>JB-RICE-3-TC01</t>
        </is>
      </c>
      <c r="H4876" s="12" t="inlineStr">
        <is>
          <t>RICE engine-generator 3</t>
        </is>
      </c>
      <c r="I4876" s="12" t="inlineStr">
        <is>
          <t>Instrumentation</t>
        </is>
      </c>
      <c r="J4876" s="12" t="inlineStr">
        <is>
          <t>Thermocouple extension KX, #16 shielded pairs, PLTC</t>
        </is>
      </c>
      <c r="K4876" s="12" t="inlineStr">
        <is>
          <t>TCX|24 pr|16</t>
        </is>
      </c>
      <c r="L4876" s="12" t="inlineStr">
        <is>
          <t>24 pr</t>
        </is>
      </c>
      <c r="M4876" s="12" t="inlineStr">
        <is>
          <t>16</t>
        </is>
      </c>
      <c r="N4876" s="12" t="n">
        <v>1</v>
      </c>
      <c r="O4876" s="12" t="n">
        <v>1</v>
      </c>
      <c r="P4876" s="12" t="n"/>
      <c r="Q4876" s="12" t="n"/>
      <c r="R4876" s="12" t="n"/>
      <c r="S4876" s="12" t="inlineStr">
        <is>
          <t>Duct bank</t>
        </is>
      </c>
      <c r="T4876" s="15" t="n">
        <v>516</v>
      </c>
      <c r="U4876" s="15" t="n">
        <v>81</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I-I-0275</t>
        </is>
      </c>
      <c r="B4877" s="12" t="inlineStr">
        <is>
          <t>I</t>
        </is>
      </c>
      <c r="C4877" s="12" t="inlineStr">
        <is>
          <t>Modular / portable power</t>
        </is>
      </c>
      <c r="D4877" s="12" t="inlineStr">
        <is>
          <t>Thermocouple to TC JB JB-RICE-3-TC02: 10 x 1 pr (field cables)</t>
        </is>
      </c>
      <c r="E4877" s="12" t="inlineStr">
        <is>
          <t>RICE-3</t>
        </is>
      </c>
      <c r="F4877" s="12" t="inlineStr">
        <is>
          <t>RICE engine-generator 3</t>
        </is>
      </c>
      <c r="G4877" s="12" t="inlineStr">
        <is>
          <t>JB-RICE-3-TC02</t>
        </is>
      </c>
      <c r="H4877" s="12" t="inlineStr">
        <is>
          <t>RICE engine-generator 3</t>
        </is>
      </c>
      <c r="I4877" s="12" t="inlineStr">
        <is>
          <t>Instrumentation</t>
        </is>
      </c>
      <c r="J4877" s="12" t="inlineStr">
        <is>
          <t>Thermocouple extension KX, #16 shielded pairs, PLTC</t>
        </is>
      </c>
      <c r="K4877" s="12" t="inlineStr">
        <is>
          <t>TCX|1 pr|16</t>
        </is>
      </c>
      <c r="L4877" s="12" t="inlineStr">
        <is>
          <t>1 pr</t>
        </is>
      </c>
      <c r="M4877" s="12" t="inlineStr">
        <is>
          <t>16</t>
        </is>
      </c>
      <c r="N4877" s="12" t="n">
        <v>10</v>
      </c>
      <c r="O4877" s="12" t="n">
        <v>1</v>
      </c>
      <c r="P4877" s="12" t="n"/>
      <c r="Q4877" s="12" t="n"/>
      <c r="R4877" s="12" t="n"/>
      <c r="S4877" s="12" t="inlineStr">
        <is>
          <t>Tray / conduit</t>
        </is>
      </c>
      <c r="T4877" s="15" t="n">
        <v>72</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I-I-0276</t>
        </is>
      </c>
      <c r="B4878" s="12" t="inlineStr">
        <is>
          <t>I</t>
        </is>
      </c>
      <c r="C4878" s="12" t="inlineStr">
        <is>
          <t>Modular / portable power</t>
        </is>
      </c>
      <c r="D4878" s="12" t="inlineStr">
        <is>
          <t>Home run JB-RICE-3-TC02 to the control / marshalling room</t>
        </is>
      </c>
      <c r="E4878" s="12" t="inlineStr"/>
      <c r="F4878" s="12" t="inlineStr">
        <is>
          <t>PCM: power control module</t>
        </is>
      </c>
      <c r="G4878" s="12" t="inlineStr">
        <is>
          <t>JB-RICE-3-TC02</t>
        </is>
      </c>
      <c r="H4878" s="12" t="inlineStr">
        <is>
          <t>RICE engine-generator 3</t>
        </is>
      </c>
      <c r="I4878" s="12" t="inlineStr">
        <is>
          <t>Instrumentation</t>
        </is>
      </c>
      <c r="J4878" s="12" t="inlineStr">
        <is>
          <t>Thermocouple extension KX, #16 shielded pairs, PLTC</t>
        </is>
      </c>
      <c r="K4878" s="12" t="inlineStr">
        <is>
          <t>TCX|24 pr|16</t>
        </is>
      </c>
      <c r="L4878" s="12" t="inlineStr">
        <is>
          <t>24 pr</t>
        </is>
      </c>
      <c r="M4878" s="12" t="inlineStr">
        <is>
          <t>16</t>
        </is>
      </c>
      <c r="N4878" s="12" t="n">
        <v>1</v>
      </c>
      <c r="O4878" s="12" t="n">
        <v>1</v>
      </c>
      <c r="P4878" s="12" t="n"/>
      <c r="Q4878" s="12" t="n"/>
      <c r="R4878" s="12" t="n"/>
      <c r="S4878" s="12" t="inlineStr">
        <is>
          <t>Duct bank</t>
        </is>
      </c>
      <c r="T4878" s="15" t="n">
        <v>516</v>
      </c>
      <c r="U4878" s="15" t="n">
        <v>81</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I-I-0277</t>
        </is>
      </c>
      <c r="B4879" s="12" t="inlineStr">
        <is>
          <t>I</t>
        </is>
      </c>
      <c r="C4879" s="12" t="inlineStr">
        <is>
          <t>Modular / portable power</t>
        </is>
      </c>
      <c r="D4879" s="12" t="inlineStr">
        <is>
          <t>RTD to JB JB-RICE-3-RTD01: 10 x 1 tri (field cables)</t>
        </is>
      </c>
      <c r="E4879" s="12" t="inlineStr">
        <is>
          <t>RICE-3</t>
        </is>
      </c>
      <c r="F4879" s="12" t="inlineStr">
        <is>
          <t>RICE engine-generator 3</t>
        </is>
      </c>
      <c r="G4879" s="12" t="inlineStr">
        <is>
          <t>JB-RICE-3-RTD01</t>
        </is>
      </c>
      <c r="H4879" s="12" t="inlineStr">
        <is>
          <t>RICE engine-generator 3</t>
        </is>
      </c>
      <c r="I4879" s="12" t="inlineStr">
        <is>
          <t>Instrumentation</t>
        </is>
      </c>
      <c r="J4879" s="12" t="inlineStr">
        <is>
          <t>RTD cable, #18 shielded triads, PLTC</t>
        </is>
      </c>
      <c r="K4879" s="12" t="inlineStr">
        <is>
          <t>RTD|1 tri|18</t>
        </is>
      </c>
      <c r="L4879" s="12" t="inlineStr">
        <is>
          <t>1 tri</t>
        </is>
      </c>
      <c r="M4879" s="12" t="inlineStr">
        <is>
          <t>18</t>
        </is>
      </c>
      <c r="N4879" s="12" t="n">
        <v>10</v>
      </c>
      <c r="O4879" s="12" t="n">
        <v>1</v>
      </c>
      <c r="P4879" s="12" t="n"/>
      <c r="Q4879" s="12" t="n"/>
      <c r="R4879" s="12" t="n"/>
      <c r="S4879" s="12" t="inlineStr">
        <is>
          <t>Tray / conduit</t>
        </is>
      </c>
      <c r="T4879" s="15" t="n">
        <v>72</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I-I-0278</t>
        </is>
      </c>
      <c r="B4880" s="12" t="inlineStr">
        <is>
          <t>I</t>
        </is>
      </c>
      <c r="C4880" s="12" t="inlineStr">
        <is>
          <t>Modular / portable power</t>
        </is>
      </c>
      <c r="D4880" s="12" t="inlineStr">
        <is>
          <t>Home run JB-RICE-3-RTD01 to the control / marshalling room</t>
        </is>
      </c>
      <c r="E4880" s="12" t="inlineStr"/>
      <c r="F4880" s="12" t="inlineStr">
        <is>
          <t>PCM: power control module</t>
        </is>
      </c>
      <c r="G4880" s="12" t="inlineStr">
        <is>
          <t>JB-RICE-3-RTD01</t>
        </is>
      </c>
      <c r="H4880" s="12" t="inlineStr">
        <is>
          <t>RICE engine-generator 3</t>
        </is>
      </c>
      <c r="I4880" s="12" t="inlineStr">
        <is>
          <t>Instrumentation</t>
        </is>
      </c>
      <c r="J4880" s="12" t="inlineStr">
        <is>
          <t>RTD cable, #18 shielded triads, PLTC</t>
        </is>
      </c>
      <c r="K4880" s="12" t="inlineStr">
        <is>
          <t>RTD|12 tri|18</t>
        </is>
      </c>
      <c r="L4880" s="12" t="inlineStr">
        <is>
          <t>12 tri</t>
        </is>
      </c>
      <c r="M4880" s="12" t="inlineStr">
        <is>
          <t>18</t>
        </is>
      </c>
      <c r="N4880" s="12" t="n">
        <v>1</v>
      </c>
      <c r="O4880" s="12" t="n">
        <v>1</v>
      </c>
      <c r="P4880" s="12" t="n"/>
      <c r="Q4880" s="12" t="n"/>
      <c r="R4880" s="12" t="n"/>
      <c r="S4880" s="12" t="inlineStr">
        <is>
          <t>Duct bank</t>
        </is>
      </c>
      <c r="T4880" s="15" t="n">
        <v>516</v>
      </c>
      <c r="U4880" s="15" t="n">
        <v>81</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I-I-0279</t>
        </is>
      </c>
      <c r="B4881" s="12" t="inlineStr">
        <is>
          <t>I</t>
        </is>
      </c>
      <c r="C4881" s="12" t="inlineStr">
        <is>
          <t>Modular / portable power</t>
        </is>
      </c>
      <c r="D4881" s="12" t="inlineStr">
        <is>
          <t>RTD to JB JB-RICE-3-RTD02: 2 x 1 tri (field cables)</t>
        </is>
      </c>
      <c r="E4881" s="12" t="inlineStr">
        <is>
          <t>RICE-3</t>
        </is>
      </c>
      <c r="F4881" s="12" t="inlineStr">
        <is>
          <t>RICE engine-generator 3</t>
        </is>
      </c>
      <c r="G4881" s="12" t="inlineStr">
        <is>
          <t>JB-RICE-3-RTD02</t>
        </is>
      </c>
      <c r="H4881" s="12" t="inlineStr">
        <is>
          <t>RICE engine-generator 3</t>
        </is>
      </c>
      <c r="I4881" s="12" t="inlineStr">
        <is>
          <t>Instrumentation</t>
        </is>
      </c>
      <c r="J4881" s="12" t="inlineStr">
        <is>
          <t>RTD cable, #18 shielded triads, PLTC</t>
        </is>
      </c>
      <c r="K4881" s="12" t="inlineStr">
        <is>
          <t>RTD|1 tri|18</t>
        </is>
      </c>
      <c r="L4881" s="12" t="inlineStr">
        <is>
          <t>1 tri</t>
        </is>
      </c>
      <c r="M4881" s="12" t="inlineStr">
        <is>
          <t>18</t>
        </is>
      </c>
      <c r="N4881" s="12" t="n">
        <v>2</v>
      </c>
      <c r="O4881" s="12" t="n">
        <v>1</v>
      </c>
      <c r="P4881" s="12" t="n"/>
      <c r="Q4881" s="12" t="n"/>
      <c r="R4881" s="12" t="n"/>
      <c r="S4881" s="12" t="inlineStr">
        <is>
          <t>Tray / conduit</t>
        </is>
      </c>
      <c r="T4881" s="15" t="n">
        <v>72</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I-I-0280</t>
        </is>
      </c>
      <c r="B4882" s="12" t="inlineStr">
        <is>
          <t>I</t>
        </is>
      </c>
      <c r="C4882" s="12" t="inlineStr">
        <is>
          <t>Modular / portable power</t>
        </is>
      </c>
      <c r="D4882" s="12" t="inlineStr">
        <is>
          <t>Home run JB-RICE-3-RTD02 to the control / marshalling room</t>
        </is>
      </c>
      <c r="E4882" s="12" t="inlineStr"/>
      <c r="F4882" s="12" t="inlineStr">
        <is>
          <t>PCM: power control module</t>
        </is>
      </c>
      <c r="G4882" s="12" t="inlineStr">
        <is>
          <t>JB-RICE-3-RTD02</t>
        </is>
      </c>
      <c r="H4882" s="12" t="inlineStr">
        <is>
          <t>RICE engine-generator 3</t>
        </is>
      </c>
      <c r="I4882" s="12" t="inlineStr">
        <is>
          <t>Instrumentation</t>
        </is>
      </c>
      <c r="J4882" s="12" t="inlineStr">
        <is>
          <t>RTD cable, #18 shielded triads, PLTC</t>
        </is>
      </c>
      <c r="K4882" s="12" t="inlineStr">
        <is>
          <t>RTD|12 tri|18</t>
        </is>
      </c>
      <c r="L4882" s="12" t="inlineStr">
        <is>
          <t>12 tri</t>
        </is>
      </c>
      <c r="M4882" s="12" t="inlineStr">
        <is>
          <t>18</t>
        </is>
      </c>
      <c r="N4882" s="12" t="n">
        <v>1</v>
      </c>
      <c r="O4882" s="12" t="n">
        <v>1</v>
      </c>
      <c r="P4882" s="12" t="n"/>
      <c r="Q4882" s="12" t="n"/>
      <c r="R4882" s="12" t="n"/>
      <c r="S4882" s="12" t="inlineStr">
        <is>
          <t>Duct bank</t>
        </is>
      </c>
      <c r="T4882" s="15" t="n">
        <v>516</v>
      </c>
      <c r="U4882" s="15" t="n">
        <v>81</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I-I-0281</t>
        </is>
      </c>
      <c r="B4883" s="12" t="inlineStr">
        <is>
          <t>I</t>
        </is>
      </c>
      <c r="C4883" s="12" t="inlineStr">
        <is>
          <t>Modular / portable power</t>
        </is>
      </c>
      <c r="D4883" s="12" t="inlineStr">
        <is>
          <t>Analog instrument to JB JB-RICE-4-AI01: 20 x 1 pr (field cables)</t>
        </is>
      </c>
      <c r="E4883" s="12" t="inlineStr">
        <is>
          <t>RICE-4</t>
        </is>
      </c>
      <c r="F4883" s="12" t="inlineStr">
        <is>
          <t>RICE engine-generator 4</t>
        </is>
      </c>
      <c r="G4883" s="12" t="inlineStr">
        <is>
          <t>JB-RICE-4-AI01</t>
        </is>
      </c>
      <c r="H4883" s="12" t="inlineStr">
        <is>
          <t>RICE engine-generator 4</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72</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I-I-0282</t>
        </is>
      </c>
      <c r="B4884" s="12" t="inlineStr">
        <is>
          <t>I</t>
        </is>
      </c>
      <c r="C4884" s="12" t="inlineStr">
        <is>
          <t>Modular / portable power</t>
        </is>
      </c>
      <c r="D4884" s="12" t="inlineStr">
        <is>
          <t>Home run JB-RICE-4-AI01 to the control / marshalling room</t>
        </is>
      </c>
      <c r="E4884" s="12" t="inlineStr"/>
      <c r="F4884" s="12" t="inlineStr">
        <is>
          <t>PCM: power control module</t>
        </is>
      </c>
      <c r="G4884" s="12" t="inlineStr">
        <is>
          <t>JB-RICE-4-AI01</t>
        </is>
      </c>
      <c r="H4884" s="12" t="inlineStr">
        <is>
          <t>RICE engine-generator 4</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5" t="n">
        <v>516</v>
      </c>
      <c r="U4884" s="15" t="n">
        <v>53</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I-I-0283</t>
        </is>
      </c>
      <c r="B4885" s="12" t="inlineStr">
        <is>
          <t>I</t>
        </is>
      </c>
      <c r="C4885" s="12" t="inlineStr">
        <is>
          <t>Modular / portable power</t>
        </is>
      </c>
      <c r="D4885" s="12" t="inlineStr">
        <is>
          <t>Analog instrument to JB JB-RICE-4-AI02: 20 x 1 pr (field cables)</t>
        </is>
      </c>
      <c r="E4885" s="12" t="inlineStr">
        <is>
          <t>RICE-4</t>
        </is>
      </c>
      <c r="F4885" s="12" t="inlineStr">
        <is>
          <t>RICE engine-generator 4</t>
        </is>
      </c>
      <c r="G4885" s="12" t="inlineStr">
        <is>
          <t>JB-RICE-4-AI02</t>
        </is>
      </c>
      <c r="H4885" s="12" t="inlineStr">
        <is>
          <t>RICE engine-generator 4</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72</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I-I-0284</t>
        </is>
      </c>
      <c r="B4886" s="12" t="inlineStr">
        <is>
          <t>I</t>
        </is>
      </c>
      <c r="C4886" s="12" t="inlineStr">
        <is>
          <t>Modular / portable power</t>
        </is>
      </c>
      <c r="D4886" s="12" t="inlineStr">
        <is>
          <t>Home run JB-RICE-4-AI02 to the control / marshalling room</t>
        </is>
      </c>
      <c r="E4886" s="12" t="inlineStr"/>
      <c r="F4886" s="12" t="inlineStr">
        <is>
          <t>PCM: power control module</t>
        </is>
      </c>
      <c r="G4886" s="12" t="inlineStr">
        <is>
          <t>JB-RICE-4-AI02</t>
        </is>
      </c>
      <c r="H4886" s="12" t="inlineStr">
        <is>
          <t>RICE engine-generator 4</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5" t="n">
        <v>516</v>
      </c>
      <c r="U4886" s="15" t="n">
        <v>53</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I-I-0285</t>
        </is>
      </c>
      <c r="B4887" s="12" t="inlineStr">
        <is>
          <t>I</t>
        </is>
      </c>
      <c r="C4887" s="12" t="inlineStr">
        <is>
          <t>Modular / portable power</t>
        </is>
      </c>
      <c r="D4887" s="12" t="inlineStr">
        <is>
          <t>Analog instrument to JB JB-RICE-4-AI03: 20 x 1 pr (field cables)</t>
        </is>
      </c>
      <c r="E4887" s="12" t="inlineStr">
        <is>
          <t>RICE-4</t>
        </is>
      </c>
      <c r="F4887" s="12" t="inlineStr">
        <is>
          <t>RICE engine-generator 4</t>
        </is>
      </c>
      <c r="G4887" s="12" t="inlineStr">
        <is>
          <t>JB-RICE-4-AI03</t>
        </is>
      </c>
      <c r="H4887" s="12" t="inlineStr">
        <is>
          <t>RICE engine-generator 4</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72</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I-I-0286</t>
        </is>
      </c>
      <c r="B4888" s="12" t="inlineStr">
        <is>
          <t>I</t>
        </is>
      </c>
      <c r="C4888" s="12" t="inlineStr">
        <is>
          <t>Modular / portable power</t>
        </is>
      </c>
      <c r="D4888" s="12" t="inlineStr">
        <is>
          <t>Home run JB-RICE-4-AI03 to the control / marshalling room</t>
        </is>
      </c>
      <c r="E4888" s="12" t="inlineStr"/>
      <c r="F4888" s="12" t="inlineStr">
        <is>
          <t>PCM: power control module</t>
        </is>
      </c>
      <c r="G4888" s="12" t="inlineStr">
        <is>
          <t>JB-RICE-4-AI03</t>
        </is>
      </c>
      <c r="H4888" s="12" t="inlineStr">
        <is>
          <t>RICE engine-generator 4</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5" t="n">
        <v>516</v>
      </c>
      <c r="U4888" s="15" t="n">
        <v>53</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I-I-0287</t>
        </is>
      </c>
      <c r="B4889" s="12" t="inlineStr">
        <is>
          <t>I</t>
        </is>
      </c>
      <c r="C4889" s="12" t="inlineStr">
        <is>
          <t>Modular / portable power</t>
        </is>
      </c>
      <c r="D4889" s="12" t="inlineStr">
        <is>
          <t>Analog instrument to JB JB-RICE-4-AI04: 20 x 1 pr (field cables)</t>
        </is>
      </c>
      <c r="E4889" s="12" t="inlineStr">
        <is>
          <t>RICE-4</t>
        </is>
      </c>
      <c r="F4889" s="12" t="inlineStr">
        <is>
          <t>RICE engine-generator 4</t>
        </is>
      </c>
      <c r="G4889" s="12" t="inlineStr">
        <is>
          <t>JB-RICE-4-AI04</t>
        </is>
      </c>
      <c r="H4889" s="12" t="inlineStr">
        <is>
          <t>RICE engine-generator 4</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72</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I-I-0288</t>
        </is>
      </c>
      <c r="B4890" s="12" t="inlineStr">
        <is>
          <t>I</t>
        </is>
      </c>
      <c r="C4890" s="12" t="inlineStr">
        <is>
          <t>Modular / portable power</t>
        </is>
      </c>
      <c r="D4890" s="12" t="inlineStr">
        <is>
          <t>Home run JB-RICE-4-AI04 to the control / marshalling room</t>
        </is>
      </c>
      <c r="E4890" s="12" t="inlineStr"/>
      <c r="F4890" s="12" t="inlineStr">
        <is>
          <t>PCM: power control module</t>
        </is>
      </c>
      <c r="G4890" s="12" t="inlineStr">
        <is>
          <t>JB-RICE-4-AI04</t>
        </is>
      </c>
      <c r="H4890" s="12" t="inlineStr">
        <is>
          <t>RICE engine-generator 4</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5" t="n">
        <v>516</v>
      </c>
      <c r="U4890" s="15" t="n">
        <v>53</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I-I-0289</t>
        </is>
      </c>
      <c r="B4891" s="12" t="inlineStr">
        <is>
          <t>I</t>
        </is>
      </c>
      <c r="C4891" s="12" t="inlineStr">
        <is>
          <t>Modular / portable power</t>
        </is>
      </c>
      <c r="D4891" s="12" t="inlineStr">
        <is>
          <t>Discrete device to JB JB-RICE-4-DI01: 20 x 1 pr (field cables)</t>
        </is>
      </c>
      <c r="E4891" s="12" t="inlineStr">
        <is>
          <t>RICE-4</t>
        </is>
      </c>
      <c r="F4891" s="12" t="inlineStr">
        <is>
          <t>RICE engine-generator 4</t>
        </is>
      </c>
      <c r="G4891" s="12" t="inlineStr">
        <is>
          <t>JB-RICE-4-DI01</t>
        </is>
      </c>
      <c r="H4891" s="12" t="inlineStr">
        <is>
          <t>RICE engine-generator 4</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5" t="n">
        <v>72</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I-I-0290</t>
        </is>
      </c>
      <c r="B4892" s="12" t="inlineStr">
        <is>
          <t>I</t>
        </is>
      </c>
      <c r="C4892" s="12" t="inlineStr">
        <is>
          <t>Modular / portable power</t>
        </is>
      </c>
      <c r="D4892" s="12" t="inlineStr">
        <is>
          <t>Home run JB-RICE-4-DI01 to the control / marshalling room</t>
        </is>
      </c>
      <c r="E4892" s="12" t="inlineStr"/>
      <c r="F4892" s="12" t="inlineStr">
        <is>
          <t>PCM: power control module</t>
        </is>
      </c>
      <c r="G4892" s="12" t="inlineStr">
        <is>
          <t>JB-RICE-4-DI01</t>
        </is>
      </c>
      <c r="H4892" s="12" t="inlineStr">
        <is>
          <t>RICE engine-generator 4</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5" t="n">
        <v>516</v>
      </c>
      <c r="U4892" s="15" t="n">
        <v>53</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I-I-0291</t>
        </is>
      </c>
      <c r="B4893" s="12" t="inlineStr">
        <is>
          <t>I</t>
        </is>
      </c>
      <c r="C4893" s="12" t="inlineStr">
        <is>
          <t>Modular / portable power</t>
        </is>
      </c>
      <c r="D4893" s="12" t="inlineStr">
        <is>
          <t>Discrete device to JB JB-RICE-4-DI02: 20 x 1 pr (field cables)</t>
        </is>
      </c>
      <c r="E4893" s="12" t="inlineStr">
        <is>
          <t>RICE-4</t>
        </is>
      </c>
      <c r="F4893" s="12" t="inlineStr">
        <is>
          <t>RICE engine-generator 4</t>
        </is>
      </c>
      <c r="G4893" s="12" t="inlineStr">
        <is>
          <t>JB-RICE-4-DI02</t>
        </is>
      </c>
      <c r="H4893" s="12" t="inlineStr">
        <is>
          <t>RICE engine-generator 4</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5" t="n">
        <v>72</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I-I-0292</t>
        </is>
      </c>
      <c r="B4894" s="12" t="inlineStr">
        <is>
          <t>I</t>
        </is>
      </c>
      <c r="C4894" s="12" t="inlineStr">
        <is>
          <t>Modular / portable power</t>
        </is>
      </c>
      <c r="D4894" s="12" t="inlineStr">
        <is>
          <t>Home run JB-RICE-4-DI02 to the control / marshalling room</t>
        </is>
      </c>
      <c r="E4894" s="12" t="inlineStr"/>
      <c r="F4894" s="12" t="inlineStr">
        <is>
          <t>PCM: power control module</t>
        </is>
      </c>
      <c r="G4894" s="12" t="inlineStr">
        <is>
          <t>JB-RICE-4-DI02</t>
        </is>
      </c>
      <c r="H4894" s="12" t="inlineStr">
        <is>
          <t>RICE engine-generator 4</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5" t="n">
        <v>516</v>
      </c>
      <c r="U4894" s="15" t="n">
        <v>53</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I-I-0293</t>
        </is>
      </c>
      <c r="B4895" s="12" t="inlineStr">
        <is>
          <t>I</t>
        </is>
      </c>
      <c r="C4895" s="12" t="inlineStr">
        <is>
          <t>Modular / portable power</t>
        </is>
      </c>
      <c r="D4895" s="12" t="inlineStr">
        <is>
          <t>Discrete device to JB JB-RICE-4-DI03: 20 x 1 pr (field cables)</t>
        </is>
      </c>
      <c r="E4895" s="12" t="inlineStr">
        <is>
          <t>RICE-4</t>
        </is>
      </c>
      <c r="F4895" s="12" t="inlineStr">
        <is>
          <t>RICE engine-generator 4</t>
        </is>
      </c>
      <c r="G4895" s="12" t="inlineStr">
        <is>
          <t>JB-RICE-4-DI03</t>
        </is>
      </c>
      <c r="H4895" s="12" t="inlineStr">
        <is>
          <t>RICE engine-generator 4</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5" t="n">
        <v>72</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I-I-0294</t>
        </is>
      </c>
      <c r="B4896" s="12" t="inlineStr">
        <is>
          <t>I</t>
        </is>
      </c>
      <c r="C4896" s="12" t="inlineStr">
        <is>
          <t>Modular / portable power</t>
        </is>
      </c>
      <c r="D4896" s="12" t="inlineStr">
        <is>
          <t>Home run JB-RICE-4-DI03 to the control / marshalling room</t>
        </is>
      </c>
      <c r="E4896" s="12" t="inlineStr"/>
      <c r="F4896" s="12" t="inlineStr">
        <is>
          <t>PCM: power control module</t>
        </is>
      </c>
      <c r="G4896" s="12" t="inlineStr">
        <is>
          <t>JB-RICE-4-DI03</t>
        </is>
      </c>
      <c r="H4896" s="12" t="inlineStr">
        <is>
          <t>RICE engine-generator 4</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5" t="n">
        <v>516</v>
      </c>
      <c r="U4896" s="15" t="n">
        <v>53</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I-I-0295</t>
        </is>
      </c>
      <c r="B4897" s="12" t="inlineStr">
        <is>
          <t>I</t>
        </is>
      </c>
      <c r="C4897" s="12" t="inlineStr">
        <is>
          <t>Modular / portable power</t>
        </is>
      </c>
      <c r="D4897" s="12" t="inlineStr">
        <is>
          <t>Thermocouple to TC JB JB-RICE-4-TC01: 20 x 1 pr (field cables)</t>
        </is>
      </c>
      <c r="E4897" s="12" t="inlineStr">
        <is>
          <t>RICE-4</t>
        </is>
      </c>
      <c r="F4897" s="12" t="inlineStr">
        <is>
          <t>RICE engine-generator 4</t>
        </is>
      </c>
      <c r="G4897" s="12" t="inlineStr">
        <is>
          <t>JB-RICE-4-TC01</t>
        </is>
      </c>
      <c r="H4897" s="12" t="inlineStr">
        <is>
          <t>RICE engine-generator 4</t>
        </is>
      </c>
      <c r="I4897" s="12" t="inlineStr">
        <is>
          <t>Instrumentation</t>
        </is>
      </c>
      <c r="J4897" s="12" t="inlineStr">
        <is>
          <t>Thermocouple extension KX, #16 shielded pairs, PLTC</t>
        </is>
      </c>
      <c r="K4897" s="12" t="inlineStr">
        <is>
          <t>TCX|1 pr|16</t>
        </is>
      </c>
      <c r="L4897" s="12" t="inlineStr">
        <is>
          <t>1 pr</t>
        </is>
      </c>
      <c r="M4897" s="12" t="inlineStr">
        <is>
          <t>16</t>
        </is>
      </c>
      <c r="N4897" s="12" t="n">
        <v>20</v>
      </c>
      <c r="O4897" s="12" t="n">
        <v>1</v>
      </c>
      <c r="P4897" s="12" t="n"/>
      <c r="Q4897" s="12" t="n"/>
      <c r="R4897" s="12" t="n"/>
      <c r="S4897" s="12" t="inlineStr">
        <is>
          <t>Tray / conduit</t>
        </is>
      </c>
      <c r="T4897" s="15" t="n">
        <v>72</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I-I-0296</t>
        </is>
      </c>
      <c r="B4898" s="12" t="inlineStr">
        <is>
          <t>I</t>
        </is>
      </c>
      <c r="C4898" s="12" t="inlineStr">
        <is>
          <t>Modular / portable power</t>
        </is>
      </c>
      <c r="D4898" s="12" t="inlineStr">
        <is>
          <t>Home run JB-RICE-4-TC01 to the control / marshalling room</t>
        </is>
      </c>
      <c r="E4898" s="12" t="inlineStr"/>
      <c r="F4898" s="12" t="inlineStr">
        <is>
          <t>PCM: power control module</t>
        </is>
      </c>
      <c r="G4898" s="12" t="inlineStr">
        <is>
          <t>JB-RICE-4-TC01</t>
        </is>
      </c>
      <c r="H4898" s="12" t="inlineStr">
        <is>
          <t>RICE engine-generator 4</t>
        </is>
      </c>
      <c r="I4898" s="12" t="inlineStr">
        <is>
          <t>Instrumentation</t>
        </is>
      </c>
      <c r="J4898" s="12" t="inlineStr">
        <is>
          <t>Thermocouple extension KX, #16 shielded pairs, PLTC</t>
        </is>
      </c>
      <c r="K4898" s="12" t="inlineStr">
        <is>
          <t>TCX|24 pr|16</t>
        </is>
      </c>
      <c r="L4898" s="12" t="inlineStr">
        <is>
          <t>24 pr</t>
        </is>
      </c>
      <c r="M4898" s="12" t="inlineStr">
        <is>
          <t>16</t>
        </is>
      </c>
      <c r="N4898" s="12" t="n">
        <v>1</v>
      </c>
      <c r="O4898" s="12" t="n">
        <v>1</v>
      </c>
      <c r="P4898" s="12" t="n"/>
      <c r="Q4898" s="12" t="n"/>
      <c r="R4898" s="12" t="n"/>
      <c r="S4898" s="12" t="inlineStr">
        <is>
          <t>Duct bank</t>
        </is>
      </c>
      <c r="T4898" s="15" t="n">
        <v>516</v>
      </c>
      <c r="U4898" s="15" t="n">
        <v>53</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I-I-0297</t>
        </is>
      </c>
      <c r="B4899" s="12" t="inlineStr">
        <is>
          <t>I</t>
        </is>
      </c>
      <c r="C4899" s="12" t="inlineStr">
        <is>
          <t>Modular / portable power</t>
        </is>
      </c>
      <c r="D4899" s="12" t="inlineStr">
        <is>
          <t>Thermocouple to TC JB JB-RICE-4-TC02: 10 x 1 pr (field cables)</t>
        </is>
      </c>
      <c r="E4899" s="12" t="inlineStr">
        <is>
          <t>RICE-4</t>
        </is>
      </c>
      <c r="F4899" s="12" t="inlineStr">
        <is>
          <t>RICE engine-generator 4</t>
        </is>
      </c>
      <c r="G4899" s="12" t="inlineStr">
        <is>
          <t>JB-RICE-4-TC02</t>
        </is>
      </c>
      <c r="H4899" s="12" t="inlineStr">
        <is>
          <t>RICE engine-generator 4</t>
        </is>
      </c>
      <c r="I4899" s="12" t="inlineStr">
        <is>
          <t>Instrumentation</t>
        </is>
      </c>
      <c r="J4899" s="12" t="inlineStr">
        <is>
          <t>Thermocouple extension KX, #16 shielded pairs, PLTC</t>
        </is>
      </c>
      <c r="K4899" s="12" t="inlineStr">
        <is>
          <t>TCX|1 pr|16</t>
        </is>
      </c>
      <c r="L4899" s="12" t="inlineStr">
        <is>
          <t>1 pr</t>
        </is>
      </c>
      <c r="M4899" s="12" t="inlineStr">
        <is>
          <t>16</t>
        </is>
      </c>
      <c r="N4899" s="12" t="n">
        <v>10</v>
      </c>
      <c r="O4899" s="12" t="n">
        <v>1</v>
      </c>
      <c r="P4899" s="12" t="n"/>
      <c r="Q4899" s="12" t="n"/>
      <c r="R4899" s="12" t="n"/>
      <c r="S4899" s="12" t="inlineStr">
        <is>
          <t>Tray / conduit</t>
        </is>
      </c>
      <c r="T4899" s="15" t="n">
        <v>72</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I-I-0298</t>
        </is>
      </c>
      <c r="B4900" s="12" t="inlineStr">
        <is>
          <t>I</t>
        </is>
      </c>
      <c r="C4900" s="12" t="inlineStr">
        <is>
          <t>Modular / portable power</t>
        </is>
      </c>
      <c r="D4900" s="12" t="inlineStr">
        <is>
          <t>Home run JB-RICE-4-TC02 to the control / marshalling room</t>
        </is>
      </c>
      <c r="E4900" s="12" t="inlineStr"/>
      <c r="F4900" s="12" t="inlineStr">
        <is>
          <t>PCM: power control module</t>
        </is>
      </c>
      <c r="G4900" s="12" t="inlineStr">
        <is>
          <t>JB-RICE-4-TC02</t>
        </is>
      </c>
      <c r="H4900" s="12" t="inlineStr">
        <is>
          <t>RICE engine-generator 4</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Duct bank</t>
        </is>
      </c>
      <c r="T4900" s="15" t="n">
        <v>516</v>
      </c>
      <c r="U4900" s="15" t="n">
        <v>53</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I-I-0299</t>
        </is>
      </c>
      <c r="B4901" s="12" t="inlineStr">
        <is>
          <t>I</t>
        </is>
      </c>
      <c r="C4901" s="12" t="inlineStr">
        <is>
          <t>Modular / portable power</t>
        </is>
      </c>
      <c r="D4901" s="12" t="inlineStr">
        <is>
          <t>RTD to JB JB-RICE-4-RTD01: 10 x 1 tri (field cables)</t>
        </is>
      </c>
      <c r="E4901" s="12" t="inlineStr">
        <is>
          <t>RICE-4</t>
        </is>
      </c>
      <c r="F4901" s="12" t="inlineStr">
        <is>
          <t>RICE engine-generator 4</t>
        </is>
      </c>
      <c r="G4901" s="12" t="inlineStr">
        <is>
          <t>JB-RICE-4-RTD01</t>
        </is>
      </c>
      <c r="H4901" s="12" t="inlineStr">
        <is>
          <t>RICE engine-generator 4</t>
        </is>
      </c>
      <c r="I4901" s="12" t="inlineStr">
        <is>
          <t>Instrumentation</t>
        </is>
      </c>
      <c r="J4901" s="12" t="inlineStr">
        <is>
          <t>RTD cable, #18 shielded triads, PLTC</t>
        </is>
      </c>
      <c r="K4901" s="12" t="inlineStr">
        <is>
          <t>RTD|1 tri|18</t>
        </is>
      </c>
      <c r="L4901" s="12" t="inlineStr">
        <is>
          <t>1 tri</t>
        </is>
      </c>
      <c r="M4901" s="12" t="inlineStr">
        <is>
          <t>18</t>
        </is>
      </c>
      <c r="N4901" s="12" t="n">
        <v>10</v>
      </c>
      <c r="O4901" s="12" t="n">
        <v>1</v>
      </c>
      <c r="P4901" s="12" t="n"/>
      <c r="Q4901" s="12" t="n"/>
      <c r="R4901" s="12" t="n"/>
      <c r="S4901" s="12" t="inlineStr">
        <is>
          <t>Tray / conduit</t>
        </is>
      </c>
      <c r="T4901" s="15" t="n">
        <v>72</v>
      </c>
      <c r="U4901" s="15" t="n">
        <v>10</v>
      </c>
      <c r="V4901" s="15">
        <f>ROUNDUP((T4901+U4901+2*'Read Me'!$B$13)*(1+'Read Me'!$B$12),-1)</f>
        <v/>
      </c>
      <c r="W4901" s="15">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I-I-0300</t>
        </is>
      </c>
      <c r="B4902" s="12" t="inlineStr">
        <is>
          <t>I</t>
        </is>
      </c>
      <c r="C4902" s="12" t="inlineStr">
        <is>
          <t>Modular / portable power</t>
        </is>
      </c>
      <c r="D4902" s="12" t="inlineStr">
        <is>
          <t>Home run JB-RICE-4-RTD01 to the control / marshalling room</t>
        </is>
      </c>
      <c r="E4902" s="12" t="inlineStr"/>
      <c r="F4902" s="12" t="inlineStr">
        <is>
          <t>PCM: power control module</t>
        </is>
      </c>
      <c r="G4902" s="12" t="inlineStr">
        <is>
          <t>JB-RICE-4-RTD01</t>
        </is>
      </c>
      <c r="H4902" s="12" t="inlineStr">
        <is>
          <t>RICE engine-generator 4</t>
        </is>
      </c>
      <c r="I4902" s="12" t="inlineStr">
        <is>
          <t>Instrumentation</t>
        </is>
      </c>
      <c r="J4902" s="12" t="inlineStr">
        <is>
          <t>RTD cable, #18 shielded triads, PLTC</t>
        </is>
      </c>
      <c r="K4902" s="12" t="inlineStr">
        <is>
          <t>RTD|12 tri|18</t>
        </is>
      </c>
      <c r="L4902" s="12" t="inlineStr">
        <is>
          <t>12 tri</t>
        </is>
      </c>
      <c r="M4902" s="12" t="inlineStr">
        <is>
          <t>18</t>
        </is>
      </c>
      <c r="N4902" s="12" t="n">
        <v>1</v>
      </c>
      <c r="O4902" s="12" t="n">
        <v>1</v>
      </c>
      <c r="P4902" s="12" t="n"/>
      <c r="Q4902" s="12" t="n"/>
      <c r="R4902" s="12" t="n"/>
      <c r="S4902" s="12" t="inlineStr">
        <is>
          <t>Duct bank</t>
        </is>
      </c>
      <c r="T4902" s="15" t="n">
        <v>516</v>
      </c>
      <c r="U4902" s="15" t="n">
        <v>53</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I-I-0301</t>
        </is>
      </c>
      <c r="B4903" s="12" t="inlineStr">
        <is>
          <t>I</t>
        </is>
      </c>
      <c r="C4903" s="12" t="inlineStr">
        <is>
          <t>Modular / portable power</t>
        </is>
      </c>
      <c r="D4903" s="12" t="inlineStr">
        <is>
          <t>RTD to JB JB-RICE-4-RTD02: 2 x 1 tri (field cables)</t>
        </is>
      </c>
      <c r="E4903" s="12" t="inlineStr">
        <is>
          <t>RICE-4</t>
        </is>
      </c>
      <c r="F4903" s="12" t="inlineStr">
        <is>
          <t>RICE engine-generator 4</t>
        </is>
      </c>
      <c r="G4903" s="12" t="inlineStr">
        <is>
          <t>JB-RICE-4-RTD02</t>
        </is>
      </c>
      <c r="H4903" s="12" t="inlineStr">
        <is>
          <t>RICE engine-generator 4</t>
        </is>
      </c>
      <c r="I4903" s="12" t="inlineStr">
        <is>
          <t>Instrumentation</t>
        </is>
      </c>
      <c r="J4903" s="12" t="inlineStr">
        <is>
          <t>RTD cable, #18 shielded triads, PLTC</t>
        </is>
      </c>
      <c r="K4903" s="12" t="inlineStr">
        <is>
          <t>RTD|1 tri|18</t>
        </is>
      </c>
      <c r="L4903" s="12" t="inlineStr">
        <is>
          <t>1 tri</t>
        </is>
      </c>
      <c r="M4903" s="12" t="inlineStr">
        <is>
          <t>18</t>
        </is>
      </c>
      <c r="N4903" s="12" t="n">
        <v>2</v>
      </c>
      <c r="O4903" s="12" t="n">
        <v>1</v>
      </c>
      <c r="P4903" s="12" t="n"/>
      <c r="Q4903" s="12" t="n"/>
      <c r="R4903" s="12" t="n"/>
      <c r="S4903" s="12" t="inlineStr">
        <is>
          <t>Tray / conduit</t>
        </is>
      </c>
      <c r="T4903" s="15" t="n">
        <v>72</v>
      </c>
      <c r="U4903" s="15" t="n">
        <v>10</v>
      </c>
      <c r="V4903" s="15">
        <f>ROUNDUP((T4903+U4903+2*'Read Me'!$B$13)*(1+'Read Me'!$B$12),-1)</f>
        <v/>
      </c>
      <c r="W4903" s="15">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I-I-0302</t>
        </is>
      </c>
      <c r="B4904" s="12" t="inlineStr">
        <is>
          <t>I</t>
        </is>
      </c>
      <c r="C4904" s="12" t="inlineStr">
        <is>
          <t>Modular / portable power</t>
        </is>
      </c>
      <c r="D4904" s="12" t="inlineStr">
        <is>
          <t>Home run JB-RICE-4-RTD02 to the control / marshalling room</t>
        </is>
      </c>
      <c r="E4904" s="12" t="inlineStr"/>
      <c r="F4904" s="12" t="inlineStr">
        <is>
          <t>PCM: power control module</t>
        </is>
      </c>
      <c r="G4904" s="12" t="inlineStr">
        <is>
          <t>JB-RICE-4-RTD02</t>
        </is>
      </c>
      <c r="H4904" s="12" t="inlineStr">
        <is>
          <t>RICE engine-generator 4</t>
        </is>
      </c>
      <c r="I4904" s="12" t="inlineStr">
        <is>
          <t>Instrumentation</t>
        </is>
      </c>
      <c r="J4904" s="12" t="inlineStr">
        <is>
          <t>RTD cable, #18 shielded triads, PLTC</t>
        </is>
      </c>
      <c r="K4904" s="12" t="inlineStr">
        <is>
          <t>RTD|12 tri|18</t>
        </is>
      </c>
      <c r="L4904" s="12" t="inlineStr">
        <is>
          <t>12 tri</t>
        </is>
      </c>
      <c r="M4904" s="12" t="inlineStr">
        <is>
          <t>18</t>
        </is>
      </c>
      <c r="N4904" s="12" t="n">
        <v>1</v>
      </c>
      <c r="O4904" s="12" t="n">
        <v>1</v>
      </c>
      <c r="P4904" s="12" t="n"/>
      <c r="Q4904" s="12" t="n"/>
      <c r="R4904" s="12" t="n"/>
      <c r="S4904" s="12" t="inlineStr">
        <is>
          <t>Duct bank</t>
        </is>
      </c>
      <c r="T4904" s="15" t="n">
        <v>516</v>
      </c>
      <c r="U4904" s="15" t="n">
        <v>53</v>
      </c>
      <c r="V4904" s="15">
        <f>ROUNDUP((T4904+U4904+2*'Read Me'!$B$13)*(1+'Read Me'!$B$12),-1)</f>
        <v/>
      </c>
      <c r="W4904" s="15">
        <f>V4904*N4904*O4904</f>
        <v/>
      </c>
      <c r="X4904" s="12">
        <f>IF(LEFT(I4904,2)="MV",2*N4904*IF(L4904="1/C",O4904,1),0)</f>
        <v/>
      </c>
      <c r="Y4904" s="12">
        <f>IF(OR(LEFT(K4904,4)="LVAX",LEFT(K4904,6)="MV15AX",LEFT(K4904,4)="CTAX",LEFT(K4904,2)="W|"),2*N4904*O4904,0)</f>
        <v/>
      </c>
      <c r="Z4904" s="12" t="inlineStr"/>
      <c r="AA4904" s="12">
        <f>N4904*O4904</f>
        <v/>
      </c>
    </row>
    <row r="4905">
      <c r="A4905" s="12" t="inlineStr">
        <is>
          <t>I-I-0303</t>
        </is>
      </c>
      <c r="B4905" s="12" t="inlineStr">
        <is>
          <t>I</t>
        </is>
      </c>
      <c r="C4905" s="12" t="inlineStr">
        <is>
          <t>Modular / portable power</t>
        </is>
      </c>
      <c r="D4905" s="12" t="inlineStr">
        <is>
          <t>Analog instrument to JB JB-RICE-5-AI01: 20 x 1 pr (field cables)</t>
        </is>
      </c>
      <c r="E4905" s="12" t="inlineStr">
        <is>
          <t>RICE-5</t>
        </is>
      </c>
      <c r="F4905" s="12" t="inlineStr">
        <is>
          <t>RICE engine-generator 5</t>
        </is>
      </c>
      <c r="G4905" s="12" t="inlineStr">
        <is>
          <t>JB-RICE-5-AI01</t>
        </is>
      </c>
      <c r="H4905" s="12" t="inlineStr">
        <is>
          <t>RICE engine-generator 5</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5" t="n">
        <v>72</v>
      </c>
      <c r="U4905" s="15" t="n">
        <v>10</v>
      </c>
      <c r="V4905" s="15">
        <f>ROUNDUP((T4905+U4905+2*'Read Me'!$B$13)*(1+'Read Me'!$B$12),-1)</f>
        <v/>
      </c>
      <c r="W4905" s="15">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I-I-0304</t>
        </is>
      </c>
      <c r="B4906" s="12" t="inlineStr">
        <is>
          <t>I</t>
        </is>
      </c>
      <c r="C4906" s="12" t="inlineStr">
        <is>
          <t>Modular / portable power</t>
        </is>
      </c>
      <c r="D4906" s="12" t="inlineStr">
        <is>
          <t>Home run JB-RICE-5-AI01 to the control / marshalling room</t>
        </is>
      </c>
      <c r="E4906" s="12" t="inlineStr"/>
      <c r="F4906" s="12" t="inlineStr">
        <is>
          <t>PCM: power control module</t>
        </is>
      </c>
      <c r="G4906" s="12" t="inlineStr">
        <is>
          <t>JB-RICE-5-AI01</t>
        </is>
      </c>
      <c r="H4906" s="12" t="inlineStr">
        <is>
          <t>RICE engine-generator 5</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5" t="n">
        <v>57</v>
      </c>
      <c r="U4906" s="15" t="n">
        <v>181</v>
      </c>
      <c r="V4906" s="15">
        <f>ROUNDUP((T4906+U4906+2*'Read Me'!$B$13)*(1+'Read Me'!$B$12),-1)</f>
        <v/>
      </c>
      <c r="W4906" s="15">
        <f>V4906*N4906*O4906</f>
        <v/>
      </c>
      <c r="X4906" s="12">
        <f>IF(LEFT(I4906,2)="MV",2*N4906*IF(L4906="1/C",O4906,1),0)</f>
        <v/>
      </c>
      <c r="Y4906" s="12">
        <f>IF(OR(LEFT(K4906,4)="LVAX",LEFT(K4906,6)="MV15AX",LEFT(K4906,4)="CTAX",LEFT(K4906,2)="W|"),2*N4906*O4906,0)</f>
        <v/>
      </c>
      <c r="Z4906" s="12" t="inlineStr"/>
      <c r="AA4906" s="12">
        <f>N4906*O4906</f>
        <v/>
      </c>
    </row>
    <row r="4907">
      <c r="A4907" s="12" t="inlineStr">
        <is>
          <t>I-I-0305</t>
        </is>
      </c>
      <c r="B4907" s="12" t="inlineStr">
        <is>
          <t>I</t>
        </is>
      </c>
      <c r="C4907" s="12" t="inlineStr">
        <is>
          <t>Modular / portable power</t>
        </is>
      </c>
      <c r="D4907" s="12" t="inlineStr">
        <is>
          <t>Analog instrument to JB JB-RICE-5-AI02: 20 x 1 pr (field cables)</t>
        </is>
      </c>
      <c r="E4907" s="12" t="inlineStr">
        <is>
          <t>RICE-5</t>
        </is>
      </c>
      <c r="F4907" s="12" t="inlineStr">
        <is>
          <t>RICE engine-generator 5</t>
        </is>
      </c>
      <c r="G4907" s="12" t="inlineStr">
        <is>
          <t>JB-RICE-5-AI02</t>
        </is>
      </c>
      <c r="H4907" s="12" t="inlineStr">
        <is>
          <t>RICE engine-generator 5</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5" t="n">
        <v>72</v>
      </c>
      <c r="U4907" s="15" t="n">
        <v>10</v>
      </c>
      <c r="V4907" s="15">
        <f>ROUNDUP((T4907+U4907+2*'Read Me'!$B$13)*(1+'Read Me'!$B$12),-1)</f>
        <v/>
      </c>
      <c r="W4907" s="15">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I-I-0306</t>
        </is>
      </c>
      <c r="B4908" s="12" t="inlineStr">
        <is>
          <t>I</t>
        </is>
      </c>
      <c r="C4908" s="12" t="inlineStr">
        <is>
          <t>Modular / portable power</t>
        </is>
      </c>
      <c r="D4908" s="12" t="inlineStr">
        <is>
          <t>Home run JB-RICE-5-AI02 to the control / marshalling room</t>
        </is>
      </c>
      <c r="E4908" s="12" t="inlineStr"/>
      <c r="F4908" s="12" t="inlineStr">
        <is>
          <t>PCM: power control module</t>
        </is>
      </c>
      <c r="G4908" s="12" t="inlineStr">
        <is>
          <t>JB-RICE-5-AI02</t>
        </is>
      </c>
      <c r="H4908" s="12" t="inlineStr">
        <is>
          <t>RICE engine-generator 5</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5" t="n">
        <v>57</v>
      </c>
      <c r="U4908" s="15" t="n">
        <v>181</v>
      </c>
      <c r="V4908" s="15">
        <f>ROUNDUP((T4908+U4908+2*'Read Me'!$B$13)*(1+'Read Me'!$B$12),-1)</f>
        <v/>
      </c>
      <c r="W4908" s="15">
        <f>V4908*N4908*O4908</f>
        <v/>
      </c>
      <c r="X4908" s="12">
        <f>IF(LEFT(I4908,2)="MV",2*N4908*IF(L4908="1/C",O4908,1),0)</f>
        <v/>
      </c>
      <c r="Y4908" s="12">
        <f>IF(OR(LEFT(K4908,4)="LVAX",LEFT(K4908,6)="MV15AX",LEFT(K4908,4)="CTAX",LEFT(K4908,2)="W|"),2*N4908*O4908,0)</f>
        <v/>
      </c>
      <c r="Z4908" s="12" t="inlineStr"/>
      <c r="AA4908" s="12">
        <f>N4908*O4908</f>
        <v/>
      </c>
    </row>
    <row r="4909">
      <c r="A4909" s="12" t="inlineStr">
        <is>
          <t>I-I-0307</t>
        </is>
      </c>
      <c r="B4909" s="12" t="inlineStr">
        <is>
          <t>I</t>
        </is>
      </c>
      <c r="C4909" s="12" t="inlineStr">
        <is>
          <t>Modular / portable power</t>
        </is>
      </c>
      <c r="D4909" s="12" t="inlineStr">
        <is>
          <t>Analog instrument to JB JB-RICE-5-AI03: 20 x 1 pr (field cables)</t>
        </is>
      </c>
      <c r="E4909" s="12" t="inlineStr">
        <is>
          <t>RICE-5</t>
        </is>
      </c>
      <c r="F4909" s="12" t="inlineStr">
        <is>
          <t>RICE engine-generator 5</t>
        </is>
      </c>
      <c r="G4909" s="12" t="inlineStr">
        <is>
          <t>JB-RICE-5-AI03</t>
        </is>
      </c>
      <c r="H4909" s="12" t="inlineStr">
        <is>
          <t>RICE engine-generator 5</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5" t="n">
        <v>72</v>
      </c>
      <c r="U4909" s="15" t="n">
        <v>10</v>
      </c>
      <c r="V4909" s="15">
        <f>ROUNDUP((T4909+U4909+2*'Read Me'!$B$13)*(1+'Read Me'!$B$12),-1)</f>
        <v/>
      </c>
      <c r="W4909" s="15">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I-I-0308</t>
        </is>
      </c>
      <c r="B4910" s="12" t="inlineStr">
        <is>
          <t>I</t>
        </is>
      </c>
      <c r="C4910" s="12" t="inlineStr">
        <is>
          <t>Modular / portable power</t>
        </is>
      </c>
      <c r="D4910" s="12" t="inlineStr">
        <is>
          <t>Home run JB-RICE-5-AI03 to the control / marshalling room</t>
        </is>
      </c>
      <c r="E4910" s="12" t="inlineStr"/>
      <c r="F4910" s="12" t="inlineStr">
        <is>
          <t>PCM: power control module</t>
        </is>
      </c>
      <c r="G4910" s="12" t="inlineStr">
        <is>
          <t>JB-RICE-5-AI03</t>
        </is>
      </c>
      <c r="H4910" s="12" t="inlineStr">
        <is>
          <t>RICE engine-generator 5</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5" t="n">
        <v>57</v>
      </c>
      <c r="U4910" s="15" t="n">
        <v>181</v>
      </c>
      <c r="V4910" s="15">
        <f>ROUNDUP((T4910+U4910+2*'Read Me'!$B$13)*(1+'Read Me'!$B$12),-1)</f>
        <v/>
      </c>
      <c r="W4910" s="15">
        <f>V4910*N4910*O4910</f>
        <v/>
      </c>
      <c r="X4910" s="12">
        <f>IF(LEFT(I4910,2)="MV",2*N4910*IF(L4910="1/C",O4910,1),0)</f>
        <v/>
      </c>
      <c r="Y4910" s="12">
        <f>IF(OR(LEFT(K4910,4)="LVAX",LEFT(K4910,6)="MV15AX",LEFT(K4910,4)="CTAX",LEFT(K4910,2)="W|"),2*N4910*O4910,0)</f>
        <v/>
      </c>
      <c r="Z4910" s="12" t="inlineStr"/>
      <c r="AA4910" s="12">
        <f>N4910*O4910</f>
        <v/>
      </c>
    </row>
    <row r="4911">
      <c r="A4911" s="12" t="inlineStr">
        <is>
          <t>I-I-0309</t>
        </is>
      </c>
      <c r="B4911" s="12" t="inlineStr">
        <is>
          <t>I</t>
        </is>
      </c>
      <c r="C4911" s="12" t="inlineStr">
        <is>
          <t>Modular / portable power</t>
        </is>
      </c>
      <c r="D4911" s="12" t="inlineStr">
        <is>
          <t>Analog instrument to JB JB-RICE-5-AI04: 20 x 1 pr (field cables)</t>
        </is>
      </c>
      <c r="E4911" s="12" t="inlineStr">
        <is>
          <t>RICE-5</t>
        </is>
      </c>
      <c r="F4911" s="12" t="inlineStr">
        <is>
          <t>RICE engine-generator 5</t>
        </is>
      </c>
      <c r="G4911" s="12" t="inlineStr">
        <is>
          <t>JB-RICE-5-AI04</t>
        </is>
      </c>
      <c r="H4911" s="12" t="inlineStr">
        <is>
          <t>RICE engine-generator 5</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5" t="n">
        <v>72</v>
      </c>
      <c r="U4911" s="15" t="n">
        <v>10</v>
      </c>
      <c r="V4911" s="15">
        <f>ROUNDUP((T4911+U4911+2*'Read Me'!$B$13)*(1+'Read Me'!$B$12),-1)</f>
        <v/>
      </c>
      <c r="W4911" s="15">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I-I-0310</t>
        </is>
      </c>
      <c r="B4912" s="12" t="inlineStr">
        <is>
          <t>I</t>
        </is>
      </c>
      <c r="C4912" s="12" t="inlineStr">
        <is>
          <t>Modular / portable power</t>
        </is>
      </c>
      <c r="D4912" s="12" t="inlineStr">
        <is>
          <t>Home run JB-RICE-5-AI04 to the control / marshalling room</t>
        </is>
      </c>
      <c r="E4912" s="12" t="inlineStr"/>
      <c r="F4912" s="12" t="inlineStr">
        <is>
          <t>PCM: power control module</t>
        </is>
      </c>
      <c r="G4912" s="12" t="inlineStr">
        <is>
          <t>JB-RICE-5-AI04</t>
        </is>
      </c>
      <c r="H4912" s="12" t="inlineStr">
        <is>
          <t>RICE engine-generator 5</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5" t="n">
        <v>57</v>
      </c>
      <c r="U4912" s="15" t="n">
        <v>181</v>
      </c>
      <c r="V4912" s="15">
        <f>ROUNDUP((T4912+U4912+2*'Read Me'!$B$13)*(1+'Read Me'!$B$12),-1)</f>
        <v/>
      </c>
      <c r="W4912" s="15">
        <f>V4912*N4912*O4912</f>
        <v/>
      </c>
      <c r="X4912" s="12">
        <f>IF(LEFT(I4912,2)="MV",2*N4912*IF(L4912="1/C",O4912,1),0)</f>
        <v/>
      </c>
      <c r="Y4912" s="12">
        <f>IF(OR(LEFT(K4912,4)="LVAX",LEFT(K4912,6)="MV15AX",LEFT(K4912,4)="CTAX",LEFT(K4912,2)="W|"),2*N4912*O4912,0)</f>
        <v/>
      </c>
      <c r="Z4912" s="12" t="inlineStr"/>
      <c r="AA4912" s="12">
        <f>N4912*O4912</f>
        <v/>
      </c>
    </row>
    <row r="4913">
      <c r="A4913" s="12" t="inlineStr">
        <is>
          <t>I-I-0311</t>
        </is>
      </c>
      <c r="B4913" s="12" t="inlineStr">
        <is>
          <t>I</t>
        </is>
      </c>
      <c r="C4913" s="12" t="inlineStr">
        <is>
          <t>Modular / portable power</t>
        </is>
      </c>
      <c r="D4913" s="12" t="inlineStr">
        <is>
          <t>Discrete device to JB JB-RICE-5-DI01: 20 x 1 pr (field cables)</t>
        </is>
      </c>
      <c r="E4913" s="12" t="inlineStr">
        <is>
          <t>RICE-5</t>
        </is>
      </c>
      <c r="F4913" s="12" t="inlineStr">
        <is>
          <t>RICE engine-generator 5</t>
        </is>
      </c>
      <c r="G4913" s="12" t="inlineStr">
        <is>
          <t>JB-RICE-5-DI01</t>
        </is>
      </c>
      <c r="H4913" s="12" t="inlineStr">
        <is>
          <t>RICE engine-generator 5</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5" t="n">
        <v>72</v>
      </c>
      <c r="U4913" s="15" t="n">
        <v>10</v>
      </c>
      <c r="V4913" s="15">
        <f>ROUNDUP((T4913+U4913+2*'Read Me'!$B$13)*(1+'Read Me'!$B$12),-1)</f>
        <v/>
      </c>
      <c r="W4913" s="15">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I-I-0312</t>
        </is>
      </c>
      <c r="B4914" s="12" t="inlineStr">
        <is>
          <t>I</t>
        </is>
      </c>
      <c r="C4914" s="12" t="inlineStr">
        <is>
          <t>Modular / portable power</t>
        </is>
      </c>
      <c r="D4914" s="12" t="inlineStr">
        <is>
          <t>Home run JB-RICE-5-DI01 to the control / marshalling room</t>
        </is>
      </c>
      <c r="E4914" s="12" t="inlineStr"/>
      <c r="F4914" s="12" t="inlineStr">
        <is>
          <t>PCM: power control module</t>
        </is>
      </c>
      <c r="G4914" s="12" t="inlineStr">
        <is>
          <t>JB-RICE-5-DI01</t>
        </is>
      </c>
      <c r="H4914" s="12" t="inlineStr">
        <is>
          <t>RICE engine-generator 5</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Duct bank</t>
        </is>
      </c>
      <c r="T4914" s="15" t="n">
        <v>57</v>
      </c>
      <c r="U4914" s="15" t="n">
        <v>181</v>
      </c>
      <c r="V4914" s="15">
        <f>ROUNDUP((T4914+U4914+2*'Read Me'!$B$13)*(1+'Read Me'!$B$12),-1)</f>
        <v/>
      </c>
      <c r="W4914" s="15">
        <f>V4914*N4914*O4914</f>
        <v/>
      </c>
      <c r="X4914" s="12">
        <f>IF(LEFT(I4914,2)="MV",2*N4914*IF(L4914="1/C",O4914,1),0)</f>
        <v/>
      </c>
      <c r="Y4914" s="12">
        <f>IF(OR(LEFT(K4914,4)="LVAX",LEFT(K4914,6)="MV15AX",LEFT(K4914,4)="CTAX",LEFT(K4914,2)="W|"),2*N4914*O4914,0)</f>
        <v/>
      </c>
      <c r="Z4914" s="12" t="inlineStr"/>
      <c r="AA4914" s="12">
        <f>N4914*O4914</f>
        <v/>
      </c>
    </row>
    <row r="4915">
      <c r="A4915" s="12" t="inlineStr">
        <is>
          <t>I-I-0313</t>
        </is>
      </c>
      <c r="B4915" s="12" t="inlineStr">
        <is>
          <t>I</t>
        </is>
      </c>
      <c r="C4915" s="12" t="inlineStr">
        <is>
          <t>Modular / portable power</t>
        </is>
      </c>
      <c r="D4915" s="12" t="inlineStr">
        <is>
          <t>Discrete device to JB JB-RICE-5-DI02: 20 x 1 pr (field cables)</t>
        </is>
      </c>
      <c r="E4915" s="12" t="inlineStr">
        <is>
          <t>RICE-5</t>
        </is>
      </c>
      <c r="F4915" s="12" t="inlineStr">
        <is>
          <t>RICE engine-generator 5</t>
        </is>
      </c>
      <c r="G4915" s="12" t="inlineStr">
        <is>
          <t>JB-RICE-5-DI02</t>
        </is>
      </c>
      <c r="H4915" s="12" t="inlineStr">
        <is>
          <t>RICE engine-generator 5</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5" t="n">
        <v>72</v>
      </c>
      <c r="U4915" s="15" t="n">
        <v>10</v>
      </c>
      <c r="V4915" s="15">
        <f>ROUNDUP((T4915+U4915+2*'Read Me'!$B$13)*(1+'Read Me'!$B$12),-1)</f>
        <v/>
      </c>
      <c r="W4915" s="15">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I-I-0314</t>
        </is>
      </c>
      <c r="B4916" s="12" t="inlineStr">
        <is>
          <t>I</t>
        </is>
      </c>
      <c r="C4916" s="12" t="inlineStr">
        <is>
          <t>Modular / portable power</t>
        </is>
      </c>
      <c r="D4916" s="12" t="inlineStr">
        <is>
          <t>Home run JB-RICE-5-DI02 to the control / marshalling room</t>
        </is>
      </c>
      <c r="E4916" s="12" t="inlineStr"/>
      <c r="F4916" s="12" t="inlineStr">
        <is>
          <t>PCM: power control module</t>
        </is>
      </c>
      <c r="G4916" s="12" t="inlineStr">
        <is>
          <t>JB-RICE-5-DI02</t>
        </is>
      </c>
      <c r="H4916" s="12" t="inlineStr">
        <is>
          <t>RICE engine-generator 5</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5" t="n">
        <v>57</v>
      </c>
      <c r="U4916" s="15" t="n">
        <v>181</v>
      </c>
      <c r="V4916" s="15">
        <f>ROUNDUP((T4916+U4916+2*'Read Me'!$B$13)*(1+'Read Me'!$B$12),-1)</f>
        <v/>
      </c>
      <c r="W4916" s="15">
        <f>V4916*N4916*O4916</f>
        <v/>
      </c>
      <c r="X4916" s="12">
        <f>IF(LEFT(I4916,2)="MV",2*N4916*IF(L4916="1/C",O4916,1),0)</f>
        <v/>
      </c>
      <c r="Y4916" s="12">
        <f>IF(OR(LEFT(K4916,4)="LVAX",LEFT(K4916,6)="MV15AX",LEFT(K4916,4)="CTAX",LEFT(K4916,2)="W|"),2*N4916*O4916,0)</f>
        <v/>
      </c>
      <c r="Z4916" s="12" t="inlineStr"/>
      <c r="AA4916" s="12">
        <f>N4916*O4916</f>
        <v/>
      </c>
    </row>
    <row r="4917">
      <c r="A4917" s="12" t="inlineStr">
        <is>
          <t>I-I-0315</t>
        </is>
      </c>
      <c r="B4917" s="12" t="inlineStr">
        <is>
          <t>I</t>
        </is>
      </c>
      <c r="C4917" s="12" t="inlineStr">
        <is>
          <t>Modular / portable power</t>
        </is>
      </c>
      <c r="D4917" s="12" t="inlineStr">
        <is>
          <t>Discrete device to JB JB-RICE-5-DI03: 20 x 1 pr (field cables)</t>
        </is>
      </c>
      <c r="E4917" s="12" t="inlineStr">
        <is>
          <t>RICE-5</t>
        </is>
      </c>
      <c r="F4917" s="12" t="inlineStr">
        <is>
          <t>RICE engine-generator 5</t>
        </is>
      </c>
      <c r="G4917" s="12" t="inlineStr">
        <is>
          <t>JB-RICE-5-DI03</t>
        </is>
      </c>
      <c r="H4917" s="12" t="inlineStr">
        <is>
          <t>RICE engine-generator 5</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5" t="n">
        <v>72</v>
      </c>
      <c r="U4917" s="15" t="n">
        <v>10</v>
      </c>
      <c r="V4917" s="15">
        <f>ROUNDUP((T4917+U4917+2*'Read Me'!$B$13)*(1+'Read Me'!$B$12),-1)</f>
        <v/>
      </c>
      <c r="W4917" s="15">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I-I-0316</t>
        </is>
      </c>
      <c r="B4918" s="12" t="inlineStr">
        <is>
          <t>I</t>
        </is>
      </c>
      <c r="C4918" s="12" t="inlineStr">
        <is>
          <t>Modular / portable power</t>
        </is>
      </c>
      <c r="D4918" s="12" t="inlineStr">
        <is>
          <t>Home run JB-RICE-5-DI03 to the control / marshalling room</t>
        </is>
      </c>
      <c r="E4918" s="12" t="inlineStr"/>
      <c r="F4918" s="12" t="inlineStr">
        <is>
          <t>PCM: power control module</t>
        </is>
      </c>
      <c r="G4918" s="12" t="inlineStr">
        <is>
          <t>JB-RICE-5-DI03</t>
        </is>
      </c>
      <c r="H4918" s="12" t="inlineStr">
        <is>
          <t>RICE engine-generator 5</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5" t="n">
        <v>57</v>
      </c>
      <c r="U4918" s="15" t="n">
        <v>181</v>
      </c>
      <c r="V4918" s="15">
        <f>ROUNDUP((T4918+U4918+2*'Read Me'!$B$13)*(1+'Read Me'!$B$12),-1)</f>
        <v/>
      </c>
      <c r="W4918" s="15">
        <f>V4918*N4918*O4918</f>
        <v/>
      </c>
      <c r="X4918" s="12">
        <f>IF(LEFT(I4918,2)="MV",2*N4918*IF(L4918="1/C",O4918,1),0)</f>
        <v/>
      </c>
      <c r="Y4918" s="12">
        <f>IF(OR(LEFT(K4918,4)="LVAX",LEFT(K4918,6)="MV15AX",LEFT(K4918,4)="CTAX",LEFT(K4918,2)="W|"),2*N4918*O4918,0)</f>
        <v/>
      </c>
      <c r="Z4918" s="12" t="inlineStr"/>
      <c r="AA4918" s="12">
        <f>N4918*O4918</f>
        <v/>
      </c>
    </row>
    <row r="4919">
      <c r="A4919" s="12" t="inlineStr">
        <is>
          <t>I-I-0317</t>
        </is>
      </c>
      <c r="B4919" s="12" t="inlineStr">
        <is>
          <t>I</t>
        </is>
      </c>
      <c r="C4919" s="12" t="inlineStr">
        <is>
          <t>Modular / portable power</t>
        </is>
      </c>
      <c r="D4919" s="12" t="inlineStr">
        <is>
          <t>Thermocouple to TC JB JB-RICE-5-TC01: 20 x 1 pr (field cables)</t>
        </is>
      </c>
      <c r="E4919" s="12" t="inlineStr">
        <is>
          <t>RICE-5</t>
        </is>
      </c>
      <c r="F4919" s="12" t="inlineStr">
        <is>
          <t>RICE engine-generator 5</t>
        </is>
      </c>
      <c r="G4919" s="12" t="inlineStr">
        <is>
          <t>JB-RICE-5-TC01</t>
        </is>
      </c>
      <c r="H4919" s="12" t="inlineStr">
        <is>
          <t>RICE engine-generator 5</t>
        </is>
      </c>
      <c r="I4919" s="12" t="inlineStr">
        <is>
          <t>Instrumentation</t>
        </is>
      </c>
      <c r="J4919" s="12" t="inlineStr">
        <is>
          <t>Thermocouple extension KX, #16 shielded pairs, PLTC</t>
        </is>
      </c>
      <c r="K4919" s="12" t="inlineStr">
        <is>
          <t>TCX|1 pr|16</t>
        </is>
      </c>
      <c r="L4919" s="12" t="inlineStr">
        <is>
          <t>1 pr</t>
        </is>
      </c>
      <c r="M4919" s="12" t="inlineStr">
        <is>
          <t>16</t>
        </is>
      </c>
      <c r="N4919" s="12" t="n">
        <v>20</v>
      </c>
      <c r="O4919" s="12" t="n">
        <v>1</v>
      </c>
      <c r="P4919" s="12" t="n"/>
      <c r="Q4919" s="12" t="n"/>
      <c r="R4919" s="12" t="n"/>
      <c r="S4919" s="12" t="inlineStr">
        <is>
          <t>Tray / conduit</t>
        </is>
      </c>
      <c r="T4919" s="15" t="n">
        <v>72</v>
      </c>
      <c r="U4919" s="15" t="n">
        <v>10</v>
      </c>
      <c r="V4919" s="15">
        <f>ROUNDUP((T4919+U4919+2*'Read Me'!$B$13)*(1+'Read Me'!$B$12),-1)</f>
        <v/>
      </c>
      <c r="W4919" s="15">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I-I-0318</t>
        </is>
      </c>
      <c r="B4920" s="12" t="inlineStr">
        <is>
          <t>I</t>
        </is>
      </c>
      <c r="C4920" s="12" t="inlineStr">
        <is>
          <t>Modular / portable power</t>
        </is>
      </c>
      <c r="D4920" s="12" t="inlineStr">
        <is>
          <t>Home run JB-RICE-5-TC01 to the control / marshalling room</t>
        </is>
      </c>
      <c r="E4920" s="12" t="inlineStr"/>
      <c r="F4920" s="12" t="inlineStr">
        <is>
          <t>PCM: power control module</t>
        </is>
      </c>
      <c r="G4920" s="12" t="inlineStr">
        <is>
          <t>JB-RICE-5-TC01</t>
        </is>
      </c>
      <c r="H4920" s="12" t="inlineStr">
        <is>
          <t>RICE engine-generator 5</t>
        </is>
      </c>
      <c r="I4920" s="12" t="inlineStr">
        <is>
          <t>Instrumentation</t>
        </is>
      </c>
      <c r="J4920" s="12" t="inlineStr">
        <is>
          <t>Thermocouple extension KX, #16 shielded pairs, PLTC</t>
        </is>
      </c>
      <c r="K4920" s="12" t="inlineStr">
        <is>
          <t>TCX|24 pr|16</t>
        </is>
      </c>
      <c r="L4920" s="12" t="inlineStr">
        <is>
          <t>24 pr</t>
        </is>
      </c>
      <c r="M4920" s="12" t="inlineStr">
        <is>
          <t>16</t>
        </is>
      </c>
      <c r="N4920" s="12" t="n">
        <v>1</v>
      </c>
      <c r="O4920" s="12" t="n">
        <v>1</v>
      </c>
      <c r="P4920" s="12" t="n"/>
      <c r="Q4920" s="12" t="n"/>
      <c r="R4920" s="12" t="n"/>
      <c r="S4920" s="12" t="inlineStr">
        <is>
          <t>Duct bank</t>
        </is>
      </c>
      <c r="T4920" s="15" t="n">
        <v>57</v>
      </c>
      <c r="U4920" s="15" t="n">
        <v>181</v>
      </c>
      <c r="V4920" s="15">
        <f>ROUNDUP((T4920+U4920+2*'Read Me'!$B$13)*(1+'Read Me'!$B$12),-1)</f>
        <v/>
      </c>
      <c r="W4920" s="15">
        <f>V4920*N4920*O4920</f>
        <v/>
      </c>
      <c r="X4920" s="12">
        <f>IF(LEFT(I4920,2)="MV",2*N4920*IF(L4920="1/C",O4920,1),0)</f>
        <v/>
      </c>
      <c r="Y4920" s="12">
        <f>IF(OR(LEFT(K4920,4)="LVAX",LEFT(K4920,6)="MV15AX",LEFT(K4920,4)="CTAX",LEFT(K4920,2)="W|"),2*N4920*O4920,0)</f>
        <v/>
      </c>
      <c r="Z4920" s="12" t="inlineStr"/>
      <c r="AA4920" s="12">
        <f>N4920*O4920</f>
        <v/>
      </c>
    </row>
    <row r="4921">
      <c r="A4921" s="12" t="inlineStr">
        <is>
          <t>I-I-0319</t>
        </is>
      </c>
      <c r="B4921" s="12" t="inlineStr">
        <is>
          <t>I</t>
        </is>
      </c>
      <c r="C4921" s="12" t="inlineStr">
        <is>
          <t>Modular / portable power</t>
        </is>
      </c>
      <c r="D4921" s="12" t="inlineStr">
        <is>
          <t>Thermocouple to TC JB JB-RICE-5-TC02: 10 x 1 pr (field cables)</t>
        </is>
      </c>
      <c r="E4921" s="12" t="inlineStr">
        <is>
          <t>RICE-5</t>
        </is>
      </c>
      <c r="F4921" s="12" t="inlineStr">
        <is>
          <t>RICE engine-generator 5</t>
        </is>
      </c>
      <c r="G4921" s="12" t="inlineStr">
        <is>
          <t>JB-RICE-5-TC02</t>
        </is>
      </c>
      <c r="H4921" s="12" t="inlineStr">
        <is>
          <t>RICE engine-generator 5</t>
        </is>
      </c>
      <c r="I4921" s="12" t="inlineStr">
        <is>
          <t>Instrumentation</t>
        </is>
      </c>
      <c r="J4921" s="12" t="inlineStr">
        <is>
          <t>Thermocouple extension KX, #16 shielded pairs, PLTC</t>
        </is>
      </c>
      <c r="K4921" s="12" t="inlineStr">
        <is>
          <t>TCX|1 pr|16</t>
        </is>
      </c>
      <c r="L4921" s="12" t="inlineStr">
        <is>
          <t>1 pr</t>
        </is>
      </c>
      <c r="M4921" s="12" t="inlineStr">
        <is>
          <t>16</t>
        </is>
      </c>
      <c r="N4921" s="12" t="n">
        <v>10</v>
      </c>
      <c r="O4921" s="12" t="n">
        <v>1</v>
      </c>
      <c r="P4921" s="12" t="n"/>
      <c r="Q4921" s="12" t="n"/>
      <c r="R4921" s="12" t="n"/>
      <c r="S4921" s="12" t="inlineStr">
        <is>
          <t>Tray / conduit</t>
        </is>
      </c>
      <c r="T4921" s="15" t="n">
        <v>72</v>
      </c>
      <c r="U4921" s="15" t="n">
        <v>10</v>
      </c>
      <c r="V4921" s="15">
        <f>ROUNDUP((T4921+U4921+2*'Read Me'!$B$13)*(1+'Read Me'!$B$12),-1)</f>
        <v/>
      </c>
      <c r="W4921" s="15">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I-I-0320</t>
        </is>
      </c>
      <c r="B4922" s="12" t="inlineStr">
        <is>
          <t>I</t>
        </is>
      </c>
      <c r="C4922" s="12" t="inlineStr">
        <is>
          <t>Modular / portable power</t>
        </is>
      </c>
      <c r="D4922" s="12" t="inlineStr">
        <is>
          <t>Home run JB-RICE-5-TC02 to the control / marshalling room</t>
        </is>
      </c>
      <c r="E4922" s="12" t="inlineStr"/>
      <c r="F4922" s="12" t="inlineStr">
        <is>
          <t>PCM: power control module</t>
        </is>
      </c>
      <c r="G4922" s="12" t="inlineStr">
        <is>
          <t>JB-RICE-5-TC02</t>
        </is>
      </c>
      <c r="H4922" s="12" t="inlineStr">
        <is>
          <t>RICE engine-generator 5</t>
        </is>
      </c>
      <c r="I4922" s="12" t="inlineStr">
        <is>
          <t>Instrumentation</t>
        </is>
      </c>
      <c r="J4922" s="12" t="inlineStr">
        <is>
          <t>Thermocouple extension KX, #16 shielded pairs, PLTC</t>
        </is>
      </c>
      <c r="K4922" s="12" t="inlineStr">
        <is>
          <t>TCX|24 pr|16</t>
        </is>
      </c>
      <c r="L4922" s="12" t="inlineStr">
        <is>
          <t>24 pr</t>
        </is>
      </c>
      <c r="M4922" s="12" t="inlineStr">
        <is>
          <t>16</t>
        </is>
      </c>
      <c r="N4922" s="12" t="n">
        <v>1</v>
      </c>
      <c r="O4922" s="12" t="n">
        <v>1</v>
      </c>
      <c r="P4922" s="12" t="n"/>
      <c r="Q4922" s="12" t="n"/>
      <c r="R4922" s="12" t="n"/>
      <c r="S4922" s="12" t="inlineStr">
        <is>
          <t>Duct bank</t>
        </is>
      </c>
      <c r="T4922" s="15" t="n">
        <v>57</v>
      </c>
      <c r="U4922" s="15" t="n">
        <v>181</v>
      </c>
      <c r="V4922" s="15">
        <f>ROUNDUP((T4922+U4922+2*'Read Me'!$B$13)*(1+'Read Me'!$B$12),-1)</f>
        <v/>
      </c>
      <c r="W4922" s="15">
        <f>V4922*N4922*O4922</f>
        <v/>
      </c>
      <c r="X4922" s="12">
        <f>IF(LEFT(I4922,2)="MV",2*N4922*IF(L4922="1/C",O4922,1),0)</f>
        <v/>
      </c>
      <c r="Y4922" s="12">
        <f>IF(OR(LEFT(K4922,4)="LVAX",LEFT(K4922,6)="MV15AX",LEFT(K4922,4)="CTAX",LEFT(K4922,2)="W|"),2*N4922*O4922,0)</f>
        <v/>
      </c>
      <c r="Z4922" s="12" t="inlineStr"/>
      <c r="AA4922" s="12">
        <f>N4922*O4922</f>
        <v/>
      </c>
    </row>
    <row r="4923">
      <c r="A4923" s="12" t="inlineStr">
        <is>
          <t>I-I-0321</t>
        </is>
      </c>
      <c r="B4923" s="12" t="inlineStr">
        <is>
          <t>I</t>
        </is>
      </c>
      <c r="C4923" s="12" t="inlineStr">
        <is>
          <t>Modular / portable power</t>
        </is>
      </c>
      <c r="D4923" s="12" t="inlineStr">
        <is>
          <t>RTD to JB JB-RICE-5-RTD01: 10 x 1 tri (field cables)</t>
        </is>
      </c>
      <c r="E4923" s="12" t="inlineStr">
        <is>
          <t>RICE-5</t>
        </is>
      </c>
      <c r="F4923" s="12" t="inlineStr">
        <is>
          <t>RICE engine-generator 5</t>
        </is>
      </c>
      <c r="G4923" s="12" t="inlineStr">
        <is>
          <t>JB-RICE-5-RTD01</t>
        </is>
      </c>
      <c r="H4923" s="12" t="inlineStr">
        <is>
          <t>RICE engine-generator 5</t>
        </is>
      </c>
      <c r="I4923" s="12" t="inlineStr">
        <is>
          <t>Instrumentation</t>
        </is>
      </c>
      <c r="J4923" s="12" t="inlineStr">
        <is>
          <t>RTD cable, #18 shielded triads, PLTC</t>
        </is>
      </c>
      <c r="K4923" s="12" t="inlineStr">
        <is>
          <t>RTD|1 tri|18</t>
        </is>
      </c>
      <c r="L4923" s="12" t="inlineStr">
        <is>
          <t>1 tri</t>
        </is>
      </c>
      <c r="M4923" s="12" t="inlineStr">
        <is>
          <t>18</t>
        </is>
      </c>
      <c r="N4923" s="12" t="n">
        <v>10</v>
      </c>
      <c r="O4923" s="12" t="n">
        <v>1</v>
      </c>
      <c r="P4923" s="12" t="n"/>
      <c r="Q4923" s="12" t="n"/>
      <c r="R4923" s="12" t="n"/>
      <c r="S4923" s="12" t="inlineStr">
        <is>
          <t>Tray / conduit</t>
        </is>
      </c>
      <c r="T4923" s="15" t="n">
        <v>72</v>
      </c>
      <c r="U4923" s="15" t="n">
        <v>10</v>
      </c>
      <c r="V4923" s="15">
        <f>ROUNDUP((T4923+U4923+2*'Read Me'!$B$13)*(1+'Read Me'!$B$12),-1)</f>
        <v/>
      </c>
      <c r="W4923" s="15">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I-I-0322</t>
        </is>
      </c>
      <c r="B4924" s="12" t="inlineStr">
        <is>
          <t>I</t>
        </is>
      </c>
      <c r="C4924" s="12" t="inlineStr">
        <is>
          <t>Modular / portable power</t>
        </is>
      </c>
      <c r="D4924" s="12" t="inlineStr">
        <is>
          <t>Home run JB-RICE-5-RTD01 to the control / marshalling room</t>
        </is>
      </c>
      <c r="E4924" s="12" t="inlineStr"/>
      <c r="F4924" s="12" t="inlineStr">
        <is>
          <t>PCM: power control module</t>
        </is>
      </c>
      <c r="G4924" s="12" t="inlineStr">
        <is>
          <t>JB-RICE-5-RTD01</t>
        </is>
      </c>
      <c r="H4924" s="12" t="inlineStr">
        <is>
          <t>RICE engine-generator 5</t>
        </is>
      </c>
      <c r="I4924" s="12" t="inlineStr">
        <is>
          <t>Instrumentation</t>
        </is>
      </c>
      <c r="J4924" s="12" t="inlineStr">
        <is>
          <t>RTD cable, #18 shielded triads, PLTC</t>
        </is>
      </c>
      <c r="K4924" s="12" t="inlineStr">
        <is>
          <t>RTD|12 tri|18</t>
        </is>
      </c>
      <c r="L4924" s="12" t="inlineStr">
        <is>
          <t>12 tri</t>
        </is>
      </c>
      <c r="M4924" s="12" t="inlineStr">
        <is>
          <t>18</t>
        </is>
      </c>
      <c r="N4924" s="12" t="n">
        <v>1</v>
      </c>
      <c r="O4924" s="12" t="n">
        <v>1</v>
      </c>
      <c r="P4924" s="12" t="n"/>
      <c r="Q4924" s="12" t="n"/>
      <c r="R4924" s="12" t="n"/>
      <c r="S4924" s="12" t="inlineStr">
        <is>
          <t>Duct bank</t>
        </is>
      </c>
      <c r="T4924" s="15" t="n">
        <v>57</v>
      </c>
      <c r="U4924" s="15" t="n">
        <v>181</v>
      </c>
      <c r="V4924" s="15">
        <f>ROUNDUP((T4924+U4924+2*'Read Me'!$B$13)*(1+'Read Me'!$B$12),-1)</f>
        <v/>
      </c>
      <c r="W4924" s="15">
        <f>V4924*N4924*O4924</f>
        <v/>
      </c>
      <c r="X4924" s="12">
        <f>IF(LEFT(I4924,2)="MV",2*N4924*IF(L4924="1/C",O4924,1),0)</f>
        <v/>
      </c>
      <c r="Y4924" s="12">
        <f>IF(OR(LEFT(K4924,4)="LVAX",LEFT(K4924,6)="MV15AX",LEFT(K4924,4)="CTAX",LEFT(K4924,2)="W|"),2*N4924*O4924,0)</f>
        <v/>
      </c>
      <c r="Z4924" s="12" t="inlineStr"/>
      <c r="AA4924" s="12">
        <f>N4924*O4924</f>
        <v/>
      </c>
    </row>
    <row r="4925">
      <c r="A4925" s="12" t="inlineStr">
        <is>
          <t>I-I-0323</t>
        </is>
      </c>
      <c r="B4925" s="12" t="inlineStr">
        <is>
          <t>I</t>
        </is>
      </c>
      <c r="C4925" s="12" t="inlineStr">
        <is>
          <t>Modular / portable power</t>
        </is>
      </c>
      <c r="D4925" s="12" t="inlineStr">
        <is>
          <t>RTD to JB JB-RICE-5-RTD02: 2 x 1 tri (field cables)</t>
        </is>
      </c>
      <c r="E4925" s="12" t="inlineStr">
        <is>
          <t>RICE-5</t>
        </is>
      </c>
      <c r="F4925" s="12" t="inlineStr">
        <is>
          <t>RICE engine-generator 5</t>
        </is>
      </c>
      <c r="G4925" s="12" t="inlineStr">
        <is>
          <t>JB-RICE-5-RTD02</t>
        </is>
      </c>
      <c r="H4925" s="12" t="inlineStr">
        <is>
          <t>RICE engine-generator 5</t>
        </is>
      </c>
      <c r="I4925" s="12" t="inlineStr">
        <is>
          <t>Instrumentation</t>
        </is>
      </c>
      <c r="J4925" s="12" t="inlineStr">
        <is>
          <t>RTD cable, #18 shielded triads, PLTC</t>
        </is>
      </c>
      <c r="K4925" s="12" t="inlineStr">
        <is>
          <t>RTD|1 tri|18</t>
        </is>
      </c>
      <c r="L4925" s="12" t="inlineStr">
        <is>
          <t>1 tri</t>
        </is>
      </c>
      <c r="M4925" s="12" t="inlineStr">
        <is>
          <t>18</t>
        </is>
      </c>
      <c r="N4925" s="12" t="n">
        <v>2</v>
      </c>
      <c r="O4925" s="12" t="n">
        <v>1</v>
      </c>
      <c r="P4925" s="12" t="n"/>
      <c r="Q4925" s="12" t="n"/>
      <c r="R4925" s="12" t="n"/>
      <c r="S4925" s="12" t="inlineStr">
        <is>
          <t>Tray / conduit</t>
        </is>
      </c>
      <c r="T4925" s="15" t="n">
        <v>72</v>
      </c>
      <c r="U4925" s="15" t="n">
        <v>10</v>
      </c>
      <c r="V4925" s="15">
        <f>ROUNDUP((T4925+U4925+2*'Read Me'!$B$13)*(1+'Read Me'!$B$12),-1)</f>
        <v/>
      </c>
      <c r="W4925" s="15">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I-I-0324</t>
        </is>
      </c>
      <c r="B4926" s="12" t="inlineStr">
        <is>
          <t>I</t>
        </is>
      </c>
      <c r="C4926" s="12" t="inlineStr">
        <is>
          <t>Modular / portable power</t>
        </is>
      </c>
      <c r="D4926" s="12" t="inlineStr">
        <is>
          <t>Home run JB-RICE-5-RTD02 to the control / marshalling room</t>
        </is>
      </c>
      <c r="E4926" s="12" t="inlineStr"/>
      <c r="F4926" s="12" t="inlineStr">
        <is>
          <t>PCM: power control module</t>
        </is>
      </c>
      <c r="G4926" s="12" t="inlineStr">
        <is>
          <t>JB-RICE-5-RTD02</t>
        </is>
      </c>
      <c r="H4926" s="12" t="inlineStr">
        <is>
          <t>RICE engine-generator 5</t>
        </is>
      </c>
      <c r="I4926" s="12" t="inlineStr">
        <is>
          <t>Instrumentation</t>
        </is>
      </c>
      <c r="J4926" s="12" t="inlineStr">
        <is>
          <t>RTD cable, #18 shielded triads, PLTC</t>
        </is>
      </c>
      <c r="K4926" s="12" t="inlineStr">
        <is>
          <t>RTD|12 tri|18</t>
        </is>
      </c>
      <c r="L4926" s="12" t="inlineStr">
        <is>
          <t>12 tri</t>
        </is>
      </c>
      <c r="M4926" s="12" t="inlineStr">
        <is>
          <t>18</t>
        </is>
      </c>
      <c r="N4926" s="12" t="n">
        <v>1</v>
      </c>
      <c r="O4926" s="12" t="n">
        <v>1</v>
      </c>
      <c r="P4926" s="12" t="n"/>
      <c r="Q4926" s="12" t="n"/>
      <c r="R4926" s="12" t="n"/>
      <c r="S4926" s="12" t="inlineStr">
        <is>
          <t>Duct bank</t>
        </is>
      </c>
      <c r="T4926" s="15" t="n">
        <v>57</v>
      </c>
      <c r="U4926" s="15" t="n">
        <v>181</v>
      </c>
      <c r="V4926" s="15">
        <f>ROUNDUP((T4926+U4926+2*'Read Me'!$B$13)*(1+'Read Me'!$B$12),-1)</f>
        <v/>
      </c>
      <c r="W4926" s="15">
        <f>V4926*N4926*O4926</f>
        <v/>
      </c>
      <c r="X4926" s="12">
        <f>IF(LEFT(I4926,2)="MV",2*N4926*IF(L4926="1/C",O4926,1),0)</f>
        <v/>
      </c>
      <c r="Y4926" s="12">
        <f>IF(OR(LEFT(K4926,4)="LVAX",LEFT(K4926,6)="MV15AX",LEFT(K4926,4)="CTAX",LEFT(K4926,2)="W|"),2*N4926*O4926,0)</f>
        <v/>
      </c>
      <c r="Z4926" s="12" t="inlineStr"/>
      <c r="AA4926" s="12">
        <f>N4926*O4926</f>
        <v/>
      </c>
    </row>
    <row r="4927">
      <c r="A4927" s="12" t="inlineStr">
        <is>
          <t>I-I-0325</t>
        </is>
      </c>
      <c r="B4927" s="12" t="inlineStr">
        <is>
          <t>I</t>
        </is>
      </c>
      <c r="C4927" s="12" t="inlineStr">
        <is>
          <t>Modular / portable power</t>
        </is>
      </c>
      <c r="D4927" s="12" t="inlineStr">
        <is>
          <t>Analog instrument to JB JB-RICE-6-AI01: 20 x 1 pr (field cables)</t>
        </is>
      </c>
      <c r="E4927" s="12" t="inlineStr">
        <is>
          <t>RICE-6</t>
        </is>
      </c>
      <c r="F4927" s="12" t="inlineStr">
        <is>
          <t>RICE engine-generator 6</t>
        </is>
      </c>
      <c r="G4927" s="12" t="inlineStr">
        <is>
          <t>JB-RICE-6-AI01</t>
        </is>
      </c>
      <c r="H4927" s="12" t="inlineStr">
        <is>
          <t>RICE engine-generator 6</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5" t="n">
        <v>72</v>
      </c>
      <c r="U4927" s="15" t="n">
        <v>10</v>
      </c>
      <c r="V4927" s="15">
        <f>ROUNDUP((T4927+U4927+2*'Read Me'!$B$13)*(1+'Read Me'!$B$12),-1)</f>
        <v/>
      </c>
      <c r="W4927" s="15">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I-I-0326</t>
        </is>
      </c>
      <c r="B4928" s="12" t="inlineStr">
        <is>
          <t>I</t>
        </is>
      </c>
      <c r="C4928" s="12" t="inlineStr">
        <is>
          <t>Modular / portable power</t>
        </is>
      </c>
      <c r="D4928" s="12" t="inlineStr">
        <is>
          <t>Home run JB-RICE-6-AI01 to the control / marshalling room</t>
        </is>
      </c>
      <c r="E4928" s="12" t="inlineStr"/>
      <c r="F4928" s="12" t="inlineStr">
        <is>
          <t>PCM: power control module</t>
        </is>
      </c>
      <c r="G4928" s="12" t="inlineStr">
        <is>
          <t>JB-RICE-6-AI01</t>
        </is>
      </c>
      <c r="H4928" s="12" t="inlineStr">
        <is>
          <t>RICE engine-generator 6</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5" t="n">
        <v>57</v>
      </c>
      <c r="U4928" s="15" t="n">
        <v>153</v>
      </c>
      <c r="V4928" s="15">
        <f>ROUNDUP((T4928+U4928+2*'Read Me'!$B$13)*(1+'Read Me'!$B$12),-1)</f>
        <v/>
      </c>
      <c r="W4928" s="15">
        <f>V4928*N4928*O4928</f>
        <v/>
      </c>
      <c r="X4928" s="12">
        <f>IF(LEFT(I4928,2)="MV",2*N4928*IF(L4928="1/C",O4928,1),0)</f>
        <v/>
      </c>
      <c r="Y4928" s="12">
        <f>IF(OR(LEFT(K4928,4)="LVAX",LEFT(K4928,6)="MV15AX",LEFT(K4928,4)="CTAX",LEFT(K4928,2)="W|"),2*N4928*O4928,0)</f>
        <v/>
      </c>
      <c r="Z4928" s="12" t="inlineStr"/>
      <c r="AA4928" s="12">
        <f>N4928*O4928</f>
        <v/>
      </c>
    </row>
    <row r="4929">
      <c r="A4929" s="12" t="inlineStr">
        <is>
          <t>I-I-0327</t>
        </is>
      </c>
      <c r="B4929" s="12" t="inlineStr">
        <is>
          <t>I</t>
        </is>
      </c>
      <c r="C4929" s="12" t="inlineStr">
        <is>
          <t>Modular / portable power</t>
        </is>
      </c>
      <c r="D4929" s="12" t="inlineStr">
        <is>
          <t>Analog instrument to JB JB-RICE-6-AI02: 20 x 1 pr (field cables)</t>
        </is>
      </c>
      <c r="E4929" s="12" t="inlineStr">
        <is>
          <t>RICE-6</t>
        </is>
      </c>
      <c r="F4929" s="12" t="inlineStr">
        <is>
          <t>RICE engine-generator 6</t>
        </is>
      </c>
      <c r="G4929" s="12" t="inlineStr">
        <is>
          <t>JB-RICE-6-AI02</t>
        </is>
      </c>
      <c r="H4929" s="12" t="inlineStr">
        <is>
          <t>RICE engine-generator 6</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5" t="n">
        <v>72</v>
      </c>
      <c r="U4929" s="15" t="n">
        <v>10</v>
      </c>
      <c r="V4929" s="15">
        <f>ROUNDUP((T4929+U4929+2*'Read Me'!$B$13)*(1+'Read Me'!$B$12),-1)</f>
        <v/>
      </c>
      <c r="W4929" s="15">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I-I-0328</t>
        </is>
      </c>
      <c r="B4930" s="12" t="inlineStr">
        <is>
          <t>I</t>
        </is>
      </c>
      <c r="C4930" s="12" t="inlineStr">
        <is>
          <t>Modular / portable power</t>
        </is>
      </c>
      <c r="D4930" s="12" t="inlineStr">
        <is>
          <t>Home run JB-RICE-6-AI02 to the control / marshalling room</t>
        </is>
      </c>
      <c r="E4930" s="12" t="inlineStr"/>
      <c r="F4930" s="12" t="inlineStr">
        <is>
          <t>PCM: power control module</t>
        </is>
      </c>
      <c r="G4930" s="12" t="inlineStr">
        <is>
          <t>JB-RICE-6-AI02</t>
        </is>
      </c>
      <c r="H4930" s="12" t="inlineStr">
        <is>
          <t>RICE engine-generator 6</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5" t="n">
        <v>57</v>
      </c>
      <c r="U4930" s="15" t="n">
        <v>153</v>
      </c>
      <c r="V4930" s="15">
        <f>ROUNDUP((T4930+U4930+2*'Read Me'!$B$13)*(1+'Read Me'!$B$12),-1)</f>
        <v/>
      </c>
      <c r="W4930" s="15">
        <f>V4930*N4930*O4930</f>
        <v/>
      </c>
      <c r="X4930" s="12">
        <f>IF(LEFT(I4930,2)="MV",2*N4930*IF(L4930="1/C",O4930,1),0)</f>
        <v/>
      </c>
      <c r="Y4930" s="12">
        <f>IF(OR(LEFT(K4930,4)="LVAX",LEFT(K4930,6)="MV15AX",LEFT(K4930,4)="CTAX",LEFT(K4930,2)="W|"),2*N4930*O4930,0)</f>
        <v/>
      </c>
      <c r="Z4930" s="12" t="inlineStr"/>
      <c r="AA4930" s="12">
        <f>N4930*O4930</f>
        <v/>
      </c>
    </row>
    <row r="4931">
      <c r="A4931" s="12" t="inlineStr">
        <is>
          <t>I-I-0329</t>
        </is>
      </c>
      <c r="B4931" s="12" t="inlineStr">
        <is>
          <t>I</t>
        </is>
      </c>
      <c r="C4931" s="12" t="inlineStr">
        <is>
          <t>Modular / portable power</t>
        </is>
      </c>
      <c r="D4931" s="12" t="inlineStr">
        <is>
          <t>Analog instrument to JB JB-RICE-6-AI03: 20 x 1 pr (field cables)</t>
        </is>
      </c>
      <c r="E4931" s="12" t="inlineStr">
        <is>
          <t>RICE-6</t>
        </is>
      </c>
      <c r="F4931" s="12" t="inlineStr">
        <is>
          <t>RICE engine-generator 6</t>
        </is>
      </c>
      <c r="G4931" s="12" t="inlineStr">
        <is>
          <t>JB-RICE-6-AI03</t>
        </is>
      </c>
      <c r="H4931" s="12" t="inlineStr">
        <is>
          <t>RICE engine-generator 6</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5" t="n">
        <v>72</v>
      </c>
      <c r="U4931" s="15" t="n">
        <v>10</v>
      </c>
      <c r="V4931" s="15">
        <f>ROUNDUP((T4931+U4931+2*'Read Me'!$B$13)*(1+'Read Me'!$B$12),-1)</f>
        <v/>
      </c>
      <c r="W4931" s="15">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I-I-0330</t>
        </is>
      </c>
      <c r="B4932" s="12" t="inlineStr">
        <is>
          <t>I</t>
        </is>
      </c>
      <c r="C4932" s="12" t="inlineStr">
        <is>
          <t>Modular / portable power</t>
        </is>
      </c>
      <c r="D4932" s="12" t="inlineStr">
        <is>
          <t>Home run JB-RICE-6-AI03 to the control / marshalling room</t>
        </is>
      </c>
      <c r="E4932" s="12" t="inlineStr"/>
      <c r="F4932" s="12" t="inlineStr">
        <is>
          <t>PCM: power control module</t>
        </is>
      </c>
      <c r="G4932" s="12" t="inlineStr">
        <is>
          <t>JB-RICE-6-AI03</t>
        </is>
      </c>
      <c r="H4932" s="12" t="inlineStr">
        <is>
          <t>RICE engine-generator 6</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5" t="n">
        <v>57</v>
      </c>
      <c r="U4932" s="15" t="n">
        <v>153</v>
      </c>
      <c r="V4932" s="15">
        <f>ROUNDUP((T4932+U4932+2*'Read Me'!$B$13)*(1+'Read Me'!$B$12),-1)</f>
        <v/>
      </c>
      <c r="W4932" s="15">
        <f>V4932*N4932*O4932</f>
        <v/>
      </c>
      <c r="X4932" s="12">
        <f>IF(LEFT(I4932,2)="MV",2*N4932*IF(L4932="1/C",O4932,1),0)</f>
        <v/>
      </c>
      <c r="Y4932" s="12">
        <f>IF(OR(LEFT(K4932,4)="LVAX",LEFT(K4932,6)="MV15AX",LEFT(K4932,4)="CTAX",LEFT(K4932,2)="W|"),2*N4932*O4932,0)</f>
        <v/>
      </c>
      <c r="Z4932" s="12" t="inlineStr"/>
      <c r="AA4932" s="12">
        <f>N4932*O4932</f>
        <v/>
      </c>
    </row>
    <row r="4933">
      <c r="A4933" s="12" t="inlineStr">
        <is>
          <t>I-I-0331</t>
        </is>
      </c>
      <c r="B4933" s="12" t="inlineStr">
        <is>
          <t>I</t>
        </is>
      </c>
      <c r="C4933" s="12" t="inlineStr">
        <is>
          <t>Modular / portable power</t>
        </is>
      </c>
      <c r="D4933" s="12" t="inlineStr">
        <is>
          <t>Analog instrument to JB JB-RICE-6-AI04: 20 x 1 pr (field cables)</t>
        </is>
      </c>
      <c r="E4933" s="12" t="inlineStr">
        <is>
          <t>RICE-6</t>
        </is>
      </c>
      <c r="F4933" s="12" t="inlineStr">
        <is>
          <t>RICE engine-generator 6</t>
        </is>
      </c>
      <c r="G4933" s="12" t="inlineStr">
        <is>
          <t>JB-RICE-6-AI04</t>
        </is>
      </c>
      <c r="H4933" s="12" t="inlineStr">
        <is>
          <t>RICE engine-generator 6</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5" t="n">
        <v>72</v>
      </c>
      <c r="U4933" s="15" t="n">
        <v>10</v>
      </c>
      <c r="V4933" s="15">
        <f>ROUNDUP((T4933+U4933+2*'Read Me'!$B$13)*(1+'Read Me'!$B$12),-1)</f>
        <v/>
      </c>
      <c r="W4933" s="15">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I-I-0332</t>
        </is>
      </c>
      <c r="B4934" s="12" t="inlineStr">
        <is>
          <t>I</t>
        </is>
      </c>
      <c r="C4934" s="12" t="inlineStr">
        <is>
          <t>Modular / portable power</t>
        </is>
      </c>
      <c r="D4934" s="12" t="inlineStr">
        <is>
          <t>Home run JB-RICE-6-AI04 to the control / marshalling room</t>
        </is>
      </c>
      <c r="E4934" s="12" t="inlineStr"/>
      <c r="F4934" s="12" t="inlineStr">
        <is>
          <t>PCM: power control module</t>
        </is>
      </c>
      <c r="G4934" s="12" t="inlineStr">
        <is>
          <t>JB-RICE-6-AI04</t>
        </is>
      </c>
      <c r="H4934" s="12" t="inlineStr">
        <is>
          <t>RICE engine-generator 6</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5" t="n">
        <v>57</v>
      </c>
      <c r="U4934" s="15" t="n">
        <v>153</v>
      </c>
      <c r="V4934" s="15">
        <f>ROUNDUP((T4934+U4934+2*'Read Me'!$B$13)*(1+'Read Me'!$B$12),-1)</f>
        <v/>
      </c>
      <c r="W4934" s="15">
        <f>V4934*N4934*O4934</f>
        <v/>
      </c>
      <c r="X4934" s="12">
        <f>IF(LEFT(I4934,2)="MV",2*N4934*IF(L4934="1/C",O4934,1),0)</f>
        <v/>
      </c>
      <c r="Y4934" s="12">
        <f>IF(OR(LEFT(K4934,4)="LVAX",LEFT(K4934,6)="MV15AX",LEFT(K4934,4)="CTAX",LEFT(K4934,2)="W|"),2*N4934*O4934,0)</f>
        <v/>
      </c>
      <c r="Z4934" s="12" t="inlineStr"/>
      <c r="AA4934" s="12">
        <f>N4934*O4934</f>
        <v/>
      </c>
    </row>
    <row r="4935">
      <c r="A4935" s="12" t="inlineStr">
        <is>
          <t>I-I-0333</t>
        </is>
      </c>
      <c r="B4935" s="12" t="inlineStr">
        <is>
          <t>I</t>
        </is>
      </c>
      <c r="C4935" s="12" t="inlineStr">
        <is>
          <t>Modular / portable power</t>
        </is>
      </c>
      <c r="D4935" s="12" t="inlineStr">
        <is>
          <t>Discrete device to JB JB-RICE-6-DI01: 20 x 1 pr (field cables)</t>
        </is>
      </c>
      <c r="E4935" s="12" t="inlineStr">
        <is>
          <t>RICE-6</t>
        </is>
      </c>
      <c r="F4935" s="12" t="inlineStr">
        <is>
          <t>RICE engine-generator 6</t>
        </is>
      </c>
      <c r="G4935" s="12" t="inlineStr">
        <is>
          <t>JB-RICE-6-DI01</t>
        </is>
      </c>
      <c r="H4935" s="12" t="inlineStr">
        <is>
          <t>RICE engine-generator 6</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5" t="n">
        <v>72</v>
      </c>
      <c r="U4935" s="15" t="n">
        <v>10</v>
      </c>
      <c r="V4935" s="15">
        <f>ROUNDUP((T4935+U4935+2*'Read Me'!$B$13)*(1+'Read Me'!$B$12),-1)</f>
        <v/>
      </c>
      <c r="W4935" s="15">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I-I-0334</t>
        </is>
      </c>
      <c r="B4936" s="12" t="inlineStr">
        <is>
          <t>I</t>
        </is>
      </c>
      <c r="C4936" s="12" t="inlineStr">
        <is>
          <t>Modular / portable power</t>
        </is>
      </c>
      <c r="D4936" s="12" t="inlineStr">
        <is>
          <t>Home run JB-RICE-6-DI01 to the control / marshalling room</t>
        </is>
      </c>
      <c r="E4936" s="12" t="inlineStr"/>
      <c r="F4936" s="12" t="inlineStr">
        <is>
          <t>PCM: power control module</t>
        </is>
      </c>
      <c r="G4936" s="12" t="inlineStr">
        <is>
          <t>JB-RICE-6-DI01</t>
        </is>
      </c>
      <c r="H4936" s="12" t="inlineStr">
        <is>
          <t>RICE engine-generator 6</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5" t="n">
        <v>57</v>
      </c>
      <c r="U4936" s="15" t="n">
        <v>153</v>
      </c>
      <c r="V4936" s="15">
        <f>ROUNDUP((T4936+U4936+2*'Read Me'!$B$13)*(1+'Read Me'!$B$12),-1)</f>
        <v/>
      </c>
      <c r="W4936" s="15">
        <f>V4936*N4936*O4936</f>
        <v/>
      </c>
      <c r="X4936" s="12">
        <f>IF(LEFT(I4936,2)="MV",2*N4936*IF(L4936="1/C",O4936,1),0)</f>
        <v/>
      </c>
      <c r="Y4936" s="12">
        <f>IF(OR(LEFT(K4936,4)="LVAX",LEFT(K4936,6)="MV15AX",LEFT(K4936,4)="CTAX",LEFT(K4936,2)="W|"),2*N4936*O4936,0)</f>
        <v/>
      </c>
      <c r="Z4936" s="12" t="inlineStr"/>
      <c r="AA4936" s="12">
        <f>N4936*O4936</f>
        <v/>
      </c>
    </row>
    <row r="4937">
      <c r="A4937" s="12" t="inlineStr">
        <is>
          <t>I-I-0335</t>
        </is>
      </c>
      <c r="B4937" s="12" t="inlineStr">
        <is>
          <t>I</t>
        </is>
      </c>
      <c r="C4937" s="12" t="inlineStr">
        <is>
          <t>Modular / portable power</t>
        </is>
      </c>
      <c r="D4937" s="12" t="inlineStr">
        <is>
          <t>Discrete device to JB JB-RICE-6-DI02: 20 x 1 pr (field cables)</t>
        </is>
      </c>
      <c r="E4937" s="12" t="inlineStr">
        <is>
          <t>RICE-6</t>
        </is>
      </c>
      <c r="F4937" s="12" t="inlineStr">
        <is>
          <t>RICE engine-generator 6</t>
        </is>
      </c>
      <c r="G4937" s="12" t="inlineStr">
        <is>
          <t>JB-RICE-6-DI02</t>
        </is>
      </c>
      <c r="H4937" s="12" t="inlineStr">
        <is>
          <t>RICE engine-generator 6</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5" t="n">
        <v>72</v>
      </c>
      <c r="U4937" s="15" t="n">
        <v>10</v>
      </c>
      <c r="V4937" s="15">
        <f>ROUNDUP((T4937+U4937+2*'Read Me'!$B$13)*(1+'Read Me'!$B$12),-1)</f>
        <v/>
      </c>
      <c r="W4937" s="15">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I-I-0336</t>
        </is>
      </c>
      <c r="B4938" s="12" t="inlineStr">
        <is>
          <t>I</t>
        </is>
      </c>
      <c r="C4938" s="12" t="inlineStr">
        <is>
          <t>Modular / portable power</t>
        </is>
      </c>
      <c r="D4938" s="12" t="inlineStr">
        <is>
          <t>Home run JB-RICE-6-DI02 to the control / marshalling room</t>
        </is>
      </c>
      <c r="E4938" s="12" t="inlineStr"/>
      <c r="F4938" s="12" t="inlineStr">
        <is>
          <t>PCM: power control module</t>
        </is>
      </c>
      <c r="G4938" s="12" t="inlineStr">
        <is>
          <t>JB-RICE-6-DI02</t>
        </is>
      </c>
      <c r="H4938" s="12" t="inlineStr">
        <is>
          <t>RICE engine-generator 6</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5" t="n">
        <v>57</v>
      </c>
      <c r="U4938" s="15" t="n">
        <v>153</v>
      </c>
      <c r="V4938" s="15">
        <f>ROUNDUP((T4938+U4938+2*'Read Me'!$B$13)*(1+'Read Me'!$B$12),-1)</f>
        <v/>
      </c>
      <c r="W4938" s="15">
        <f>V4938*N4938*O4938</f>
        <v/>
      </c>
      <c r="X4938" s="12">
        <f>IF(LEFT(I4938,2)="MV",2*N4938*IF(L4938="1/C",O4938,1),0)</f>
        <v/>
      </c>
      <c r="Y4938" s="12">
        <f>IF(OR(LEFT(K4938,4)="LVAX",LEFT(K4938,6)="MV15AX",LEFT(K4938,4)="CTAX",LEFT(K4938,2)="W|"),2*N4938*O4938,0)</f>
        <v/>
      </c>
      <c r="Z4938" s="12" t="inlineStr"/>
      <c r="AA4938" s="12">
        <f>N4938*O4938</f>
        <v/>
      </c>
    </row>
    <row r="4939">
      <c r="A4939" s="12" t="inlineStr">
        <is>
          <t>I-I-0337</t>
        </is>
      </c>
      <c r="B4939" s="12" t="inlineStr">
        <is>
          <t>I</t>
        </is>
      </c>
      <c r="C4939" s="12" t="inlineStr">
        <is>
          <t>Modular / portable power</t>
        </is>
      </c>
      <c r="D4939" s="12" t="inlineStr">
        <is>
          <t>Discrete device to JB JB-RICE-6-DI03: 20 x 1 pr (field cables)</t>
        </is>
      </c>
      <c r="E4939" s="12" t="inlineStr">
        <is>
          <t>RICE-6</t>
        </is>
      </c>
      <c r="F4939" s="12" t="inlineStr">
        <is>
          <t>RICE engine-generator 6</t>
        </is>
      </c>
      <c r="G4939" s="12" t="inlineStr">
        <is>
          <t>JB-RICE-6-DI03</t>
        </is>
      </c>
      <c r="H4939" s="12" t="inlineStr">
        <is>
          <t>RICE engine-generator 6</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5" t="n">
        <v>72</v>
      </c>
      <c r="U4939" s="15" t="n">
        <v>10</v>
      </c>
      <c r="V4939" s="15">
        <f>ROUNDUP((T4939+U4939+2*'Read Me'!$B$13)*(1+'Read Me'!$B$12),-1)</f>
        <v/>
      </c>
      <c r="W4939" s="15">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I-I-0338</t>
        </is>
      </c>
      <c r="B4940" s="12" t="inlineStr">
        <is>
          <t>I</t>
        </is>
      </c>
      <c r="C4940" s="12" t="inlineStr">
        <is>
          <t>Modular / portable power</t>
        </is>
      </c>
      <c r="D4940" s="12" t="inlineStr">
        <is>
          <t>Home run JB-RICE-6-DI03 to the control / marshalling room</t>
        </is>
      </c>
      <c r="E4940" s="12" t="inlineStr"/>
      <c r="F4940" s="12" t="inlineStr">
        <is>
          <t>PCM: power control module</t>
        </is>
      </c>
      <c r="G4940" s="12" t="inlineStr">
        <is>
          <t>JB-RICE-6-DI03</t>
        </is>
      </c>
      <c r="H4940" s="12" t="inlineStr">
        <is>
          <t>RICE engine-generator 6</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5" t="n">
        <v>57</v>
      </c>
      <c r="U4940" s="15" t="n">
        <v>153</v>
      </c>
      <c r="V4940" s="15">
        <f>ROUNDUP((T4940+U4940+2*'Read Me'!$B$13)*(1+'Read Me'!$B$12),-1)</f>
        <v/>
      </c>
      <c r="W4940" s="15">
        <f>V4940*N4940*O4940</f>
        <v/>
      </c>
      <c r="X4940" s="12">
        <f>IF(LEFT(I4940,2)="MV",2*N4940*IF(L4940="1/C",O4940,1),0)</f>
        <v/>
      </c>
      <c r="Y4940" s="12">
        <f>IF(OR(LEFT(K4940,4)="LVAX",LEFT(K4940,6)="MV15AX",LEFT(K4940,4)="CTAX",LEFT(K4940,2)="W|"),2*N4940*O4940,0)</f>
        <v/>
      </c>
      <c r="Z4940" s="12" t="inlineStr"/>
      <c r="AA4940" s="12">
        <f>N4940*O4940</f>
        <v/>
      </c>
    </row>
    <row r="4941">
      <c r="A4941" s="12" t="inlineStr">
        <is>
          <t>I-I-0339</t>
        </is>
      </c>
      <c r="B4941" s="12" t="inlineStr">
        <is>
          <t>I</t>
        </is>
      </c>
      <c r="C4941" s="12" t="inlineStr">
        <is>
          <t>Modular / portable power</t>
        </is>
      </c>
      <c r="D4941" s="12" t="inlineStr">
        <is>
          <t>Thermocouple to TC JB JB-RICE-6-TC01: 20 x 1 pr (field cables)</t>
        </is>
      </c>
      <c r="E4941" s="12" t="inlineStr">
        <is>
          <t>RICE-6</t>
        </is>
      </c>
      <c r="F4941" s="12" t="inlineStr">
        <is>
          <t>RICE engine-generator 6</t>
        </is>
      </c>
      <c r="G4941" s="12" t="inlineStr">
        <is>
          <t>JB-RICE-6-TC01</t>
        </is>
      </c>
      <c r="H4941" s="12" t="inlineStr">
        <is>
          <t>RICE engine-generator 6</t>
        </is>
      </c>
      <c r="I4941" s="12" t="inlineStr">
        <is>
          <t>Instrumentation</t>
        </is>
      </c>
      <c r="J4941" s="12" t="inlineStr">
        <is>
          <t>Thermocouple extension KX, #16 shielded pairs, PLTC</t>
        </is>
      </c>
      <c r="K4941" s="12" t="inlineStr">
        <is>
          <t>TCX|1 pr|16</t>
        </is>
      </c>
      <c r="L4941" s="12" t="inlineStr">
        <is>
          <t>1 pr</t>
        </is>
      </c>
      <c r="M4941" s="12" t="inlineStr">
        <is>
          <t>16</t>
        </is>
      </c>
      <c r="N4941" s="12" t="n">
        <v>20</v>
      </c>
      <c r="O4941" s="12" t="n">
        <v>1</v>
      </c>
      <c r="P4941" s="12" t="n"/>
      <c r="Q4941" s="12" t="n"/>
      <c r="R4941" s="12" t="n"/>
      <c r="S4941" s="12" t="inlineStr">
        <is>
          <t>Tray / conduit</t>
        </is>
      </c>
      <c r="T4941" s="15" t="n">
        <v>72</v>
      </c>
      <c r="U4941" s="15" t="n">
        <v>10</v>
      </c>
      <c r="V4941" s="15">
        <f>ROUNDUP((T4941+U4941+2*'Read Me'!$B$13)*(1+'Read Me'!$B$12),-1)</f>
        <v/>
      </c>
      <c r="W4941" s="15">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I-I-0340</t>
        </is>
      </c>
      <c r="B4942" s="12" t="inlineStr">
        <is>
          <t>I</t>
        </is>
      </c>
      <c r="C4942" s="12" t="inlineStr">
        <is>
          <t>Modular / portable power</t>
        </is>
      </c>
      <c r="D4942" s="12" t="inlineStr">
        <is>
          <t>Home run JB-RICE-6-TC01 to the control / marshalling room</t>
        </is>
      </c>
      <c r="E4942" s="12" t="inlineStr"/>
      <c r="F4942" s="12" t="inlineStr">
        <is>
          <t>PCM: power control module</t>
        </is>
      </c>
      <c r="G4942" s="12" t="inlineStr">
        <is>
          <t>JB-RICE-6-TC01</t>
        </is>
      </c>
      <c r="H4942" s="12" t="inlineStr">
        <is>
          <t>RICE engine-generator 6</t>
        </is>
      </c>
      <c r="I4942" s="12" t="inlineStr">
        <is>
          <t>Instrumentation</t>
        </is>
      </c>
      <c r="J4942" s="12" t="inlineStr">
        <is>
          <t>Thermocouple extension KX, #16 shielded pairs, PLTC</t>
        </is>
      </c>
      <c r="K4942" s="12" t="inlineStr">
        <is>
          <t>TCX|24 pr|16</t>
        </is>
      </c>
      <c r="L4942" s="12" t="inlineStr">
        <is>
          <t>24 pr</t>
        </is>
      </c>
      <c r="M4942" s="12" t="inlineStr">
        <is>
          <t>16</t>
        </is>
      </c>
      <c r="N4942" s="12" t="n">
        <v>1</v>
      </c>
      <c r="O4942" s="12" t="n">
        <v>1</v>
      </c>
      <c r="P4942" s="12" t="n"/>
      <c r="Q4942" s="12" t="n"/>
      <c r="R4942" s="12" t="n"/>
      <c r="S4942" s="12" t="inlineStr">
        <is>
          <t>Duct bank</t>
        </is>
      </c>
      <c r="T4942" s="15" t="n">
        <v>57</v>
      </c>
      <c r="U4942" s="15" t="n">
        <v>153</v>
      </c>
      <c r="V4942" s="15">
        <f>ROUNDUP((T4942+U4942+2*'Read Me'!$B$13)*(1+'Read Me'!$B$12),-1)</f>
        <v/>
      </c>
      <c r="W4942" s="15">
        <f>V4942*N4942*O4942</f>
        <v/>
      </c>
      <c r="X4942" s="12">
        <f>IF(LEFT(I4942,2)="MV",2*N4942*IF(L4942="1/C",O4942,1),0)</f>
        <v/>
      </c>
      <c r="Y4942" s="12">
        <f>IF(OR(LEFT(K4942,4)="LVAX",LEFT(K4942,6)="MV15AX",LEFT(K4942,4)="CTAX",LEFT(K4942,2)="W|"),2*N4942*O4942,0)</f>
        <v/>
      </c>
      <c r="Z4942" s="12" t="inlineStr"/>
      <c r="AA4942" s="12">
        <f>N4942*O4942</f>
        <v/>
      </c>
    </row>
    <row r="4943">
      <c r="A4943" s="12" t="inlineStr">
        <is>
          <t>I-I-0341</t>
        </is>
      </c>
      <c r="B4943" s="12" t="inlineStr">
        <is>
          <t>I</t>
        </is>
      </c>
      <c r="C4943" s="12" t="inlineStr">
        <is>
          <t>Modular / portable power</t>
        </is>
      </c>
      <c r="D4943" s="12" t="inlineStr">
        <is>
          <t>Thermocouple to TC JB JB-RICE-6-TC02: 10 x 1 pr (field cables)</t>
        </is>
      </c>
      <c r="E4943" s="12" t="inlineStr">
        <is>
          <t>RICE-6</t>
        </is>
      </c>
      <c r="F4943" s="12" t="inlineStr">
        <is>
          <t>RICE engine-generator 6</t>
        </is>
      </c>
      <c r="G4943" s="12" t="inlineStr">
        <is>
          <t>JB-RICE-6-TC02</t>
        </is>
      </c>
      <c r="H4943" s="12" t="inlineStr">
        <is>
          <t>RICE engine-generator 6</t>
        </is>
      </c>
      <c r="I4943" s="12" t="inlineStr">
        <is>
          <t>Instrumentation</t>
        </is>
      </c>
      <c r="J4943" s="12" t="inlineStr">
        <is>
          <t>Thermocouple extension KX, #16 shielded pairs, PLTC</t>
        </is>
      </c>
      <c r="K4943" s="12" t="inlineStr">
        <is>
          <t>TCX|1 pr|16</t>
        </is>
      </c>
      <c r="L4943" s="12" t="inlineStr">
        <is>
          <t>1 pr</t>
        </is>
      </c>
      <c r="M4943" s="12" t="inlineStr">
        <is>
          <t>16</t>
        </is>
      </c>
      <c r="N4943" s="12" t="n">
        <v>10</v>
      </c>
      <c r="O4943" s="12" t="n">
        <v>1</v>
      </c>
      <c r="P4943" s="12" t="n"/>
      <c r="Q4943" s="12" t="n"/>
      <c r="R4943" s="12" t="n"/>
      <c r="S4943" s="12" t="inlineStr">
        <is>
          <t>Tray / conduit</t>
        </is>
      </c>
      <c r="T4943" s="15" t="n">
        <v>72</v>
      </c>
      <c r="U4943" s="15" t="n">
        <v>10</v>
      </c>
      <c r="V4943" s="15">
        <f>ROUNDUP((T4943+U4943+2*'Read Me'!$B$13)*(1+'Read Me'!$B$12),-1)</f>
        <v/>
      </c>
      <c r="W4943" s="15">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I-I-0342</t>
        </is>
      </c>
      <c r="B4944" s="12" t="inlineStr">
        <is>
          <t>I</t>
        </is>
      </c>
      <c r="C4944" s="12" t="inlineStr">
        <is>
          <t>Modular / portable power</t>
        </is>
      </c>
      <c r="D4944" s="12" t="inlineStr">
        <is>
          <t>Home run JB-RICE-6-TC02 to the control / marshalling room</t>
        </is>
      </c>
      <c r="E4944" s="12" t="inlineStr"/>
      <c r="F4944" s="12" t="inlineStr">
        <is>
          <t>PCM: power control module</t>
        </is>
      </c>
      <c r="G4944" s="12" t="inlineStr">
        <is>
          <t>JB-RICE-6-TC02</t>
        </is>
      </c>
      <c r="H4944" s="12" t="inlineStr">
        <is>
          <t>RICE engine-generator 6</t>
        </is>
      </c>
      <c r="I4944" s="12" t="inlineStr">
        <is>
          <t>Instrumentation</t>
        </is>
      </c>
      <c r="J4944" s="12" t="inlineStr">
        <is>
          <t>Thermocouple extension KX, #16 shielded pairs, PLTC</t>
        </is>
      </c>
      <c r="K4944" s="12" t="inlineStr">
        <is>
          <t>TCX|24 pr|16</t>
        </is>
      </c>
      <c r="L4944" s="12" t="inlineStr">
        <is>
          <t>24 pr</t>
        </is>
      </c>
      <c r="M4944" s="12" t="inlineStr">
        <is>
          <t>16</t>
        </is>
      </c>
      <c r="N4944" s="12" t="n">
        <v>1</v>
      </c>
      <c r="O4944" s="12" t="n">
        <v>1</v>
      </c>
      <c r="P4944" s="12" t="n"/>
      <c r="Q4944" s="12" t="n"/>
      <c r="R4944" s="12" t="n"/>
      <c r="S4944" s="12" t="inlineStr">
        <is>
          <t>Duct bank</t>
        </is>
      </c>
      <c r="T4944" s="15" t="n">
        <v>57</v>
      </c>
      <c r="U4944" s="15" t="n">
        <v>153</v>
      </c>
      <c r="V4944" s="15">
        <f>ROUNDUP((T4944+U4944+2*'Read Me'!$B$13)*(1+'Read Me'!$B$12),-1)</f>
        <v/>
      </c>
      <c r="W4944" s="15">
        <f>V4944*N4944*O4944</f>
        <v/>
      </c>
      <c r="X4944" s="12">
        <f>IF(LEFT(I4944,2)="MV",2*N4944*IF(L4944="1/C",O4944,1),0)</f>
        <v/>
      </c>
      <c r="Y4944" s="12">
        <f>IF(OR(LEFT(K4944,4)="LVAX",LEFT(K4944,6)="MV15AX",LEFT(K4944,4)="CTAX",LEFT(K4944,2)="W|"),2*N4944*O4944,0)</f>
        <v/>
      </c>
      <c r="Z4944" s="12" t="inlineStr"/>
      <c r="AA4944" s="12">
        <f>N4944*O4944</f>
        <v/>
      </c>
    </row>
    <row r="4945">
      <c r="A4945" s="12" t="inlineStr">
        <is>
          <t>I-I-0343</t>
        </is>
      </c>
      <c r="B4945" s="12" t="inlineStr">
        <is>
          <t>I</t>
        </is>
      </c>
      <c r="C4945" s="12" t="inlineStr">
        <is>
          <t>Modular / portable power</t>
        </is>
      </c>
      <c r="D4945" s="12" t="inlineStr">
        <is>
          <t>RTD to JB JB-RICE-6-RTD01: 10 x 1 tri (field cables)</t>
        </is>
      </c>
      <c r="E4945" s="12" t="inlineStr">
        <is>
          <t>RICE-6</t>
        </is>
      </c>
      <c r="F4945" s="12" t="inlineStr">
        <is>
          <t>RICE engine-generator 6</t>
        </is>
      </c>
      <c r="G4945" s="12" t="inlineStr">
        <is>
          <t>JB-RICE-6-RTD01</t>
        </is>
      </c>
      <c r="H4945" s="12" t="inlineStr">
        <is>
          <t>RICE engine-generator 6</t>
        </is>
      </c>
      <c r="I4945" s="12" t="inlineStr">
        <is>
          <t>Instrumentation</t>
        </is>
      </c>
      <c r="J4945" s="12" t="inlineStr">
        <is>
          <t>RTD cable, #18 shielded triads, PLTC</t>
        </is>
      </c>
      <c r="K4945" s="12" t="inlineStr">
        <is>
          <t>RTD|1 tri|18</t>
        </is>
      </c>
      <c r="L4945" s="12" t="inlineStr">
        <is>
          <t>1 tri</t>
        </is>
      </c>
      <c r="M4945" s="12" t="inlineStr">
        <is>
          <t>18</t>
        </is>
      </c>
      <c r="N4945" s="12" t="n">
        <v>10</v>
      </c>
      <c r="O4945" s="12" t="n">
        <v>1</v>
      </c>
      <c r="P4945" s="12" t="n"/>
      <c r="Q4945" s="12" t="n"/>
      <c r="R4945" s="12" t="n"/>
      <c r="S4945" s="12" t="inlineStr">
        <is>
          <t>Tray / conduit</t>
        </is>
      </c>
      <c r="T4945" s="15" t="n">
        <v>72</v>
      </c>
      <c r="U4945" s="15" t="n">
        <v>10</v>
      </c>
      <c r="V4945" s="15">
        <f>ROUNDUP((T4945+U4945+2*'Read Me'!$B$13)*(1+'Read Me'!$B$12),-1)</f>
        <v/>
      </c>
      <c r="W4945" s="15">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I-I-0344</t>
        </is>
      </c>
      <c r="B4946" s="12" t="inlineStr">
        <is>
          <t>I</t>
        </is>
      </c>
      <c r="C4946" s="12" t="inlineStr">
        <is>
          <t>Modular / portable power</t>
        </is>
      </c>
      <c r="D4946" s="12" t="inlineStr">
        <is>
          <t>Home run JB-RICE-6-RTD01 to the control / marshalling room</t>
        </is>
      </c>
      <c r="E4946" s="12" t="inlineStr"/>
      <c r="F4946" s="12" t="inlineStr">
        <is>
          <t>PCM: power control module</t>
        </is>
      </c>
      <c r="G4946" s="12" t="inlineStr">
        <is>
          <t>JB-RICE-6-RTD01</t>
        </is>
      </c>
      <c r="H4946" s="12" t="inlineStr">
        <is>
          <t>RICE engine-generator 6</t>
        </is>
      </c>
      <c r="I4946" s="12" t="inlineStr">
        <is>
          <t>Instrumentation</t>
        </is>
      </c>
      <c r="J4946" s="12" t="inlineStr">
        <is>
          <t>RTD cable, #18 shielded triads, PLTC</t>
        </is>
      </c>
      <c r="K4946" s="12" t="inlineStr">
        <is>
          <t>RTD|12 tri|18</t>
        </is>
      </c>
      <c r="L4946" s="12" t="inlineStr">
        <is>
          <t>12 tri</t>
        </is>
      </c>
      <c r="M4946" s="12" t="inlineStr">
        <is>
          <t>18</t>
        </is>
      </c>
      <c r="N4946" s="12" t="n">
        <v>1</v>
      </c>
      <c r="O4946" s="12" t="n">
        <v>1</v>
      </c>
      <c r="P4946" s="12" t="n"/>
      <c r="Q4946" s="12" t="n"/>
      <c r="R4946" s="12" t="n"/>
      <c r="S4946" s="12" t="inlineStr">
        <is>
          <t>Duct bank</t>
        </is>
      </c>
      <c r="T4946" s="15" t="n">
        <v>57</v>
      </c>
      <c r="U4946" s="15" t="n">
        <v>153</v>
      </c>
      <c r="V4946" s="15">
        <f>ROUNDUP((T4946+U4946+2*'Read Me'!$B$13)*(1+'Read Me'!$B$12),-1)</f>
        <v/>
      </c>
      <c r="W4946" s="15">
        <f>V4946*N4946*O4946</f>
        <v/>
      </c>
      <c r="X4946" s="12">
        <f>IF(LEFT(I4946,2)="MV",2*N4946*IF(L4946="1/C",O4946,1),0)</f>
        <v/>
      </c>
      <c r="Y4946" s="12">
        <f>IF(OR(LEFT(K4946,4)="LVAX",LEFT(K4946,6)="MV15AX",LEFT(K4946,4)="CTAX",LEFT(K4946,2)="W|"),2*N4946*O4946,0)</f>
        <v/>
      </c>
      <c r="Z4946" s="12" t="inlineStr"/>
      <c r="AA4946" s="12">
        <f>N4946*O4946</f>
        <v/>
      </c>
    </row>
    <row r="4947">
      <c r="A4947" s="12" t="inlineStr">
        <is>
          <t>I-I-0345</t>
        </is>
      </c>
      <c r="B4947" s="12" t="inlineStr">
        <is>
          <t>I</t>
        </is>
      </c>
      <c r="C4947" s="12" t="inlineStr">
        <is>
          <t>Modular / portable power</t>
        </is>
      </c>
      <c r="D4947" s="12" t="inlineStr">
        <is>
          <t>RTD to JB JB-RICE-6-RTD02: 2 x 1 tri (field cables)</t>
        </is>
      </c>
      <c r="E4947" s="12" t="inlineStr">
        <is>
          <t>RICE-6</t>
        </is>
      </c>
      <c r="F4947" s="12" t="inlineStr">
        <is>
          <t>RICE engine-generator 6</t>
        </is>
      </c>
      <c r="G4947" s="12" t="inlineStr">
        <is>
          <t>JB-RICE-6-RTD02</t>
        </is>
      </c>
      <c r="H4947" s="12" t="inlineStr">
        <is>
          <t>RICE engine-generator 6</t>
        </is>
      </c>
      <c r="I4947" s="12" t="inlineStr">
        <is>
          <t>Instrumentation</t>
        </is>
      </c>
      <c r="J4947" s="12" t="inlineStr">
        <is>
          <t>RTD cable, #18 shielded triads, PLTC</t>
        </is>
      </c>
      <c r="K4947" s="12" t="inlineStr">
        <is>
          <t>RTD|1 tri|18</t>
        </is>
      </c>
      <c r="L4947" s="12" t="inlineStr">
        <is>
          <t>1 tri</t>
        </is>
      </c>
      <c r="M4947" s="12" t="inlineStr">
        <is>
          <t>18</t>
        </is>
      </c>
      <c r="N4947" s="12" t="n">
        <v>2</v>
      </c>
      <c r="O4947" s="12" t="n">
        <v>1</v>
      </c>
      <c r="P4947" s="12" t="n"/>
      <c r="Q4947" s="12" t="n"/>
      <c r="R4947" s="12" t="n"/>
      <c r="S4947" s="12" t="inlineStr">
        <is>
          <t>Tray / conduit</t>
        </is>
      </c>
      <c r="T4947" s="15" t="n">
        <v>72</v>
      </c>
      <c r="U4947" s="15" t="n">
        <v>10</v>
      </c>
      <c r="V4947" s="15">
        <f>ROUNDUP((T4947+U4947+2*'Read Me'!$B$13)*(1+'Read Me'!$B$12),-1)</f>
        <v/>
      </c>
      <c r="W4947" s="15">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I-I-0346</t>
        </is>
      </c>
      <c r="B4948" s="12" t="inlineStr">
        <is>
          <t>I</t>
        </is>
      </c>
      <c r="C4948" s="12" t="inlineStr">
        <is>
          <t>Modular / portable power</t>
        </is>
      </c>
      <c r="D4948" s="12" t="inlineStr">
        <is>
          <t>Home run JB-RICE-6-RTD02 to the control / marshalling room</t>
        </is>
      </c>
      <c r="E4948" s="12" t="inlineStr"/>
      <c r="F4948" s="12" t="inlineStr">
        <is>
          <t>PCM: power control module</t>
        </is>
      </c>
      <c r="G4948" s="12" t="inlineStr">
        <is>
          <t>JB-RICE-6-RTD02</t>
        </is>
      </c>
      <c r="H4948" s="12" t="inlineStr">
        <is>
          <t>RICE engine-generator 6</t>
        </is>
      </c>
      <c r="I4948" s="12" t="inlineStr">
        <is>
          <t>Instrumentation</t>
        </is>
      </c>
      <c r="J4948" s="12" t="inlineStr">
        <is>
          <t>RTD cable, #18 shielded triads, PLTC</t>
        </is>
      </c>
      <c r="K4948" s="12" t="inlineStr">
        <is>
          <t>RTD|12 tri|18</t>
        </is>
      </c>
      <c r="L4948" s="12" t="inlineStr">
        <is>
          <t>12 tri</t>
        </is>
      </c>
      <c r="M4948" s="12" t="inlineStr">
        <is>
          <t>18</t>
        </is>
      </c>
      <c r="N4948" s="12" t="n">
        <v>1</v>
      </c>
      <c r="O4948" s="12" t="n">
        <v>1</v>
      </c>
      <c r="P4948" s="12" t="n"/>
      <c r="Q4948" s="12" t="n"/>
      <c r="R4948" s="12" t="n"/>
      <c r="S4948" s="12" t="inlineStr">
        <is>
          <t>Duct bank</t>
        </is>
      </c>
      <c r="T4948" s="15" t="n">
        <v>57</v>
      </c>
      <c r="U4948" s="15" t="n">
        <v>153</v>
      </c>
      <c r="V4948" s="15">
        <f>ROUNDUP((T4948+U4948+2*'Read Me'!$B$13)*(1+'Read Me'!$B$12),-1)</f>
        <v/>
      </c>
      <c r="W4948" s="15">
        <f>V4948*N4948*O4948</f>
        <v/>
      </c>
      <c r="X4948" s="12">
        <f>IF(LEFT(I4948,2)="MV",2*N4948*IF(L4948="1/C",O4948,1),0)</f>
        <v/>
      </c>
      <c r="Y4948" s="12">
        <f>IF(OR(LEFT(K4948,4)="LVAX",LEFT(K4948,6)="MV15AX",LEFT(K4948,4)="CTAX",LEFT(K4948,2)="W|"),2*N4948*O4948,0)</f>
        <v/>
      </c>
      <c r="Z4948" s="12" t="inlineStr"/>
      <c r="AA4948" s="12">
        <f>N4948*O4948</f>
        <v/>
      </c>
    </row>
    <row r="4949">
      <c r="A4949" s="12" t="inlineStr">
        <is>
          <t>I-I-0347</t>
        </is>
      </c>
      <c r="B4949" s="12" t="inlineStr">
        <is>
          <t>I</t>
        </is>
      </c>
      <c r="C4949" s="12" t="inlineStr">
        <is>
          <t>Modular / portable power</t>
        </is>
      </c>
      <c r="D4949" s="12" t="inlineStr">
        <is>
          <t>Analog instrument to JB JB-RICE-7-AI01: 20 x 1 pr (field cables)</t>
        </is>
      </c>
      <c r="E4949" s="12" t="inlineStr">
        <is>
          <t>RICE-7</t>
        </is>
      </c>
      <c r="F4949" s="12" t="inlineStr">
        <is>
          <t>RICE engine-generator 7</t>
        </is>
      </c>
      <c r="G4949" s="12" t="inlineStr">
        <is>
          <t>JB-RICE-7-AI01</t>
        </is>
      </c>
      <c r="H4949" s="12" t="inlineStr">
        <is>
          <t>RICE engine-generator 7</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5" t="n">
        <v>72</v>
      </c>
      <c r="U4949" s="15" t="n">
        <v>10</v>
      </c>
      <c r="V4949" s="15">
        <f>ROUNDUP((T4949+U4949+2*'Read Me'!$B$13)*(1+'Read Me'!$B$12),-1)</f>
        <v/>
      </c>
      <c r="W4949" s="15">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I-I-0348</t>
        </is>
      </c>
      <c r="B4950" s="12" t="inlineStr">
        <is>
          <t>I</t>
        </is>
      </c>
      <c r="C4950" s="12" t="inlineStr">
        <is>
          <t>Modular / portable power</t>
        </is>
      </c>
      <c r="D4950" s="12" t="inlineStr">
        <is>
          <t>Home run JB-RICE-7-AI01 to the control / marshalling room</t>
        </is>
      </c>
      <c r="E4950" s="12" t="inlineStr"/>
      <c r="F4950" s="12" t="inlineStr">
        <is>
          <t>PCM: power control module</t>
        </is>
      </c>
      <c r="G4950" s="12" t="inlineStr">
        <is>
          <t>JB-RICE-7-AI01</t>
        </is>
      </c>
      <c r="H4950" s="12" t="inlineStr">
        <is>
          <t>RICE engine-generator 7</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5" t="n">
        <v>57</v>
      </c>
      <c r="U4950" s="15" t="n">
        <v>125</v>
      </c>
      <c r="V4950" s="15">
        <f>ROUNDUP((T4950+U4950+2*'Read Me'!$B$13)*(1+'Read Me'!$B$12),-1)</f>
        <v/>
      </c>
      <c r="W4950" s="15">
        <f>V4950*N4950*O4950</f>
        <v/>
      </c>
      <c r="X4950" s="12">
        <f>IF(LEFT(I4950,2)="MV",2*N4950*IF(L4950="1/C",O4950,1),0)</f>
        <v/>
      </c>
      <c r="Y4950" s="12">
        <f>IF(OR(LEFT(K4950,4)="LVAX",LEFT(K4950,6)="MV15AX",LEFT(K4950,4)="CTAX",LEFT(K4950,2)="W|"),2*N4950*O4950,0)</f>
        <v/>
      </c>
      <c r="Z4950" s="12" t="inlineStr"/>
      <c r="AA4950" s="12">
        <f>N4950*O4950</f>
        <v/>
      </c>
    </row>
    <row r="4951">
      <c r="A4951" s="12" t="inlineStr">
        <is>
          <t>I-I-0349</t>
        </is>
      </c>
      <c r="B4951" s="12" t="inlineStr">
        <is>
          <t>I</t>
        </is>
      </c>
      <c r="C4951" s="12" t="inlineStr">
        <is>
          <t>Modular / portable power</t>
        </is>
      </c>
      <c r="D4951" s="12" t="inlineStr">
        <is>
          <t>Analog instrument to JB JB-RICE-7-AI02: 20 x 1 pr (field cables)</t>
        </is>
      </c>
      <c r="E4951" s="12" t="inlineStr">
        <is>
          <t>RICE-7</t>
        </is>
      </c>
      <c r="F4951" s="12" t="inlineStr">
        <is>
          <t>RICE engine-generator 7</t>
        </is>
      </c>
      <c r="G4951" s="12" t="inlineStr">
        <is>
          <t>JB-RICE-7-AI02</t>
        </is>
      </c>
      <c r="H4951" s="12" t="inlineStr">
        <is>
          <t>RICE engine-generator 7</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5" t="n">
        <v>72</v>
      </c>
      <c r="U4951" s="15" t="n">
        <v>10</v>
      </c>
      <c r="V4951" s="15">
        <f>ROUNDUP((T4951+U4951+2*'Read Me'!$B$13)*(1+'Read Me'!$B$12),-1)</f>
        <v/>
      </c>
      <c r="W4951" s="15">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I-I-0350</t>
        </is>
      </c>
      <c r="B4952" s="12" t="inlineStr">
        <is>
          <t>I</t>
        </is>
      </c>
      <c r="C4952" s="12" t="inlineStr">
        <is>
          <t>Modular / portable power</t>
        </is>
      </c>
      <c r="D4952" s="12" t="inlineStr">
        <is>
          <t>Home run JB-RICE-7-AI02 to the control / marshalling room</t>
        </is>
      </c>
      <c r="E4952" s="12" t="inlineStr"/>
      <c r="F4952" s="12" t="inlineStr">
        <is>
          <t>PCM: power control module</t>
        </is>
      </c>
      <c r="G4952" s="12" t="inlineStr">
        <is>
          <t>JB-RICE-7-AI02</t>
        </is>
      </c>
      <c r="H4952" s="12" t="inlineStr">
        <is>
          <t>RICE engine-generator 7</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5" t="n">
        <v>57</v>
      </c>
      <c r="U4952" s="15" t="n">
        <v>125</v>
      </c>
      <c r="V4952" s="15">
        <f>ROUNDUP((T4952+U4952+2*'Read Me'!$B$13)*(1+'Read Me'!$B$12),-1)</f>
        <v/>
      </c>
      <c r="W4952" s="15">
        <f>V4952*N4952*O4952</f>
        <v/>
      </c>
      <c r="X4952" s="12">
        <f>IF(LEFT(I4952,2)="MV",2*N4952*IF(L4952="1/C",O4952,1),0)</f>
        <v/>
      </c>
      <c r="Y4952" s="12">
        <f>IF(OR(LEFT(K4952,4)="LVAX",LEFT(K4952,6)="MV15AX",LEFT(K4952,4)="CTAX",LEFT(K4952,2)="W|"),2*N4952*O4952,0)</f>
        <v/>
      </c>
      <c r="Z4952" s="12" t="inlineStr"/>
      <c r="AA4952" s="12">
        <f>N4952*O4952</f>
        <v/>
      </c>
    </row>
    <row r="4953">
      <c r="A4953" s="12" t="inlineStr">
        <is>
          <t>I-I-0351</t>
        </is>
      </c>
      <c r="B4953" s="12" t="inlineStr">
        <is>
          <t>I</t>
        </is>
      </c>
      <c r="C4953" s="12" t="inlineStr">
        <is>
          <t>Modular / portable power</t>
        </is>
      </c>
      <c r="D4953" s="12" t="inlineStr">
        <is>
          <t>Analog instrument to JB JB-RICE-7-AI03: 20 x 1 pr (field cables)</t>
        </is>
      </c>
      <c r="E4953" s="12" t="inlineStr">
        <is>
          <t>RICE-7</t>
        </is>
      </c>
      <c r="F4953" s="12" t="inlineStr">
        <is>
          <t>RICE engine-generator 7</t>
        </is>
      </c>
      <c r="G4953" s="12" t="inlineStr">
        <is>
          <t>JB-RICE-7-AI03</t>
        </is>
      </c>
      <c r="H4953" s="12" t="inlineStr">
        <is>
          <t>RICE engine-generator 7</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5" t="n">
        <v>72</v>
      </c>
      <c r="U4953" s="15" t="n">
        <v>10</v>
      </c>
      <c r="V4953" s="15">
        <f>ROUNDUP((T4953+U4953+2*'Read Me'!$B$13)*(1+'Read Me'!$B$12),-1)</f>
        <v/>
      </c>
      <c r="W4953" s="15">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I-I-0352</t>
        </is>
      </c>
      <c r="B4954" s="12" t="inlineStr">
        <is>
          <t>I</t>
        </is>
      </c>
      <c r="C4954" s="12" t="inlineStr">
        <is>
          <t>Modular / portable power</t>
        </is>
      </c>
      <c r="D4954" s="12" t="inlineStr">
        <is>
          <t>Home run JB-RICE-7-AI03 to the control / marshalling room</t>
        </is>
      </c>
      <c r="E4954" s="12" t="inlineStr"/>
      <c r="F4954" s="12" t="inlineStr">
        <is>
          <t>PCM: power control module</t>
        </is>
      </c>
      <c r="G4954" s="12" t="inlineStr">
        <is>
          <t>JB-RICE-7-AI03</t>
        </is>
      </c>
      <c r="H4954" s="12" t="inlineStr">
        <is>
          <t>RICE engine-generator 7</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5" t="n">
        <v>57</v>
      </c>
      <c r="U4954" s="15" t="n">
        <v>125</v>
      </c>
      <c r="V4954" s="15">
        <f>ROUNDUP((T4954+U4954+2*'Read Me'!$B$13)*(1+'Read Me'!$B$12),-1)</f>
        <v/>
      </c>
      <c r="W4954" s="15">
        <f>V4954*N4954*O4954</f>
        <v/>
      </c>
      <c r="X4954" s="12">
        <f>IF(LEFT(I4954,2)="MV",2*N4954*IF(L4954="1/C",O4954,1),0)</f>
        <v/>
      </c>
      <c r="Y4954" s="12">
        <f>IF(OR(LEFT(K4954,4)="LVAX",LEFT(K4954,6)="MV15AX",LEFT(K4954,4)="CTAX",LEFT(K4954,2)="W|"),2*N4954*O4954,0)</f>
        <v/>
      </c>
      <c r="Z4954" s="12" t="inlineStr"/>
      <c r="AA4954" s="12">
        <f>N4954*O4954</f>
        <v/>
      </c>
    </row>
    <row r="4955">
      <c r="A4955" s="12" t="inlineStr">
        <is>
          <t>I-I-0353</t>
        </is>
      </c>
      <c r="B4955" s="12" t="inlineStr">
        <is>
          <t>I</t>
        </is>
      </c>
      <c r="C4955" s="12" t="inlineStr">
        <is>
          <t>Modular / portable power</t>
        </is>
      </c>
      <c r="D4955" s="12" t="inlineStr">
        <is>
          <t>Analog instrument to JB JB-RICE-7-AI04: 20 x 1 pr (field cables)</t>
        </is>
      </c>
      <c r="E4955" s="12" t="inlineStr">
        <is>
          <t>RICE-7</t>
        </is>
      </c>
      <c r="F4955" s="12" t="inlineStr">
        <is>
          <t>RICE engine-generator 7</t>
        </is>
      </c>
      <c r="G4955" s="12" t="inlineStr">
        <is>
          <t>JB-RICE-7-AI04</t>
        </is>
      </c>
      <c r="H4955" s="12" t="inlineStr">
        <is>
          <t>RICE engine-generator 7</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5" t="n">
        <v>72</v>
      </c>
      <c r="U4955" s="15" t="n">
        <v>10</v>
      </c>
      <c r="V4955" s="15">
        <f>ROUNDUP((T4955+U4955+2*'Read Me'!$B$13)*(1+'Read Me'!$B$12),-1)</f>
        <v/>
      </c>
      <c r="W4955" s="15">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I-I-0354</t>
        </is>
      </c>
      <c r="B4956" s="12" t="inlineStr">
        <is>
          <t>I</t>
        </is>
      </c>
      <c r="C4956" s="12" t="inlineStr">
        <is>
          <t>Modular / portable power</t>
        </is>
      </c>
      <c r="D4956" s="12" t="inlineStr">
        <is>
          <t>Home run JB-RICE-7-AI04 to the control / marshalling room</t>
        </is>
      </c>
      <c r="E4956" s="12" t="inlineStr"/>
      <c r="F4956" s="12" t="inlineStr">
        <is>
          <t>PCM: power control module</t>
        </is>
      </c>
      <c r="G4956" s="12" t="inlineStr">
        <is>
          <t>JB-RICE-7-AI04</t>
        </is>
      </c>
      <c r="H4956" s="12" t="inlineStr">
        <is>
          <t>RICE engine-generator 7</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5" t="n">
        <v>57</v>
      </c>
      <c r="U4956" s="15" t="n">
        <v>125</v>
      </c>
      <c r="V4956" s="15">
        <f>ROUNDUP((T4956+U4956+2*'Read Me'!$B$13)*(1+'Read Me'!$B$12),-1)</f>
        <v/>
      </c>
      <c r="W4956" s="15">
        <f>V4956*N4956*O4956</f>
        <v/>
      </c>
      <c r="X4956" s="12">
        <f>IF(LEFT(I4956,2)="MV",2*N4956*IF(L4956="1/C",O4956,1),0)</f>
        <v/>
      </c>
      <c r="Y4956" s="12">
        <f>IF(OR(LEFT(K4956,4)="LVAX",LEFT(K4956,6)="MV15AX",LEFT(K4956,4)="CTAX",LEFT(K4956,2)="W|"),2*N4956*O4956,0)</f>
        <v/>
      </c>
      <c r="Z4956" s="12" t="inlineStr"/>
      <c r="AA4956" s="12">
        <f>N4956*O4956</f>
        <v/>
      </c>
    </row>
    <row r="4957">
      <c r="A4957" s="12" t="inlineStr">
        <is>
          <t>I-I-0355</t>
        </is>
      </c>
      <c r="B4957" s="12" t="inlineStr">
        <is>
          <t>I</t>
        </is>
      </c>
      <c r="C4957" s="12" t="inlineStr">
        <is>
          <t>Modular / portable power</t>
        </is>
      </c>
      <c r="D4957" s="12" t="inlineStr">
        <is>
          <t>Discrete device to JB JB-RICE-7-DI01: 20 x 1 pr (field cables)</t>
        </is>
      </c>
      <c r="E4957" s="12" t="inlineStr">
        <is>
          <t>RICE-7</t>
        </is>
      </c>
      <c r="F4957" s="12" t="inlineStr">
        <is>
          <t>RICE engine-generator 7</t>
        </is>
      </c>
      <c r="G4957" s="12" t="inlineStr">
        <is>
          <t>JB-RICE-7-DI01</t>
        </is>
      </c>
      <c r="H4957" s="12" t="inlineStr">
        <is>
          <t>RICE engine-generator 7</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5" t="n">
        <v>72</v>
      </c>
      <c r="U4957" s="15" t="n">
        <v>10</v>
      </c>
      <c r="V4957" s="15">
        <f>ROUNDUP((T4957+U4957+2*'Read Me'!$B$13)*(1+'Read Me'!$B$12),-1)</f>
        <v/>
      </c>
      <c r="W4957" s="15">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I-I-0356</t>
        </is>
      </c>
      <c r="B4958" s="12" t="inlineStr">
        <is>
          <t>I</t>
        </is>
      </c>
      <c r="C4958" s="12" t="inlineStr">
        <is>
          <t>Modular / portable power</t>
        </is>
      </c>
      <c r="D4958" s="12" t="inlineStr">
        <is>
          <t>Home run JB-RICE-7-DI01 to the control / marshalling room</t>
        </is>
      </c>
      <c r="E4958" s="12" t="inlineStr"/>
      <c r="F4958" s="12" t="inlineStr">
        <is>
          <t>PCM: power control module</t>
        </is>
      </c>
      <c r="G4958" s="12" t="inlineStr">
        <is>
          <t>JB-RICE-7-DI01</t>
        </is>
      </c>
      <c r="H4958" s="12" t="inlineStr">
        <is>
          <t>RICE engine-generator 7</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5" t="n">
        <v>57</v>
      </c>
      <c r="U4958" s="15" t="n">
        <v>125</v>
      </c>
      <c r="V4958" s="15">
        <f>ROUNDUP((T4958+U4958+2*'Read Me'!$B$13)*(1+'Read Me'!$B$12),-1)</f>
        <v/>
      </c>
      <c r="W4958" s="15">
        <f>V4958*N4958*O4958</f>
        <v/>
      </c>
      <c r="X4958" s="12">
        <f>IF(LEFT(I4958,2)="MV",2*N4958*IF(L4958="1/C",O4958,1),0)</f>
        <v/>
      </c>
      <c r="Y4958" s="12">
        <f>IF(OR(LEFT(K4958,4)="LVAX",LEFT(K4958,6)="MV15AX",LEFT(K4958,4)="CTAX",LEFT(K4958,2)="W|"),2*N4958*O4958,0)</f>
        <v/>
      </c>
      <c r="Z4958" s="12" t="inlineStr"/>
      <c r="AA4958" s="12">
        <f>N4958*O4958</f>
        <v/>
      </c>
    </row>
    <row r="4959">
      <c r="A4959" s="12" t="inlineStr">
        <is>
          <t>I-I-0357</t>
        </is>
      </c>
      <c r="B4959" s="12" t="inlineStr">
        <is>
          <t>I</t>
        </is>
      </c>
      <c r="C4959" s="12" t="inlineStr">
        <is>
          <t>Modular / portable power</t>
        </is>
      </c>
      <c r="D4959" s="12" t="inlineStr">
        <is>
          <t>Discrete device to JB JB-RICE-7-DI02: 20 x 1 pr (field cables)</t>
        </is>
      </c>
      <c r="E4959" s="12" t="inlineStr">
        <is>
          <t>RICE-7</t>
        </is>
      </c>
      <c r="F4959" s="12" t="inlineStr">
        <is>
          <t>RICE engine-generator 7</t>
        </is>
      </c>
      <c r="G4959" s="12" t="inlineStr">
        <is>
          <t>JB-RICE-7-DI02</t>
        </is>
      </c>
      <c r="H4959" s="12" t="inlineStr">
        <is>
          <t>RICE engine-generator 7</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5" t="n">
        <v>72</v>
      </c>
      <c r="U4959" s="15" t="n">
        <v>10</v>
      </c>
      <c r="V4959" s="15">
        <f>ROUNDUP((T4959+U4959+2*'Read Me'!$B$13)*(1+'Read Me'!$B$12),-1)</f>
        <v/>
      </c>
      <c r="W4959" s="15">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I-I-0358</t>
        </is>
      </c>
      <c r="B4960" s="12" t="inlineStr">
        <is>
          <t>I</t>
        </is>
      </c>
      <c r="C4960" s="12" t="inlineStr">
        <is>
          <t>Modular / portable power</t>
        </is>
      </c>
      <c r="D4960" s="12" t="inlineStr">
        <is>
          <t>Home run JB-RICE-7-DI02 to the control / marshalling room</t>
        </is>
      </c>
      <c r="E4960" s="12" t="inlineStr"/>
      <c r="F4960" s="12" t="inlineStr">
        <is>
          <t>PCM: power control module</t>
        </is>
      </c>
      <c r="G4960" s="12" t="inlineStr">
        <is>
          <t>JB-RICE-7-DI02</t>
        </is>
      </c>
      <c r="H4960" s="12" t="inlineStr">
        <is>
          <t>RICE engine-generator 7</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5" t="n">
        <v>57</v>
      </c>
      <c r="U4960" s="15" t="n">
        <v>125</v>
      </c>
      <c r="V4960" s="15">
        <f>ROUNDUP((T4960+U4960+2*'Read Me'!$B$13)*(1+'Read Me'!$B$12),-1)</f>
        <v/>
      </c>
      <c r="W4960" s="15">
        <f>V4960*N4960*O4960</f>
        <v/>
      </c>
      <c r="X4960" s="12">
        <f>IF(LEFT(I4960,2)="MV",2*N4960*IF(L4960="1/C",O4960,1),0)</f>
        <v/>
      </c>
      <c r="Y4960" s="12">
        <f>IF(OR(LEFT(K4960,4)="LVAX",LEFT(K4960,6)="MV15AX",LEFT(K4960,4)="CTAX",LEFT(K4960,2)="W|"),2*N4960*O4960,0)</f>
        <v/>
      </c>
      <c r="Z4960" s="12" t="inlineStr"/>
      <c r="AA4960" s="12">
        <f>N4960*O4960</f>
        <v/>
      </c>
    </row>
    <row r="4961">
      <c r="A4961" s="12" t="inlineStr">
        <is>
          <t>I-I-0359</t>
        </is>
      </c>
      <c r="B4961" s="12" t="inlineStr">
        <is>
          <t>I</t>
        </is>
      </c>
      <c r="C4961" s="12" t="inlineStr">
        <is>
          <t>Modular / portable power</t>
        </is>
      </c>
      <c r="D4961" s="12" t="inlineStr">
        <is>
          <t>Discrete device to JB JB-RICE-7-DI03: 20 x 1 pr (field cables)</t>
        </is>
      </c>
      <c r="E4961" s="12" t="inlineStr">
        <is>
          <t>RICE-7</t>
        </is>
      </c>
      <c r="F4961" s="12" t="inlineStr">
        <is>
          <t>RICE engine-generator 7</t>
        </is>
      </c>
      <c r="G4961" s="12" t="inlineStr">
        <is>
          <t>JB-RICE-7-DI03</t>
        </is>
      </c>
      <c r="H4961" s="12" t="inlineStr">
        <is>
          <t>RICE engine-generator 7</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5" t="n">
        <v>72</v>
      </c>
      <c r="U4961" s="15" t="n">
        <v>10</v>
      </c>
      <c r="V4961" s="15">
        <f>ROUNDUP((T4961+U4961+2*'Read Me'!$B$13)*(1+'Read Me'!$B$12),-1)</f>
        <v/>
      </c>
      <c r="W4961" s="15">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I-I-0360</t>
        </is>
      </c>
      <c r="B4962" s="12" t="inlineStr">
        <is>
          <t>I</t>
        </is>
      </c>
      <c r="C4962" s="12" t="inlineStr">
        <is>
          <t>Modular / portable power</t>
        </is>
      </c>
      <c r="D4962" s="12" t="inlineStr">
        <is>
          <t>Home run JB-RICE-7-DI03 to the control / marshalling room</t>
        </is>
      </c>
      <c r="E4962" s="12" t="inlineStr"/>
      <c r="F4962" s="12" t="inlineStr">
        <is>
          <t>PCM: power control module</t>
        </is>
      </c>
      <c r="G4962" s="12" t="inlineStr">
        <is>
          <t>JB-RICE-7-DI03</t>
        </is>
      </c>
      <c r="H4962" s="12" t="inlineStr">
        <is>
          <t>RICE engine-generator 7</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5" t="n">
        <v>57</v>
      </c>
      <c r="U4962" s="15" t="n">
        <v>125</v>
      </c>
      <c r="V4962" s="15">
        <f>ROUNDUP((T4962+U4962+2*'Read Me'!$B$13)*(1+'Read Me'!$B$12),-1)</f>
        <v/>
      </c>
      <c r="W4962" s="15">
        <f>V4962*N4962*O4962</f>
        <v/>
      </c>
      <c r="X4962" s="12">
        <f>IF(LEFT(I4962,2)="MV",2*N4962*IF(L4962="1/C",O4962,1),0)</f>
        <v/>
      </c>
      <c r="Y4962" s="12">
        <f>IF(OR(LEFT(K4962,4)="LVAX",LEFT(K4962,6)="MV15AX",LEFT(K4962,4)="CTAX",LEFT(K4962,2)="W|"),2*N4962*O4962,0)</f>
        <v/>
      </c>
      <c r="Z4962" s="12" t="inlineStr"/>
      <c r="AA4962" s="12">
        <f>N4962*O4962</f>
        <v/>
      </c>
    </row>
    <row r="4963">
      <c r="A4963" s="12" t="inlineStr">
        <is>
          <t>I-I-0361</t>
        </is>
      </c>
      <c r="B4963" s="12" t="inlineStr">
        <is>
          <t>I</t>
        </is>
      </c>
      <c r="C4963" s="12" t="inlineStr">
        <is>
          <t>Modular / portable power</t>
        </is>
      </c>
      <c r="D4963" s="12" t="inlineStr">
        <is>
          <t>Thermocouple to TC JB JB-RICE-7-TC01: 20 x 1 pr (field cables)</t>
        </is>
      </c>
      <c r="E4963" s="12" t="inlineStr">
        <is>
          <t>RICE-7</t>
        </is>
      </c>
      <c r="F4963" s="12" t="inlineStr">
        <is>
          <t>RICE engine-generator 7</t>
        </is>
      </c>
      <c r="G4963" s="12" t="inlineStr">
        <is>
          <t>JB-RICE-7-TC01</t>
        </is>
      </c>
      <c r="H4963" s="12" t="inlineStr">
        <is>
          <t>RICE engine-generator 7</t>
        </is>
      </c>
      <c r="I4963" s="12" t="inlineStr">
        <is>
          <t>Instrumentation</t>
        </is>
      </c>
      <c r="J4963" s="12" t="inlineStr">
        <is>
          <t>Thermocouple extension KX, #16 shielded pairs, PLTC</t>
        </is>
      </c>
      <c r="K4963" s="12" t="inlineStr">
        <is>
          <t>TCX|1 pr|16</t>
        </is>
      </c>
      <c r="L4963" s="12" t="inlineStr">
        <is>
          <t>1 pr</t>
        </is>
      </c>
      <c r="M4963" s="12" t="inlineStr">
        <is>
          <t>16</t>
        </is>
      </c>
      <c r="N4963" s="12" t="n">
        <v>20</v>
      </c>
      <c r="O4963" s="12" t="n">
        <v>1</v>
      </c>
      <c r="P4963" s="12" t="n"/>
      <c r="Q4963" s="12" t="n"/>
      <c r="R4963" s="12" t="n"/>
      <c r="S4963" s="12" t="inlineStr">
        <is>
          <t>Tray / conduit</t>
        </is>
      </c>
      <c r="T4963" s="15" t="n">
        <v>72</v>
      </c>
      <c r="U4963" s="15" t="n">
        <v>10</v>
      </c>
      <c r="V4963" s="15">
        <f>ROUNDUP((T4963+U4963+2*'Read Me'!$B$13)*(1+'Read Me'!$B$12),-1)</f>
        <v/>
      </c>
      <c r="W4963" s="15">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I-I-0362</t>
        </is>
      </c>
      <c r="B4964" s="12" t="inlineStr">
        <is>
          <t>I</t>
        </is>
      </c>
      <c r="C4964" s="12" t="inlineStr">
        <is>
          <t>Modular / portable power</t>
        </is>
      </c>
      <c r="D4964" s="12" t="inlineStr">
        <is>
          <t>Home run JB-RICE-7-TC01 to the control / marshalling room</t>
        </is>
      </c>
      <c r="E4964" s="12" t="inlineStr"/>
      <c r="F4964" s="12" t="inlineStr">
        <is>
          <t>PCM: power control module</t>
        </is>
      </c>
      <c r="G4964" s="12" t="inlineStr">
        <is>
          <t>JB-RICE-7-TC01</t>
        </is>
      </c>
      <c r="H4964" s="12" t="inlineStr">
        <is>
          <t>RICE engine-generator 7</t>
        </is>
      </c>
      <c r="I4964" s="12" t="inlineStr">
        <is>
          <t>Instrumentation</t>
        </is>
      </c>
      <c r="J4964" s="12" t="inlineStr">
        <is>
          <t>Thermocouple extension KX, #16 shielded pairs, PLTC</t>
        </is>
      </c>
      <c r="K4964" s="12" t="inlineStr">
        <is>
          <t>TCX|24 pr|16</t>
        </is>
      </c>
      <c r="L4964" s="12" t="inlineStr">
        <is>
          <t>24 pr</t>
        </is>
      </c>
      <c r="M4964" s="12" t="inlineStr">
        <is>
          <t>16</t>
        </is>
      </c>
      <c r="N4964" s="12" t="n">
        <v>1</v>
      </c>
      <c r="O4964" s="12" t="n">
        <v>1</v>
      </c>
      <c r="P4964" s="12" t="n"/>
      <c r="Q4964" s="12" t="n"/>
      <c r="R4964" s="12" t="n"/>
      <c r="S4964" s="12" t="inlineStr">
        <is>
          <t>Duct bank</t>
        </is>
      </c>
      <c r="T4964" s="15" t="n">
        <v>57</v>
      </c>
      <c r="U4964" s="15" t="n">
        <v>125</v>
      </c>
      <c r="V4964" s="15">
        <f>ROUNDUP((T4964+U4964+2*'Read Me'!$B$13)*(1+'Read Me'!$B$12),-1)</f>
        <v/>
      </c>
      <c r="W4964" s="15">
        <f>V4964*N4964*O4964</f>
        <v/>
      </c>
      <c r="X4964" s="12">
        <f>IF(LEFT(I4964,2)="MV",2*N4964*IF(L4964="1/C",O4964,1),0)</f>
        <v/>
      </c>
      <c r="Y4964" s="12">
        <f>IF(OR(LEFT(K4964,4)="LVAX",LEFT(K4964,6)="MV15AX",LEFT(K4964,4)="CTAX",LEFT(K4964,2)="W|"),2*N4964*O4964,0)</f>
        <v/>
      </c>
      <c r="Z4964" s="12" t="inlineStr"/>
      <c r="AA4964" s="12">
        <f>N4964*O4964</f>
        <v/>
      </c>
    </row>
    <row r="4965">
      <c r="A4965" s="12" t="inlineStr">
        <is>
          <t>I-I-0363</t>
        </is>
      </c>
      <c r="B4965" s="12" t="inlineStr">
        <is>
          <t>I</t>
        </is>
      </c>
      <c r="C4965" s="12" t="inlineStr">
        <is>
          <t>Modular / portable power</t>
        </is>
      </c>
      <c r="D4965" s="12" t="inlineStr">
        <is>
          <t>Thermocouple to TC JB JB-RICE-7-TC02: 10 x 1 pr (field cables)</t>
        </is>
      </c>
      <c r="E4965" s="12" t="inlineStr">
        <is>
          <t>RICE-7</t>
        </is>
      </c>
      <c r="F4965" s="12" t="inlineStr">
        <is>
          <t>RICE engine-generator 7</t>
        </is>
      </c>
      <c r="G4965" s="12" t="inlineStr">
        <is>
          <t>JB-RICE-7-TC02</t>
        </is>
      </c>
      <c r="H4965" s="12" t="inlineStr">
        <is>
          <t>RICE engine-generator 7</t>
        </is>
      </c>
      <c r="I4965" s="12" t="inlineStr">
        <is>
          <t>Instrumentation</t>
        </is>
      </c>
      <c r="J4965" s="12" t="inlineStr">
        <is>
          <t>Thermocouple extension KX, #16 shielded pairs, PLTC</t>
        </is>
      </c>
      <c r="K4965" s="12" t="inlineStr">
        <is>
          <t>TCX|1 pr|16</t>
        </is>
      </c>
      <c r="L4965" s="12" t="inlineStr">
        <is>
          <t>1 pr</t>
        </is>
      </c>
      <c r="M4965" s="12" t="inlineStr">
        <is>
          <t>16</t>
        </is>
      </c>
      <c r="N4965" s="12" t="n">
        <v>10</v>
      </c>
      <c r="O4965" s="12" t="n">
        <v>1</v>
      </c>
      <c r="P4965" s="12" t="n"/>
      <c r="Q4965" s="12" t="n"/>
      <c r="R4965" s="12" t="n"/>
      <c r="S4965" s="12" t="inlineStr">
        <is>
          <t>Tray / conduit</t>
        </is>
      </c>
      <c r="T4965" s="15" t="n">
        <v>72</v>
      </c>
      <c r="U4965" s="15" t="n">
        <v>10</v>
      </c>
      <c r="V4965" s="15">
        <f>ROUNDUP((T4965+U4965+2*'Read Me'!$B$13)*(1+'Read Me'!$B$12),-1)</f>
        <v/>
      </c>
      <c r="W4965" s="15">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I-I-0364</t>
        </is>
      </c>
      <c r="B4966" s="12" t="inlineStr">
        <is>
          <t>I</t>
        </is>
      </c>
      <c r="C4966" s="12" t="inlineStr">
        <is>
          <t>Modular / portable power</t>
        </is>
      </c>
      <c r="D4966" s="12" t="inlineStr">
        <is>
          <t>Home run JB-RICE-7-TC02 to the control / marshalling room</t>
        </is>
      </c>
      <c r="E4966" s="12" t="inlineStr"/>
      <c r="F4966" s="12" t="inlineStr">
        <is>
          <t>PCM: power control module</t>
        </is>
      </c>
      <c r="G4966" s="12" t="inlineStr">
        <is>
          <t>JB-RICE-7-TC02</t>
        </is>
      </c>
      <c r="H4966" s="12" t="inlineStr">
        <is>
          <t>RICE engine-generator 7</t>
        </is>
      </c>
      <c r="I4966" s="12" t="inlineStr">
        <is>
          <t>Instrumentation</t>
        </is>
      </c>
      <c r="J4966" s="12" t="inlineStr">
        <is>
          <t>Thermocouple extension KX, #16 shielded pairs, PLTC</t>
        </is>
      </c>
      <c r="K4966" s="12" t="inlineStr">
        <is>
          <t>TCX|24 pr|16</t>
        </is>
      </c>
      <c r="L4966" s="12" t="inlineStr">
        <is>
          <t>24 pr</t>
        </is>
      </c>
      <c r="M4966" s="12" t="inlineStr">
        <is>
          <t>16</t>
        </is>
      </c>
      <c r="N4966" s="12" t="n">
        <v>1</v>
      </c>
      <c r="O4966" s="12" t="n">
        <v>1</v>
      </c>
      <c r="P4966" s="12" t="n"/>
      <c r="Q4966" s="12" t="n"/>
      <c r="R4966" s="12" t="n"/>
      <c r="S4966" s="12" t="inlineStr">
        <is>
          <t>Duct bank</t>
        </is>
      </c>
      <c r="T4966" s="15" t="n">
        <v>57</v>
      </c>
      <c r="U4966" s="15" t="n">
        <v>125</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I-I-0365</t>
        </is>
      </c>
      <c r="B4967" s="12" t="inlineStr">
        <is>
          <t>I</t>
        </is>
      </c>
      <c r="C4967" s="12" t="inlineStr">
        <is>
          <t>Modular / portable power</t>
        </is>
      </c>
      <c r="D4967" s="12" t="inlineStr">
        <is>
          <t>RTD to JB JB-RICE-7-RTD01: 10 x 1 tri (field cables)</t>
        </is>
      </c>
      <c r="E4967" s="12" t="inlineStr">
        <is>
          <t>RICE-7</t>
        </is>
      </c>
      <c r="F4967" s="12" t="inlineStr">
        <is>
          <t>RICE engine-generator 7</t>
        </is>
      </c>
      <c r="G4967" s="12" t="inlineStr">
        <is>
          <t>JB-RICE-7-RTD01</t>
        </is>
      </c>
      <c r="H4967" s="12" t="inlineStr">
        <is>
          <t>RICE engine-generator 7</t>
        </is>
      </c>
      <c r="I4967" s="12" t="inlineStr">
        <is>
          <t>Instrumentation</t>
        </is>
      </c>
      <c r="J4967" s="12" t="inlineStr">
        <is>
          <t>RTD cable, #18 shielded triads, PLTC</t>
        </is>
      </c>
      <c r="K4967" s="12" t="inlineStr">
        <is>
          <t>RTD|1 tri|18</t>
        </is>
      </c>
      <c r="L4967" s="12" t="inlineStr">
        <is>
          <t>1 tri</t>
        </is>
      </c>
      <c r="M4967" s="12" t="inlineStr">
        <is>
          <t>18</t>
        </is>
      </c>
      <c r="N4967" s="12" t="n">
        <v>10</v>
      </c>
      <c r="O4967" s="12" t="n">
        <v>1</v>
      </c>
      <c r="P4967" s="12" t="n"/>
      <c r="Q4967" s="12" t="n"/>
      <c r="R4967" s="12" t="n"/>
      <c r="S4967" s="12" t="inlineStr">
        <is>
          <t>Tray / conduit</t>
        </is>
      </c>
      <c r="T4967" s="15" t="n">
        <v>72</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I-I-0366</t>
        </is>
      </c>
      <c r="B4968" s="12" t="inlineStr">
        <is>
          <t>I</t>
        </is>
      </c>
      <c r="C4968" s="12" t="inlineStr">
        <is>
          <t>Modular / portable power</t>
        </is>
      </c>
      <c r="D4968" s="12" t="inlineStr">
        <is>
          <t>Home run JB-RICE-7-RTD01 to the control / marshalling room</t>
        </is>
      </c>
      <c r="E4968" s="12" t="inlineStr"/>
      <c r="F4968" s="12" t="inlineStr">
        <is>
          <t>PCM: power control module</t>
        </is>
      </c>
      <c r="G4968" s="12" t="inlineStr">
        <is>
          <t>JB-RICE-7-RTD01</t>
        </is>
      </c>
      <c r="H4968" s="12" t="inlineStr">
        <is>
          <t>RICE engine-generator 7</t>
        </is>
      </c>
      <c r="I4968" s="12" t="inlineStr">
        <is>
          <t>Instrumentation</t>
        </is>
      </c>
      <c r="J4968" s="12" t="inlineStr">
        <is>
          <t>RTD cable, #18 shielded triads, PLTC</t>
        </is>
      </c>
      <c r="K4968" s="12" t="inlineStr">
        <is>
          <t>RTD|12 tri|18</t>
        </is>
      </c>
      <c r="L4968" s="12" t="inlineStr">
        <is>
          <t>12 tri</t>
        </is>
      </c>
      <c r="M4968" s="12" t="inlineStr">
        <is>
          <t>18</t>
        </is>
      </c>
      <c r="N4968" s="12" t="n">
        <v>1</v>
      </c>
      <c r="O4968" s="12" t="n">
        <v>1</v>
      </c>
      <c r="P4968" s="12" t="n"/>
      <c r="Q4968" s="12" t="n"/>
      <c r="R4968" s="12" t="n"/>
      <c r="S4968" s="12" t="inlineStr">
        <is>
          <t>Duct bank</t>
        </is>
      </c>
      <c r="T4968" s="15" t="n">
        <v>57</v>
      </c>
      <c r="U4968" s="15" t="n">
        <v>125</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I-I-0367</t>
        </is>
      </c>
      <c r="B4969" s="12" t="inlineStr">
        <is>
          <t>I</t>
        </is>
      </c>
      <c r="C4969" s="12" t="inlineStr">
        <is>
          <t>Modular / portable power</t>
        </is>
      </c>
      <c r="D4969" s="12" t="inlineStr">
        <is>
          <t>RTD to JB JB-RICE-7-RTD02: 2 x 1 tri (field cables)</t>
        </is>
      </c>
      <c r="E4969" s="12" t="inlineStr">
        <is>
          <t>RICE-7</t>
        </is>
      </c>
      <c r="F4969" s="12" t="inlineStr">
        <is>
          <t>RICE engine-generator 7</t>
        </is>
      </c>
      <c r="G4969" s="12" t="inlineStr">
        <is>
          <t>JB-RICE-7-RTD02</t>
        </is>
      </c>
      <c r="H4969" s="12" t="inlineStr">
        <is>
          <t>RICE engine-generator 7</t>
        </is>
      </c>
      <c r="I4969" s="12" t="inlineStr">
        <is>
          <t>Instrumentation</t>
        </is>
      </c>
      <c r="J4969" s="12" t="inlineStr">
        <is>
          <t>RTD cable, #18 shielded triads, PLTC</t>
        </is>
      </c>
      <c r="K4969" s="12" t="inlineStr">
        <is>
          <t>RTD|1 tri|18</t>
        </is>
      </c>
      <c r="L4969" s="12" t="inlineStr">
        <is>
          <t>1 tri</t>
        </is>
      </c>
      <c r="M4969" s="12" t="inlineStr">
        <is>
          <t>18</t>
        </is>
      </c>
      <c r="N4969" s="12" t="n">
        <v>2</v>
      </c>
      <c r="O4969" s="12" t="n">
        <v>1</v>
      </c>
      <c r="P4969" s="12" t="n"/>
      <c r="Q4969" s="12" t="n"/>
      <c r="R4969" s="12" t="n"/>
      <c r="S4969" s="12" t="inlineStr">
        <is>
          <t>Tray / conduit</t>
        </is>
      </c>
      <c r="T4969" s="15" t="n">
        <v>72</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I-I-0368</t>
        </is>
      </c>
      <c r="B4970" s="12" t="inlineStr">
        <is>
          <t>I</t>
        </is>
      </c>
      <c r="C4970" s="12" t="inlineStr">
        <is>
          <t>Modular / portable power</t>
        </is>
      </c>
      <c r="D4970" s="12" t="inlineStr">
        <is>
          <t>Home run JB-RICE-7-RTD02 to the control / marshalling room</t>
        </is>
      </c>
      <c r="E4970" s="12" t="inlineStr"/>
      <c r="F4970" s="12" t="inlineStr">
        <is>
          <t>PCM: power control module</t>
        </is>
      </c>
      <c r="G4970" s="12" t="inlineStr">
        <is>
          <t>JB-RICE-7-RTD02</t>
        </is>
      </c>
      <c r="H4970" s="12" t="inlineStr">
        <is>
          <t>RICE engine-generator 7</t>
        </is>
      </c>
      <c r="I4970" s="12" t="inlineStr">
        <is>
          <t>Instrumentation</t>
        </is>
      </c>
      <c r="J4970" s="12" t="inlineStr">
        <is>
          <t>RTD cable, #18 shielded triads, PLTC</t>
        </is>
      </c>
      <c r="K4970" s="12" t="inlineStr">
        <is>
          <t>RTD|12 tri|18</t>
        </is>
      </c>
      <c r="L4970" s="12" t="inlineStr">
        <is>
          <t>12 tri</t>
        </is>
      </c>
      <c r="M4970" s="12" t="inlineStr">
        <is>
          <t>18</t>
        </is>
      </c>
      <c r="N4970" s="12" t="n">
        <v>1</v>
      </c>
      <c r="O4970" s="12" t="n">
        <v>1</v>
      </c>
      <c r="P4970" s="12" t="n"/>
      <c r="Q4970" s="12" t="n"/>
      <c r="R4970" s="12" t="n"/>
      <c r="S4970" s="12" t="inlineStr">
        <is>
          <t>Duct bank</t>
        </is>
      </c>
      <c r="T4970" s="15" t="n">
        <v>57</v>
      </c>
      <c r="U4970" s="15" t="n">
        <v>125</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I-I-0369</t>
        </is>
      </c>
      <c r="B4971" s="12" t="inlineStr">
        <is>
          <t>I</t>
        </is>
      </c>
      <c r="C4971" s="12" t="inlineStr">
        <is>
          <t>Modular / portable power</t>
        </is>
      </c>
      <c r="D4971" s="12" t="inlineStr">
        <is>
          <t>Analog instrument to JB JB-RICE-8-AI01: 20 x 1 pr (field cables)</t>
        </is>
      </c>
      <c r="E4971" s="12" t="inlineStr">
        <is>
          <t>RICE-8</t>
        </is>
      </c>
      <c r="F4971" s="12" t="inlineStr">
        <is>
          <t>RICE engine-generator 8</t>
        </is>
      </c>
      <c r="G4971" s="12" t="inlineStr">
        <is>
          <t>JB-RICE-8-AI01</t>
        </is>
      </c>
      <c r="H4971" s="12" t="inlineStr">
        <is>
          <t>RICE engine-generator 8</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5" t="n">
        <v>72</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I-I-0370</t>
        </is>
      </c>
      <c r="B4972" s="12" t="inlineStr">
        <is>
          <t>I</t>
        </is>
      </c>
      <c r="C4972" s="12" t="inlineStr">
        <is>
          <t>Modular / portable power</t>
        </is>
      </c>
      <c r="D4972" s="12" t="inlineStr">
        <is>
          <t>Home run JB-RICE-8-AI01 to the control / marshalling room</t>
        </is>
      </c>
      <c r="E4972" s="12" t="inlineStr"/>
      <c r="F4972" s="12" t="inlineStr">
        <is>
          <t>PCM: power control module</t>
        </is>
      </c>
      <c r="G4972" s="12" t="inlineStr">
        <is>
          <t>JB-RICE-8-AI01</t>
        </is>
      </c>
      <c r="H4972" s="12" t="inlineStr">
        <is>
          <t>RICE engine-generator 8</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5" t="n">
        <v>57</v>
      </c>
      <c r="U4972" s="15" t="n">
        <v>97</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I-I-0371</t>
        </is>
      </c>
      <c r="B4973" s="12" t="inlineStr">
        <is>
          <t>I</t>
        </is>
      </c>
      <c r="C4973" s="12" t="inlineStr">
        <is>
          <t>Modular / portable power</t>
        </is>
      </c>
      <c r="D4973" s="12" t="inlineStr">
        <is>
          <t>Analog instrument to JB JB-RICE-8-AI02: 20 x 1 pr (field cables)</t>
        </is>
      </c>
      <c r="E4973" s="12" t="inlineStr">
        <is>
          <t>RICE-8</t>
        </is>
      </c>
      <c r="F4973" s="12" t="inlineStr">
        <is>
          <t>RICE engine-generator 8</t>
        </is>
      </c>
      <c r="G4973" s="12" t="inlineStr">
        <is>
          <t>JB-RICE-8-AI02</t>
        </is>
      </c>
      <c r="H4973" s="12" t="inlineStr">
        <is>
          <t>RICE engine-generator 8</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5" t="n">
        <v>72</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I-I-0372</t>
        </is>
      </c>
      <c r="B4974" s="12" t="inlineStr">
        <is>
          <t>I</t>
        </is>
      </c>
      <c r="C4974" s="12" t="inlineStr">
        <is>
          <t>Modular / portable power</t>
        </is>
      </c>
      <c r="D4974" s="12" t="inlineStr">
        <is>
          <t>Home run JB-RICE-8-AI02 to the control / marshalling room</t>
        </is>
      </c>
      <c r="E4974" s="12" t="inlineStr"/>
      <c r="F4974" s="12" t="inlineStr">
        <is>
          <t>PCM: power control module</t>
        </is>
      </c>
      <c r="G4974" s="12" t="inlineStr">
        <is>
          <t>JB-RICE-8-AI02</t>
        </is>
      </c>
      <c r="H4974" s="12" t="inlineStr">
        <is>
          <t>RICE engine-generator 8</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5" t="n">
        <v>57</v>
      </c>
      <c r="U4974" s="15" t="n">
        <v>97</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I-I-0373</t>
        </is>
      </c>
      <c r="B4975" s="12" t="inlineStr">
        <is>
          <t>I</t>
        </is>
      </c>
      <c r="C4975" s="12" t="inlineStr">
        <is>
          <t>Modular / portable power</t>
        </is>
      </c>
      <c r="D4975" s="12" t="inlineStr">
        <is>
          <t>Analog instrument to JB JB-RICE-8-AI03: 20 x 1 pr (field cables)</t>
        </is>
      </c>
      <c r="E4975" s="12" t="inlineStr">
        <is>
          <t>RICE-8</t>
        </is>
      </c>
      <c r="F4975" s="12" t="inlineStr">
        <is>
          <t>RICE engine-generator 8</t>
        </is>
      </c>
      <c r="G4975" s="12" t="inlineStr">
        <is>
          <t>JB-RICE-8-AI03</t>
        </is>
      </c>
      <c r="H4975" s="12" t="inlineStr">
        <is>
          <t>RICE engine-generator 8</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5" t="n">
        <v>72</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I-I-0374</t>
        </is>
      </c>
      <c r="B4976" s="12" t="inlineStr">
        <is>
          <t>I</t>
        </is>
      </c>
      <c r="C4976" s="12" t="inlineStr">
        <is>
          <t>Modular / portable power</t>
        </is>
      </c>
      <c r="D4976" s="12" t="inlineStr">
        <is>
          <t>Home run JB-RICE-8-AI03 to the control / marshalling room</t>
        </is>
      </c>
      <c r="E4976" s="12" t="inlineStr"/>
      <c r="F4976" s="12" t="inlineStr">
        <is>
          <t>PCM: power control module</t>
        </is>
      </c>
      <c r="G4976" s="12" t="inlineStr">
        <is>
          <t>JB-RICE-8-AI03</t>
        </is>
      </c>
      <c r="H4976" s="12" t="inlineStr">
        <is>
          <t>RICE engine-generator 8</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57</v>
      </c>
      <c r="U4976" s="15" t="n">
        <v>97</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I-I-0375</t>
        </is>
      </c>
      <c r="B4977" s="12" t="inlineStr">
        <is>
          <t>I</t>
        </is>
      </c>
      <c r="C4977" s="12" t="inlineStr">
        <is>
          <t>Modular / portable power</t>
        </is>
      </c>
      <c r="D4977" s="12" t="inlineStr">
        <is>
          <t>Analog instrument to JB JB-RICE-8-AI04: 20 x 1 pr (field cables)</t>
        </is>
      </c>
      <c r="E4977" s="12" t="inlineStr">
        <is>
          <t>RICE-8</t>
        </is>
      </c>
      <c r="F4977" s="12" t="inlineStr">
        <is>
          <t>RICE engine-generator 8</t>
        </is>
      </c>
      <c r="G4977" s="12" t="inlineStr">
        <is>
          <t>JB-RICE-8-AI04</t>
        </is>
      </c>
      <c r="H4977" s="12" t="inlineStr">
        <is>
          <t>RICE engine-generator 8</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5" t="n">
        <v>72</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I-I-0376</t>
        </is>
      </c>
      <c r="B4978" s="12" t="inlineStr">
        <is>
          <t>I</t>
        </is>
      </c>
      <c r="C4978" s="12" t="inlineStr">
        <is>
          <t>Modular / portable power</t>
        </is>
      </c>
      <c r="D4978" s="12" t="inlineStr">
        <is>
          <t>Home run JB-RICE-8-AI04 to the control / marshalling room</t>
        </is>
      </c>
      <c r="E4978" s="12" t="inlineStr"/>
      <c r="F4978" s="12" t="inlineStr">
        <is>
          <t>PCM: power control module</t>
        </is>
      </c>
      <c r="G4978" s="12" t="inlineStr">
        <is>
          <t>JB-RICE-8-AI04</t>
        </is>
      </c>
      <c r="H4978" s="12" t="inlineStr">
        <is>
          <t>RICE engine-generator 8</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57</v>
      </c>
      <c r="U4978" s="15" t="n">
        <v>97</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I-I-0377</t>
        </is>
      </c>
      <c r="B4979" s="12" t="inlineStr">
        <is>
          <t>I</t>
        </is>
      </c>
      <c r="C4979" s="12" t="inlineStr">
        <is>
          <t>Modular / portable power</t>
        </is>
      </c>
      <c r="D4979" s="12" t="inlineStr">
        <is>
          <t>Discrete device to JB JB-RICE-8-DI01: 20 x 1 pr (field cables)</t>
        </is>
      </c>
      <c r="E4979" s="12" t="inlineStr">
        <is>
          <t>RICE-8</t>
        </is>
      </c>
      <c r="F4979" s="12" t="inlineStr">
        <is>
          <t>RICE engine-generator 8</t>
        </is>
      </c>
      <c r="G4979" s="12" t="inlineStr">
        <is>
          <t>JB-RICE-8-DI01</t>
        </is>
      </c>
      <c r="H4979" s="12" t="inlineStr">
        <is>
          <t>RICE engine-generator 8</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5" t="n">
        <v>72</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I-I-0378</t>
        </is>
      </c>
      <c r="B4980" s="12" t="inlineStr">
        <is>
          <t>I</t>
        </is>
      </c>
      <c r="C4980" s="12" t="inlineStr">
        <is>
          <t>Modular / portable power</t>
        </is>
      </c>
      <c r="D4980" s="12" t="inlineStr">
        <is>
          <t>Home run JB-RICE-8-DI01 to the control / marshalling room</t>
        </is>
      </c>
      <c r="E4980" s="12" t="inlineStr"/>
      <c r="F4980" s="12" t="inlineStr">
        <is>
          <t>PCM: power control module</t>
        </is>
      </c>
      <c r="G4980" s="12" t="inlineStr">
        <is>
          <t>JB-RICE-8-DI01</t>
        </is>
      </c>
      <c r="H4980" s="12" t="inlineStr">
        <is>
          <t>RICE engine-generator 8</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5" t="n">
        <v>57</v>
      </c>
      <c r="U4980" s="15" t="n">
        <v>97</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I-I-0379</t>
        </is>
      </c>
      <c r="B4981" s="12" t="inlineStr">
        <is>
          <t>I</t>
        </is>
      </c>
      <c r="C4981" s="12" t="inlineStr">
        <is>
          <t>Modular / portable power</t>
        </is>
      </c>
      <c r="D4981" s="12" t="inlineStr">
        <is>
          <t>Discrete device to JB JB-RICE-8-DI02: 20 x 1 pr (field cables)</t>
        </is>
      </c>
      <c r="E4981" s="12" t="inlineStr">
        <is>
          <t>RICE-8</t>
        </is>
      </c>
      <c r="F4981" s="12" t="inlineStr">
        <is>
          <t>RICE engine-generator 8</t>
        </is>
      </c>
      <c r="G4981" s="12" t="inlineStr">
        <is>
          <t>JB-RICE-8-DI02</t>
        </is>
      </c>
      <c r="H4981" s="12" t="inlineStr">
        <is>
          <t>RICE engine-generator 8</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5" t="n">
        <v>72</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I-I-0380</t>
        </is>
      </c>
      <c r="B4982" s="12" t="inlineStr">
        <is>
          <t>I</t>
        </is>
      </c>
      <c r="C4982" s="12" t="inlineStr">
        <is>
          <t>Modular / portable power</t>
        </is>
      </c>
      <c r="D4982" s="12" t="inlineStr">
        <is>
          <t>Home run JB-RICE-8-DI02 to the control / marshalling room</t>
        </is>
      </c>
      <c r="E4982" s="12" t="inlineStr"/>
      <c r="F4982" s="12" t="inlineStr">
        <is>
          <t>PCM: power control module</t>
        </is>
      </c>
      <c r="G4982" s="12" t="inlineStr">
        <is>
          <t>JB-RICE-8-DI02</t>
        </is>
      </c>
      <c r="H4982" s="12" t="inlineStr">
        <is>
          <t>RICE engine-generator 8</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5" t="n">
        <v>57</v>
      </c>
      <c r="U4982" s="15" t="n">
        <v>97</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I-I-0381</t>
        </is>
      </c>
      <c r="B4983" s="12" t="inlineStr">
        <is>
          <t>I</t>
        </is>
      </c>
      <c r="C4983" s="12" t="inlineStr">
        <is>
          <t>Modular / portable power</t>
        </is>
      </c>
      <c r="D4983" s="12" t="inlineStr">
        <is>
          <t>Discrete device to JB JB-RICE-8-DI03: 20 x 1 pr (field cables)</t>
        </is>
      </c>
      <c r="E4983" s="12" t="inlineStr">
        <is>
          <t>RICE-8</t>
        </is>
      </c>
      <c r="F4983" s="12" t="inlineStr">
        <is>
          <t>RICE engine-generator 8</t>
        </is>
      </c>
      <c r="G4983" s="12" t="inlineStr">
        <is>
          <t>JB-RICE-8-DI03</t>
        </is>
      </c>
      <c r="H4983" s="12" t="inlineStr">
        <is>
          <t>RICE engine-generator 8</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5" t="n">
        <v>72</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I-I-0382</t>
        </is>
      </c>
      <c r="B4984" s="12" t="inlineStr">
        <is>
          <t>I</t>
        </is>
      </c>
      <c r="C4984" s="12" t="inlineStr">
        <is>
          <t>Modular / portable power</t>
        </is>
      </c>
      <c r="D4984" s="12" t="inlineStr">
        <is>
          <t>Home run JB-RICE-8-DI03 to the control / marshalling room</t>
        </is>
      </c>
      <c r="E4984" s="12" t="inlineStr"/>
      <c r="F4984" s="12" t="inlineStr">
        <is>
          <t>PCM: power control module</t>
        </is>
      </c>
      <c r="G4984" s="12" t="inlineStr">
        <is>
          <t>JB-RICE-8-DI03</t>
        </is>
      </c>
      <c r="H4984" s="12" t="inlineStr">
        <is>
          <t>RICE engine-generator 8</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5" t="n">
        <v>57</v>
      </c>
      <c r="U4984" s="15" t="n">
        <v>97</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I-I-0383</t>
        </is>
      </c>
      <c r="B4985" s="12" t="inlineStr">
        <is>
          <t>I</t>
        </is>
      </c>
      <c r="C4985" s="12" t="inlineStr">
        <is>
          <t>Modular / portable power</t>
        </is>
      </c>
      <c r="D4985" s="12" t="inlineStr">
        <is>
          <t>Thermocouple to TC JB JB-RICE-8-TC01: 20 x 1 pr (field cables)</t>
        </is>
      </c>
      <c r="E4985" s="12" t="inlineStr">
        <is>
          <t>RICE-8</t>
        </is>
      </c>
      <c r="F4985" s="12" t="inlineStr">
        <is>
          <t>RICE engine-generator 8</t>
        </is>
      </c>
      <c r="G4985" s="12" t="inlineStr">
        <is>
          <t>JB-RICE-8-TC01</t>
        </is>
      </c>
      <c r="H4985" s="12" t="inlineStr">
        <is>
          <t>RICE engine-generator 8</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5" t="n">
        <v>72</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I-I-0384</t>
        </is>
      </c>
      <c r="B4986" s="12" t="inlineStr">
        <is>
          <t>I</t>
        </is>
      </c>
      <c r="C4986" s="12" t="inlineStr">
        <is>
          <t>Modular / portable power</t>
        </is>
      </c>
      <c r="D4986" s="12" t="inlineStr">
        <is>
          <t>Home run JB-RICE-8-TC01 to the control / marshalling room</t>
        </is>
      </c>
      <c r="E4986" s="12" t="inlineStr"/>
      <c r="F4986" s="12" t="inlineStr">
        <is>
          <t>PCM: power control module</t>
        </is>
      </c>
      <c r="G4986" s="12" t="inlineStr">
        <is>
          <t>JB-RICE-8-TC01</t>
        </is>
      </c>
      <c r="H4986" s="12" t="inlineStr">
        <is>
          <t>RICE engine-generator 8</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5" t="n">
        <v>57</v>
      </c>
      <c r="U4986" s="15" t="n">
        <v>97</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I-I-0385</t>
        </is>
      </c>
      <c r="B4987" s="12" t="inlineStr">
        <is>
          <t>I</t>
        </is>
      </c>
      <c r="C4987" s="12" t="inlineStr">
        <is>
          <t>Modular / portable power</t>
        </is>
      </c>
      <c r="D4987" s="12" t="inlineStr">
        <is>
          <t>Thermocouple to TC JB JB-RICE-8-TC02: 10 x 1 pr (field cables)</t>
        </is>
      </c>
      <c r="E4987" s="12" t="inlineStr">
        <is>
          <t>RICE-8</t>
        </is>
      </c>
      <c r="F4987" s="12" t="inlineStr">
        <is>
          <t>RICE engine-generator 8</t>
        </is>
      </c>
      <c r="G4987" s="12" t="inlineStr">
        <is>
          <t>JB-RICE-8-TC02</t>
        </is>
      </c>
      <c r="H4987" s="12" t="inlineStr">
        <is>
          <t>RICE engine-generator 8</t>
        </is>
      </c>
      <c r="I4987" s="12" t="inlineStr">
        <is>
          <t>Instrumentation</t>
        </is>
      </c>
      <c r="J4987" s="12" t="inlineStr">
        <is>
          <t>Thermocouple extension KX, #16 shielded pairs, PLTC</t>
        </is>
      </c>
      <c r="K4987" s="12" t="inlineStr">
        <is>
          <t>TCX|1 pr|16</t>
        </is>
      </c>
      <c r="L4987" s="12" t="inlineStr">
        <is>
          <t>1 pr</t>
        </is>
      </c>
      <c r="M4987" s="12" t="inlineStr">
        <is>
          <t>16</t>
        </is>
      </c>
      <c r="N4987" s="12" t="n">
        <v>10</v>
      </c>
      <c r="O4987" s="12" t="n">
        <v>1</v>
      </c>
      <c r="P4987" s="12" t="n"/>
      <c r="Q4987" s="12" t="n"/>
      <c r="R4987" s="12" t="n"/>
      <c r="S4987" s="12" t="inlineStr">
        <is>
          <t>Tray / conduit</t>
        </is>
      </c>
      <c r="T4987" s="15" t="n">
        <v>72</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I-I-0386</t>
        </is>
      </c>
      <c r="B4988" s="12" t="inlineStr">
        <is>
          <t>I</t>
        </is>
      </c>
      <c r="C4988" s="12" t="inlineStr">
        <is>
          <t>Modular / portable power</t>
        </is>
      </c>
      <c r="D4988" s="12" t="inlineStr">
        <is>
          <t>Home run JB-RICE-8-TC02 to the control / marshalling room</t>
        </is>
      </c>
      <c r="E4988" s="12" t="inlineStr"/>
      <c r="F4988" s="12" t="inlineStr">
        <is>
          <t>PCM: power control module</t>
        </is>
      </c>
      <c r="G4988" s="12" t="inlineStr">
        <is>
          <t>JB-RICE-8-TC02</t>
        </is>
      </c>
      <c r="H4988" s="12" t="inlineStr">
        <is>
          <t>RICE engine-generator 8</t>
        </is>
      </c>
      <c r="I4988" s="12" t="inlineStr">
        <is>
          <t>Instrumentation</t>
        </is>
      </c>
      <c r="J4988" s="12" t="inlineStr">
        <is>
          <t>Thermocouple extension KX, #16 shielded pairs, PLTC</t>
        </is>
      </c>
      <c r="K4988" s="12" t="inlineStr">
        <is>
          <t>TCX|24 pr|16</t>
        </is>
      </c>
      <c r="L4988" s="12" t="inlineStr">
        <is>
          <t>24 pr</t>
        </is>
      </c>
      <c r="M4988" s="12" t="inlineStr">
        <is>
          <t>16</t>
        </is>
      </c>
      <c r="N4988" s="12" t="n">
        <v>1</v>
      </c>
      <c r="O4988" s="12" t="n">
        <v>1</v>
      </c>
      <c r="P4988" s="12" t="n"/>
      <c r="Q4988" s="12" t="n"/>
      <c r="R4988" s="12" t="n"/>
      <c r="S4988" s="12" t="inlineStr">
        <is>
          <t>Duct bank</t>
        </is>
      </c>
      <c r="T4988" s="15" t="n">
        <v>57</v>
      </c>
      <c r="U4988" s="15" t="n">
        <v>97</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I-I-0387</t>
        </is>
      </c>
      <c r="B4989" s="12" t="inlineStr">
        <is>
          <t>I</t>
        </is>
      </c>
      <c r="C4989" s="12" t="inlineStr">
        <is>
          <t>Modular / portable power</t>
        </is>
      </c>
      <c r="D4989" s="12" t="inlineStr">
        <is>
          <t>RTD to JB JB-RICE-8-RTD01: 10 x 1 tri (field cables)</t>
        </is>
      </c>
      <c r="E4989" s="12" t="inlineStr">
        <is>
          <t>RICE-8</t>
        </is>
      </c>
      <c r="F4989" s="12" t="inlineStr">
        <is>
          <t>RICE engine-generator 8</t>
        </is>
      </c>
      <c r="G4989" s="12" t="inlineStr">
        <is>
          <t>JB-RICE-8-RTD01</t>
        </is>
      </c>
      <c r="H4989" s="12" t="inlineStr">
        <is>
          <t>RICE engine-generator 8</t>
        </is>
      </c>
      <c r="I4989" s="12" t="inlineStr">
        <is>
          <t>Instrumentation</t>
        </is>
      </c>
      <c r="J4989" s="12" t="inlineStr">
        <is>
          <t>RTD cable, #18 shielded triads, PLTC</t>
        </is>
      </c>
      <c r="K4989" s="12" t="inlineStr">
        <is>
          <t>RTD|1 tri|18</t>
        </is>
      </c>
      <c r="L4989" s="12" t="inlineStr">
        <is>
          <t>1 tri</t>
        </is>
      </c>
      <c r="M4989" s="12" t="inlineStr">
        <is>
          <t>18</t>
        </is>
      </c>
      <c r="N4989" s="12" t="n">
        <v>10</v>
      </c>
      <c r="O4989" s="12" t="n">
        <v>1</v>
      </c>
      <c r="P4989" s="12" t="n"/>
      <c r="Q4989" s="12" t="n"/>
      <c r="R4989" s="12" t="n"/>
      <c r="S4989" s="12" t="inlineStr">
        <is>
          <t>Tray / conduit</t>
        </is>
      </c>
      <c r="T4989" s="15" t="n">
        <v>72</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I-I-0388</t>
        </is>
      </c>
      <c r="B4990" s="12" t="inlineStr">
        <is>
          <t>I</t>
        </is>
      </c>
      <c r="C4990" s="12" t="inlineStr">
        <is>
          <t>Modular / portable power</t>
        </is>
      </c>
      <c r="D4990" s="12" t="inlineStr">
        <is>
          <t>Home run JB-RICE-8-RTD01 to the control / marshalling room</t>
        </is>
      </c>
      <c r="E4990" s="12" t="inlineStr"/>
      <c r="F4990" s="12" t="inlineStr">
        <is>
          <t>PCM: power control module</t>
        </is>
      </c>
      <c r="G4990" s="12" t="inlineStr">
        <is>
          <t>JB-RICE-8-RTD01</t>
        </is>
      </c>
      <c r="H4990" s="12" t="inlineStr">
        <is>
          <t>RICE engine-generator 8</t>
        </is>
      </c>
      <c r="I4990" s="12" t="inlineStr">
        <is>
          <t>Instrumentation</t>
        </is>
      </c>
      <c r="J4990" s="12" t="inlineStr">
        <is>
          <t>RTD cable, #18 shielded triads, PLTC</t>
        </is>
      </c>
      <c r="K4990" s="12" t="inlineStr">
        <is>
          <t>RTD|12 tri|18</t>
        </is>
      </c>
      <c r="L4990" s="12" t="inlineStr">
        <is>
          <t>12 tri</t>
        </is>
      </c>
      <c r="M4990" s="12" t="inlineStr">
        <is>
          <t>18</t>
        </is>
      </c>
      <c r="N4990" s="12" t="n">
        <v>1</v>
      </c>
      <c r="O4990" s="12" t="n">
        <v>1</v>
      </c>
      <c r="P4990" s="12" t="n"/>
      <c r="Q4990" s="12" t="n"/>
      <c r="R4990" s="12" t="n"/>
      <c r="S4990" s="12" t="inlineStr">
        <is>
          <t>Duct bank</t>
        </is>
      </c>
      <c r="T4990" s="15" t="n">
        <v>57</v>
      </c>
      <c r="U4990" s="15" t="n">
        <v>97</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I-I-0389</t>
        </is>
      </c>
      <c r="B4991" s="12" t="inlineStr">
        <is>
          <t>I</t>
        </is>
      </c>
      <c r="C4991" s="12" t="inlineStr">
        <is>
          <t>Modular / portable power</t>
        </is>
      </c>
      <c r="D4991" s="12" t="inlineStr">
        <is>
          <t>RTD to JB JB-RICE-8-RTD02: 2 x 1 tri (field cables)</t>
        </is>
      </c>
      <c r="E4991" s="12" t="inlineStr">
        <is>
          <t>RICE-8</t>
        </is>
      </c>
      <c r="F4991" s="12" t="inlineStr">
        <is>
          <t>RICE engine-generator 8</t>
        </is>
      </c>
      <c r="G4991" s="12" t="inlineStr">
        <is>
          <t>JB-RICE-8-RTD02</t>
        </is>
      </c>
      <c r="H4991" s="12" t="inlineStr">
        <is>
          <t>RICE engine-generator 8</t>
        </is>
      </c>
      <c r="I4991" s="12" t="inlineStr">
        <is>
          <t>Instrumentation</t>
        </is>
      </c>
      <c r="J4991" s="12" t="inlineStr">
        <is>
          <t>RTD cable, #18 shielded triads, PLTC</t>
        </is>
      </c>
      <c r="K4991" s="12" t="inlineStr">
        <is>
          <t>RTD|1 tri|18</t>
        </is>
      </c>
      <c r="L4991" s="12" t="inlineStr">
        <is>
          <t>1 tri</t>
        </is>
      </c>
      <c r="M4991" s="12" t="inlineStr">
        <is>
          <t>18</t>
        </is>
      </c>
      <c r="N4991" s="12" t="n">
        <v>2</v>
      </c>
      <c r="O4991" s="12" t="n">
        <v>1</v>
      </c>
      <c r="P4991" s="12" t="n"/>
      <c r="Q4991" s="12" t="n"/>
      <c r="R4991" s="12" t="n"/>
      <c r="S4991" s="12" t="inlineStr">
        <is>
          <t>Tray / conduit</t>
        </is>
      </c>
      <c r="T4991" s="15" t="n">
        <v>72</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I-I-0390</t>
        </is>
      </c>
      <c r="B4992" s="12" t="inlineStr">
        <is>
          <t>I</t>
        </is>
      </c>
      <c r="C4992" s="12" t="inlineStr">
        <is>
          <t>Modular / portable power</t>
        </is>
      </c>
      <c r="D4992" s="12" t="inlineStr">
        <is>
          <t>Home run JB-RICE-8-RTD02 to the control / marshalling room</t>
        </is>
      </c>
      <c r="E4992" s="12" t="inlineStr"/>
      <c r="F4992" s="12" t="inlineStr">
        <is>
          <t>PCM: power control module</t>
        </is>
      </c>
      <c r="G4992" s="12" t="inlineStr">
        <is>
          <t>JB-RICE-8-RTD02</t>
        </is>
      </c>
      <c r="H4992" s="12" t="inlineStr">
        <is>
          <t>RICE engine-generator 8</t>
        </is>
      </c>
      <c r="I4992" s="12" t="inlineStr">
        <is>
          <t>Instrumentation</t>
        </is>
      </c>
      <c r="J4992" s="12" t="inlineStr">
        <is>
          <t>RTD cable, #18 shielded triads, PLTC</t>
        </is>
      </c>
      <c r="K4992" s="12" t="inlineStr">
        <is>
          <t>RTD|12 tri|18</t>
        </is>
      </c>
      <c r="L4992" s="12" t="inlineStr">
        <is>
          <t>12 tri</t>
        </is>
      </c>
      <c r="M4992" s="12" t="inlineStr">
        <is>
          <t>18</t>
        </is>
      </c>
      <c r="N4992" s="12" t="n">
        <v>1</v>
      </c>
      <c r="O4992" s="12" t="n">
        <v>1</v>
      </c>
      <c r="P4992" s="12" t="n"/>
      <c r="Q4992" s="12" t="n"/>
      <c r="R4992" s="12" t="n"/>
      <c r="S4992" s="12" t="inlineStr">
        <is>
          <t>Duct bank</t>
        </is>
      </c>
      <c r="T4992" s="15" t="n">
        <v>57</v>
      </c>
      <c r="U4992" s="15" t="n">
        <v>97</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I-I-0391</t>
        </is>
      </c>
      <c r="B4993" s="12" t="inlineStr">
        <is>
          <t>I</t>
        </is>
      </c>
      <c r="C4993" s="12" t="inlineStr">
        <is>
          <t>Modular / portable power</t>
        </is>
      </c>
      <c r="D4993" s="12" t="inlineStr">
        <is>
          <t>RICE-GSU-A monitoring: temperatures, gas relay, oil level</t>
        </is>
      </c>
      <c r="E4993" s="12" t="inlineStr"/>
      <c r="F4993" s="12" t="inlineStr">
        <is>
          <t>PCM: power control module</t>
        </is>
      </c>
      <c r="G4993" s="12" t="inlineStr">
        <is>
          <t>RICE-GSU-A</t>
        </is>
      </c>
      <c r="H4993" s="12" t="inlineStr">
        <is>
          <t>RICE-GSU-A: 13.8 / 34.5 kV group step-up, ~45 MVA (RICE 1-2)</t>
        </is>
      </c>
      <c r="I4993" s="12" t="inlineStr">
        <is>
          <t>Instrumentation</t>
        </is>
      </c>
      <c r="J4993" s="12" t="inlineStr">
        <is>
          <t>Instrumentation ITC / PLTC, IS, #18 shielded pairs, blue jacket</t>
        </is>
      </c>
      <c r="K4993" s="12" t="inlineStr">
        <is>
          <t>ITC|4 pr|18</t>
        </is>
      </c>
      <c r="L4993" s="12" t="inlineStr">
        <is>
          <t>4 pr</t>
        </is>
      </c>
      <c r="M4993" s="12" t="inlineStr">
        <is>
          <t>18</t>
        </is>
      </c>
      <c r="N4993" s="12" t="n">
        <v>1</v>
      </c>
      <c r="O4993" s="12" t="n">
        <v>1</v>
      </c>
      <c r="P4993" s="12" t="n"/>
      <c r="Q4993" s="12" t="n"/>
      <c r="R4993" s="12" t="n"/>
      <c r="S4993" s="12" t="inlineStr">
        <is>
          <t>Duct bank</t>
        </is>
      </c>
      <c r="T4993" s="15" t="n">
        <v>78</v>
      </c>
      <c r="U4993" s="15" t="n">
        <v>32</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I-I-0392</t>
        </is>
      </c>
      <c r="B4994" s="12" t="inlineStr">
        <is>
          <t>I</t>
        </is>
      </c>
      <c r="C4994" s="12" t="inlineStr">
        <is>
          <t>Modular / portable power</t>
        </is>
      </c>
      <c r="D4994" s="12" t="inlineStr">
        <is>
          <t>RICE-GSU-B monitoring: temperatures, gas relay, oil level</t>
        </is>
      </c>
      <c r="E4994" s="12" t="inlineStr"/>
      <c r="F4994" s="12" t="inlineStr">
        <is>
          <t>PCM: power control module</t>
        </is>
      </c>
      <c r="G4994" s="12" t="inlineStr">
        <is>
          <t>RICE-GSU-B</t>
        </is>
      </c>
      <c r="H4994" s="12" t="inlineStr">
        <is>
          <t>RICE-GSU-B: 13.8 / 34.5 kV group step-up, ~45 MVA (RICE 3-4)</t>
        </is>
      </c>
      <c r="I4994" s="12" t="inlineStr">
        <is>
          <t>Instrumentation</t>
        </is>
      </c>
      <c r="J4994" s="12" t="inlineStr">
        <is>
          <t>Instrumentation ITC / PLTC, IS, #18 shielded pairs, blue jacket</t>
        </is>
      </c>
      <c r="K4994" s="12" t="inlineStr">
        <is>
          <t>ITC|4 pr|18</t>
        </is>
      </c>
      <c r="L4994" s="12" t="inlineStr">
        <is>
          <t>4 pr</t>
        </is>
      </c>
      <c r="M4994" s="12" t="inlineStr">
        <is>
          <t>18</t>
        </is>
      </c>
      <c r="N4994" s="12" t="n">
        <v>1</v>
      </c>
      <c r="O4994" s="12" t="n">
        <v>1</v>
      </c>
      <c r="P4994" s="12" t="n"/>
      <c r="Q4994" s="12" t="n"/>
      <c r="R4994" s="12" t="n"/>
      <c r="S4994" s="12" t="inlineStr">
        <is>
          <t>Duct bank</t>
        </is>
      </c>
      <c r="T4994" s="15" t="n">
        <v>105</v>
      </c>
      <c r="U4994" s="15" t="n">
        <v>32</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I-I-0393</t>
        </is>
      </c>
      <c r="B4995" s="12" t="inlineStr">
        <is>
          <t>I</t>
        </is>
      </c>
      <c r="C4995" s="12" t="inlineStr">
        <is>
          <t>Modular / portable power</t>
        </is>
      </c>
      <c r="D4995" s="12" t="inlineStr">
        <is>
          <t>RICE-GSU-C monitoring: temperatures, gas relay, oil level</t>
        </is>
      </c>
      <c r="E4995" s="12" t="inlineStr"/>
      <c r="F4995" s="12" t="inlineStr">
        <is>
          <t>PCM: power control module</t>
        </is>
      </c>
      <c r="G4995" s="12" t="inlineStr">
        <is>
          <t>RICE-GSU-C</t>
        </is>
      </c>
      <c r="H4995" s="12" t="inlineStr">
        <is>
          <t>RICE-GSU-C: 13.8 / 34.5 kV group step-up, ~45 MVA (RICE 5-6)</t>
        </is>
      </c>
      <c r="I4995" s="12" t="inlineStr">
        <is>
          <t>Instrumentation</t>
        </is>
      </c>
      <c r="J4995" s="12" t="inlineStr">
        <is>
          <t>Instrumentation ITC / PLTC, IS, #18 shielded pairs, blue jacket</t>
        </is>
      </c>
      <c r="K4995" s="12" t="inlineStr">
        <is>
          <t>ITC|4 pr|18</t>
        </is>
      </c>
      <c r="L4995" s="12" t="inlineStr">
        <is>
          <t>4 pr</t>
        </is>
      </c>
      <c r="M4995" s="12" t="inlineStr">
        <is>
          <t>18</t>
        </is>
      </c>
      <c r="N4995" s="12" t="n">
        <v>1</v>
      </c>
      <c r="O4995" s="12" t="n">
        <v>1</v>
      </c>
      <c r="P4995" s="12" t="n"/>
      <c r="Q4995" s="12" t="n"/>
      <c r="R4995" s="12" t="n"/>
      <c r="S4995" s="12" t="inlineStr">
        <is>
          <t>Duct bank</t>
        </is>
      </c>
      <c r="T4995" s="15" t="n">
        <v>132</v>
      </c>
      <c r="U4995" s="15" t="n">
        <v>32</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I-I-0394</t>
        </is>
      </c>
      <c r="B4996" s="12" t="inlineStr">
        <is>
          <t>I</t>
        </is>
      </c>
      <c r="C4996" s="12" t="inlineStr">
        <is>
          <t>Modular / portable power</t>
        </is>
      </c>
      <c r="D4996" s="12" t="inlineStr">
        <is>
          <t>RICE-GSU-D monitoring: temperatures, gas relay, oil level</t>
        </is>
      </c>
      <c r="E4996" s="12" t="inlineStr"/>
      <c r="F4996" s="12" t="inlineStr">
        <is>
          <t>PCM: power control module</t>
        </is>
      </c>
      <c r="G4996" s="12" t="inlineStr">
        <is>
          <t>RICE-GSU-D</t>
        </is>
      </c>
      <c r="H4996" s="12" t="inlineStr">
        <is>
          <t>RICE-GSU-D: 13.8 / 34.5 kV group step-up, ~45 MVA (RICE 7-8)</t>
        </is>
      </c>
      <c r="I4996" s="12" t="inlineStr">
        <is>
          <t>Instrumentation</t>
        </is>
      </c>
      <c r="J4996" s="12" t="inlineStr">
        <is>
          <t>Instrumentation ITC / PLTC, IS, #18 shielded pairs, blue jacket</t>
        </is>
      </c>
      <c r="K4996" s="12" t="inlineStr">
        <is>
          <t>ITC|4 pr|18</t>
        </is>
      </c>
      <c r="L4996" s="12" t="inlineStr">
        <is>
          <t>4 pr</t>
        </is>
      </c>
      <c r="M4996" s="12" t="inlineStr">
        <is>
          <t>18</t>
        </is>
      </c>
      <c r="N4996" s="12" t="n">
        <v>1</v>
      </c>
      <c r="O4996" s="12" t="n">
        <v>1</v>
      </c>
      <c r="P4996" s="12" t="n"/>
      <c r="Q4996" s="12" t="n"/>
      <c r="R4996" s="12" t="n"/>
      <c r="S4996" s="12" t="inlineStr">
        <is>
          <t>Duct bank</t>
        </is>
      </c>
      <c r="T4996" s="15" t="n">
        <v>159</v>
      </c>
      <c r="U4996" s="15" t="n">
        <v>32</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I-I-0395</t>
        </is>
      </c>
      <c r="B4997" s="12" t="inlineStr">
        <is>
          <t>I</t>
        </is>
      </c>
      <c r="C4997" s="12" t="inlineStr">
        <is>
          <t>Modular / portable power</t>
        </is>
      </c>
      <c r="D4997" s="12" t="inlineStr">
        <is>
          <t>Instrumentation</t>
        </is>
      </c>
      <c r="E4997" s="12" t="inlineStr"/>
      <c r="F4997" s="12" t="inlineStr">
        <is>
          <t>PCM: power control module</t>
        </is>
      </c>
      <c r="G4997" s="12" t="inlineStr"/>
      <c r="H4997" s="12" t="inlineStr">
        <is>
          <t>Reagent storage</t>
        </is>
      </c>
      <c r="I4997" s="12" t="inlineStr">
        <is>
          <t>Instrumentation</t>
        </is>
      </c>
      <c r="J4997" s="12" t="inlineStr">
        <is>
          <t>Instrumentation PLTC / TC-ER 300 V, #18 twisted shielded pairs, overall shield</t>
        </is>
      </c>
      <c r="K4997" s="12" t="inlineStr">
        <is>
          <t>PLTC|4 pr|18</t>
        </is>
      </c>
      <c r="L4997" s="12" t="inlineStr">
        <is>
          <t>4 pr</t>
        </is>
      </c>
      <c r="M4997" s="12" t="inlineStr">
        <is>
          <t>18</t>
        </is>
      </c>
      <c r="N4997" s="12" t="n">
        <v>1</v>
      </c>
      <c r="O4997" s="12" t="n">
        <v>1</v>
      </c>
      <c r="P4997" s="12" t="n"/>
      <c r="Q4997" s="12" t="n"/>
      <c r="R4997" s="12" t="n"/>
      <c r="S4997" s="12" t="inlineStr">
        <is>
          <t>Duct bank</t>
        </is>
      </c>
      <c r="T4997" s="15" t="n">
        <v>258</v>
      </c>
      <c r="U4997" s="15" t="n">
        <v>110</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I-I-0396</t>
        </is>
      </c>
      <c r="B4998" s="12" t="inlineStr">
        <is>
          <t>I</t>
        </is>
      </c>
      <c r="C4998" s="12" t="inlineStr">
        <is>
          <t>Modular / portable power</t>
        </is>
      </c>
      <c r="D4998" s="12" t="inlineStr">
        <is>
          <t>Analog instrument to JB JB-SC-1 CEMS shelter-AI01: 12 x 1 pr (field cables)</t>
        </is>
      </c>
      <c r="E4998" s="12" t="inlineStr"/>
      <c r="F4998" s="12" t="inlineStr">
        <is>
          <t>SC-1 CEMS shelter</t>
        </is>
      </c>
      <c r="G4998" s="12" t="inlineStr">
        <is>
          <t>JB-SC-1 CEMS shelter-AI01</t>
        </is>
      </c>
      <c r="H4998" s="12" t="inlineStr">
        <is>
          <t>SC-1 CEMS shelter</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12</v>
      </c>
      <c r="O4998" s="12" t="n">
        <v>1</v>
      </c>
      <c r="P4998" s="12" t="n"/>
      <c r="Q4998" s="12" t="n"/>
      <c r="R4998" s="12" t="n"/>
      <c r="S4998" s="12" t="inlineStr">
        <is>
          <t>Tray / conduit</t>
        </is>
      </c>
      <c r="T4998" s="15" t="n">
        <v>57</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I-I-0397</t>
        </is>
      </c>
      <c r="B4999" s="12" t="inlineStr">
        <is>
          <t>I</t>
        </is>
      </c>
      <c r="C4999" s="12" t="inlineStr">
        <is>
          <t>Modular / portable power</t>
        </is>
      </c>
      <c r="D4999" s="12" t="inlineStr">
        <is>
          <t>Home run JB-SC-1 CEMS shelter-AI01 to the control / marshalling room</t>
        </is>
      </c>
      <c r="E4999" s="12" t="inlineStr"/>
      <c r="F4999" s="12" t="inlineStr">
        <is>
          <t>SC-1 PCM + 15 kV GCB</t>
        </is>
      </c>
      <c r="G4999" s="12" t="inlineStr">
        <is>
          <t>JB-SC-1 CEMS shelter-AI01</t>
        </is>
      </c>
      <c r="H4999" s="12" t="inlineStr">
        <is>
          <t>SC-1 CEMS shelter</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Duct bank</t>
        </is>
      </c>
      <c r="T4999" s="15" t="n">
        <v>81</v>
      </c>
      <c r="U4999" s="15" t="n">
        <v>106</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I-I-0398</t>
        </is>
      </c>
      <c r="B5000" s="12" t="inlineStr">
        <is>
          <t>I</t>
        </is>
      </c>
      <c r="C5000" s="12" t="inlineStr">
        <is>
          <t>Modular / portable power</t>
        </is>
      </c>
      <c r="D5000" s="12" t="inlineStr">
        <is>
          <t>Discrete device to JB JB-SC-1 CEMS shelter-DI01: 10 x 1 pr (field cables)</t>
        </is>
      </c>
      <c r="E5000" s="12" t="inlineStr"/>
      <c r="F5000" s="12" t="inlineStr">
        <is>
          <t>SC-1 CEMS shelter</t>
        </is>
      </c>
      <c r="G5000" s="12" t="inlineStr">
        <is>
          <t>JB-SC-1 CEMS shelter-DI01</t>
        </is>
      </c>
      <c r="H5000" s="12" t="inlineStr">
        <is>
          <t>SC-1 CEMS shelter</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10</v>
      </c>
      <c r="O5000" s="12" t="n">
        <v>1</v>
      </c>
      <c r="P5000" s="12" t="n"/>
      <c r="Q5000" s="12" t="n"/>
      <c r="R5000" s="12" t="n"/>
      <c r="S5000" s="12" t="inlineStr">
        <is>
          <t>Tray / conduit</t>
        </is>
      </c>
      <c r="T5000" s="15" t="n">
        <v>57</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I-I-0399</t>
        </is>
      </c>
      <c r="B5001" s="12" t="inlineStr">
        <is>
          <t>I</t>
        </is>
      </c>
      <c r="C5001" s="12" t="inlineStr">
        <is>
          <t>Modular / portable power</t>
        </is>
      </c>
      <c r="D5001" s="12" t="inlineStr">
        <is>
          <t>Home run JB-SC-1 CEMS shelter-DI01 to the control / marshalling room</t>
        </is>
      </c>
      <c r="E5001" s="12" t="inlineStr"/>
      <c r="F5001" s="12" t="inlineStr">
        <is>
          <t>SC-1 PCM + 15 kV GCB</t>
        </is>
      </c>
      <c r="G5001" s="12" t="inlineStr">
        <is>
          <t>JB-SC-1 CEMS shelter-DI01</t>
        </is>
      </c>
      <c r="H5001" s="12" t="inlineStr">
        <is>
          <t>SC-1 CEMS shelter</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Duct bank</t>
        </is>
      </c>
      <c r="T5001" s="15" t="n">
        <v>81</v>
      </c>
      <c r="U5001" s="15" t="n">
        <v>106</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I-I-0400</t>
        </is>
      </c>
      <c r="B5002" s="12" t="inlineStr">
        <is>
          <t>I</t>
        </is>
      </c>
      <c r="C5002" s="12" t="inlineStr">
        <is>
          <t>Modular / portable power</t>
        </is>
      </c>
      <c r="D5002" s="12" t="inlineStr">
        <is>
          <t>Analog instrument to JB JB-SC-1 SCR / CO cata-AI01: 16 x 1 pr (field cables)</t>
        </is>
      </c>
      <c r="E5002" s="12" t="inlineStr"/>
      <c r="F5002" s="12" t="inlineStr">
        <is>
          <t>SC-1 SCR / CO catalyst</t>
        </is>
      </c>
      <c r="G5002" s="12" t="inlineStr">
        <is>
          <t>JB-SC-1 SCR / CO cata-AI01</t>
        </is>
      </c>
      <c r="H5002" s="12" t="inlineStr">
        <is>
          <t>SC-1 SCR / CO catalyst</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16</v>
      </c>
      <c r="O5002" s="12" t="n">
        <v>1</v>
      </c>
      <c r="P5002" s="12" t="n"/>
      <c r="Q5002" s="12" t="n"/>
      <c r="R5002" s="12" t="n"/>
      <c r="S5002" s="12" t="inlineStr">
        <is>
          <t>Tray / conduit</t>
        </is>
      </c>
      <c r="T5002" s="15" t="n">
        <v>74</v>
      </c>
      <c r="U5002" s="15" t="n">
        <v>10</v>
      </c>
      <c r="V5002" s="15">
        <f>ROUNDUP((T5002+U5002+2*'Read Me'!$B$13)*(1+'Read Me'!$B$12),-1)</f>
        <v/>
      </c>
      <c r="W5002" s="15">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I-I-0401</t>
        </is>
      </c>
      <c r="B5003" s="12" t="inlineStr">
        <is>
          <t>I</t>
        </is>
      </c>
      <c r="C5003" s="12" t="inlineStr">
        <is>
          <t>Modular / portable power</t>
        </is>
      </c>
      <c r="D5003" s="12" t="inlineStr">
        <is>
          <t>Home run JB-SC-1 SCR / CO cata-AI01 to the control / marshalling room</t>
        </is>
      </c>
      <c r="E5003" s="12" t="inlineStr"/>
      <c r="F5003" s="12" t="inlineStr">
        <is>
          <t>SC-1 PCM + 15 kV GCB</t>
        </is>
      </c>
      <c r="G5003" s="12" t="inlineStr">
        <is>
          <t>JB-SC-1 SCR / CO cata-AI01</t>
        </is>
      </c>
      <c r="H5003" s="12" t="inlineStr">
        <is>
          <t>SC-1 SCR / CO catalyst</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Duct bank</t>
        </is>
      </c>
      <c r="T5003" s="15" t="n">
        <v>55</v>
      </c>
      <c r="U5003" s="15" t="n">
        <v>57</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I-I-0402</t>
        </is>
      </c>
      <c r="B5004" s="12" t="inlineStr">
        <is>
          <t>I</t>
        </is>
      </c>
      <c r="C5004" s="12" t="inlineStr">
        <is>
          <t>Modular / portable power</t>
        </is>
      </c>
      <c r="D5004" s="12" t="inlineStr">
        <is>
          <t>Discrete device to JB JB-SC-1 SCR / CO cata-DI01: 8 x 1 pr (field cables)</t>
        </is>
      </c>
      <c r="E5004" s="12" t="inlineStr"/>
      <c r="F5004" s="12" t="inlineStr">
        <is>
          <t>SC-1 SCR / CO catalyst</t>
        </is>
      </c>
      <c r="G5004" s="12" t="inlineStr">
        <is>
          <t>JB-SC-1 SCR / CO cata-DI01</t>
        </is>
      </c>
      <c r="H5004" s="12" t="inlineStr">
        <is>
          <t>SC-1 SCR / CO catalyst</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8</v>
      </c>
      <c r="O5004" s="12" t="n">
        <v>1</v>
      </c>
      <c r="P5004" s="12" t="n"/>
      <c r="Q5004" s="12" t="n"/>
      <c r="R5004" s="12" t="n"/>
      <c r="S5004" s="12" t="inlineStr">
        <is>
          <t>Tray / conduit</t>
        </is>
      </c>
      <c r="T5004" s="15" t="n">
        <v>74</v>
      </c>
      <c r="U5004" s="15" t="n">
        <v>10</v>
      </c>
      <c r="V5004" s="15">
        <f>ROUNDUP((T5004+U5004+2*'Read Me'!$B$13)*(1+'Read Me'!$B$12),-1)</f>
        <v/>
      </c>
      <c r="W5004" s="15">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I-I-0403</t>
        </is>
      </c>
      <c r="B5005" s="12" t="inlineStr">
        <is>
          <t>I</t>
        </is>
      </c>
      <c r="C5005" s="12" t="inlineStr">
        <is>
          <t>Modular / portable power</t>
        </is>
      </c>
      <c r="D5005" s="12" t="inlineStr">
        <is>
          <t>Home run JB-SC-1 SCR / CO cata-DI01 to the control / marshalling room</t>
        </is>
      </c>
      <c r="E5005" s="12" t="inlineStr"/>
      <c r="F5005" s="12" t="inlineStr">
        <is>
          <t>SC-1 PCM + 15 kV GCB</t>
        </is>
      </c>
      <c r="G5005" s="12" t="inlineStr">
        <is>
          <t>JB-SC-1 SCR / CO cata-DI01</t>
        </is>
      </c>
      <c r="H5005" s="12" t="inlineStr">
        <is>
          <t>SC-1 SCR / CO catalyst</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Duct bank</t>
        </is>
      </c>
      <c r="T5005" s="15" t="n">
        <v>55</v>
      </c>
      <c r="U5005" s="15" t="n">
        <v>57</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I-I-0404</t>
        </is>
      </c>
      <c r="B5006" s="12" t="inlineStr">
        <is>
          <t>I</t>
        </is>
      </c>
      <c r="C5006" s="12" t="inlineStr">
        <is>
          <t>Modular / portable power</t>
        </is>
      </c>
      <c r="D5006" s="12" t="inlineStr">
        <is>
          <t>Analog instrument to JB JB-SC-1 ammonia flow--AI01: 8 x 1 pr (field cables)</t>
        </is>
      </c>
      <c r="E5006" s="12" t="inlineStr"/>
      <c r="F5006" s="12" t="inlineStr">
        <is>
          <t>SC-1 ammonia flow-control unit</t>
        </is>
      </c>
      <c r="G5006" s="12" t="inlineStr">
        <is>
          <t>JB-SC-1 ammonia flow--AI01</t>
        </is>
      </c>
      <c r="H5006" s="12" t="inlineStr">
        <is>
          <t>SC-1 ammonia flow-control unit</t>
        </is>
      </c>
      <c r="I5006" s="12" t="inlineStr">
        <is>
          <t>Instrumentation</t>
        </is>
      </c>
      <c r="J5006" s="12" t="inlineStr">
        <is>
          <t>Instrumentation PLTC / TC-ER 300 V, #18 twisted shielded pairs, overall shield</t>
        </is>
      </c>
      <c r="K5006" s="12" t="inlineStr">
        <is>
          <t>PLTC|1 pr|16</t>
        </is>
      </c>
      <c r="L5006" s="12" t="inlineStr">
        <is>
          <t>1 pr</t>
        </is>
      </c>
      <c r="M5006" s="12" t="inlineStr">
        <is>
          <t>16</t>
        </is>
      </c>
      <c r="N5006" s="12" t="n">
        <v>8</v>
      </c>
      <c r="O5006" s="12" t="n">
        <v>1</v>
      </c>
      <c r="P5006" s="12" t="n"/>
      <c r="Q5006" s="12" t="n"/>
      <c r="R5006" s="12" t="n"/>
      <c r="S5006" s="12" t="inlineStr">
        <is>
          <t>Tray / conduit</t>
        </is>
      </c>
      <c r="T5006" s="15" t="n">
        <v>40</v>
      </c>
      <c r="U5006" s="15" t="n">
        <v>10</v>
      </c>
      <c r="V5006" s="15">
        <f>ROUNDUP((T5006+U5006+2*'Read Me'!$B$13)*(1+'Read Me'!$B$12),-1)</f>
        <v/>
      </c>
      <c r="W5006" s="15">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I-I-0405</t>
        </is>
      </c>
      <c r="B5007" s="12" t="inlineStr">
        <is>
          <t>I</t>
        </is>
      </c>
      <c r="C5007" s="12" t="inlineStr">
        <is>
          <t>Modular / portable power</t>
        </is>
      </c>
      <c r="D5007" s="12" t="inlineStr">
        <is>
          <t>Home run JB-SC-1 ammonia flow--AI01 to the control / marshalling room</t>
        </is>
      </c>
      <c r="E5007" s="12" t="inlineStr"/>
      <c r="F5007" s="12" t="inlineStr">
        <is>
          <t>SC-1 PCM + 15 kV GCB</t>
        </is>
      </c>
      <c r="G5007" s="12" t="inlineStr">
        <is>
          <t>JB-SC-1 ammonia flow--AI01</t>
        </is>
      </c>
      <c r="H5007" s="12" t="inlineStr">
        <is>
          <t>SC-1 ammonia flow-control unit</t>
        </is>
      </c>
      <c r="I5007" s="12" t="inlineStr">
        <is>
          <t>Instrumentation</t>
        </is>
      </c>
      <c r="J5007" s="12" t="inlineStr">
        <is>
          <t>Instrumentation PLTC / TC-ER 300 V, #18 twisted shielded pairs, overall shield</t>
        </is>
      </c>
      <c r="K5007" s="12" t="inlineStr">
        <is>
          <t>PLTC|24 pr|18</t>
        </is>
      </c>
      <c r="L5007" s="12" t="inlineStr">
        <is>
          <t>24 pr</t>
        </is>
      </c>
      <c r="M5007" s="12" t="inlineStr">
        <is>
          <t>18</t>
        </is>
      </c>
      <c r="N5007" s="12" t="n">
        <v>1</v>
      </c>
      <c r="O5007" s="12" t="n">
        <v>1</v>
      </c>
      <c r="P5007" s="12" t="n"/>
      <c r="Q5007" s="12" t="n"/>
      <c r="R5007" s="12" t="n"/>
      <c r="S5007" s="12" t="inlineStr">
        <is>
          <t>Duct bank</t>
        </is>
      </c>
      <c r="T5007" s="15" t="n">
        <v>55</v>
      </c>
      <c r="U5007" s="15" t="n">
        <v>55</v>
      </c>
      <c r="V5007" s="15">
        <f>ROUNDUP((T5007+U5007+2*'Read Me'!$B$13)*(1+'Read Me'!$B$12),-1)</f>
        <v/>
      </c>
      <c r="W5007" s="15">
        <f>V5007*N5007*O5007</f>
        <v/>
      </c>
      <c r="X5007" s="12">
        <f>IF(LEFT(I5007,2)="MV",2*N5007*IF(L5007="1/C",O5007,1),0)</f>
        <v/>
      </c>
      <c r="Y5007" s="12">
        <f>IF(OR(LEFT(K5007,4)="LVAX",LEFT(K5007,6)="MV15AX",LEFT(K5007,4)="CTAX",LEFT(K5007,2)="W|"),2*N5007*O5007,0)</f>
        <v/>
      </c>
      <c r="Z5007" s="12" t="inlineStr"/>
      <c r="AA5007" s="12">
        <f>N5007*O5007</f>
        <v/>
      </c>
    </row>
    <row r="5008">
      <c r="A5008" s="12" t="inlineStr">
        <is>
          <t>I-I-0406</t>
        </is>
      </c>
      <c r="B5008" s="12" t="inlineStr">
        <is>
          <t>I</t>
        </is>
      </c>
      <c r="C5008" s="12" t="inlineStr">
        <is>
          <t>Modular / portable power</t>
        </is>
      </c>
      <c r="D5008" s="12" t="inlineStr">
        <is>
          <t>Discrete device to JB JB-SC-1 ammonia flow--DI01: 8 x 1 pr (field cables)</t>
        </is>
      </c>
      <c r="E5008" s="12" t="inlineStr"/>
      <c r="F5008" s="12" t="inlineStr">
        <is>
          <t>SC-1 ammonia flow-control unit</t>
        </is>
      </c>
      <c r="G5008" s="12" t="inlineStr">
        <is>
          <t>JB-SC-1 ammonia flow--DI01</t>
        </is>
      </c>
      <c r="H5008" s="12" t="inlineStr">
        <is>
          <t>SC-1 ammonia flow-control unit</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8</v>
      </c>
      <c r="O5008" s="12" t="n">
        <v>1</v>
      </c>
      <c r="P5008" s="12" t="n"/>
      <c r="Q5008" s="12" t="n"/>
      <c r="R5008" s="12" t="n"/>
      <c r="S5008" s="12" t="inlineStr">
        <is>
          <t>Tray / conduit</t>
        </is>
      </c>
      <c r="T5008" s="15" t="n">
        <v>40</v>
      </c>
      <c r="U5008" s="15" t="n">
        <v>10</v>
      </c>
      <c r="V5008" s="15">
        <f>ROUNDUP((T5008+U5008+2*'Read Me'!$B$13)*(1+'Read Me'!$B$12),-1)</f>
        <v/>
      </c>
      <c r="W5008" s="15">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I-I-0407</t>
        </is>
      </c>
      <c r="B5009" s="12" t="inlineStr">
        <is>
          <t>I</t>
        </is>
      </c>
      <c r="C5009" s="12" t="inlineStr">
        <is>
          <t>Modular / portable power</t>
        </is>
      </c>
      <c r="D5009" s="12" t="inlineStr">
        <is>
          <t>Home run JB-SC-1 ammonia flow--DI01 to the control / marshalling room</t>
        </is>
      </c>
      <c r="E5009" s="12" t="inlineStr"/>
      <c r="F5009" s="12" t="inlineStr">
        <is>
          <t>SC-1 PCM + 15 kV GCB</t>
        </is>
      </c>
      <c r="G5009" s="12" t="inlineStr">
        <is>
          <t>JB-SC-1 ammonia flow--DI01</t>
        </is>
      </c>
      <c r="H5009" s="12" t="inlineStr">
        <is>
          <t>SC-1 ammonia flow-control unit</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Duct bank</t>
        </is>
      </c>
      <c r="T5009" s="15" t="n">
        <v>55</v>
      </c>
      <c r="U5009" s="15" t="n">
        <v>55</v>
      </c>
      <c r="V5009" s="15">
        <f>ROUNDUP((T5009+U5009+2*'Read Me'!$B$13)*(1+'Read Me'!$B$12),-1)</f>
        <v/>
      </c>
      <c r="W5009" s="15">
        <f>V5009*N5009*O5009</f>
        <v/>
      </c>
      <c r="X5009" s="12">
        <f>IF(LEFT(I5009,2)="MV",2*N5009*IF(L5009="1/C",O5009,1),0)</f>
        <v/>
      </c>
      <c r="Y5009" s="12">
        <f>IF(OR(LEFT(K5009,4)="LVAX",LEFT(K5009,6)="MV15AX",LEFT(K5009,4)="CTAX",LEFT(K5009,2)="W|"),2*N5009*O5009,0)</f>
        <v/>
      </c>
      <c r="Z5009" s="12" t="inlineStr"/>
      <c r="AA5009" s="12">
        <f>N5009*O5009</f>
        <v/>
      </c>
    </row>
    <row r="5010">
      <c r="A5010" s="12" t="inlineStr">
        <is>
          <t>I-I-0408</t>
        </is>
      </c>
      <c r="B5010" s="12" t="inlineStr">
        <is>
          <t>I</t>
        </is>
      </c>
      <c r="C5010" s="12" t="inlineStr">
        <is>
          <t>Modular / portable power</t>
        </is>
      </c>
      <c r="D5010" s="12" t="inlineStr">
        <is>
          <t>Analog instrument to JB JB-SC-1 auxiliary ski-AI01: 14 x 1 pr (field cables)</t>
        </is>
      </c>
      <c r="E5010" s="12" t="inlineStr"/>
      <c r="F5010" s="12" t="inlineStr">
        <is>
          <t>SC-1 auxiliary skids: fuel-gas module, water-wash skid</t>
        </is>
      </c>
      <c r="G5010" s="12" t="inlineStr">
        <is>
          <t>JB-SC-1 auxiliary ski-AI01</t>
        </is>
      </c>
      <c r="H5010" s="12" t="inlineStr">
        <is>
          <t>SC-1 auxiliary skids: fuel-gas module, water-wash skid</t>
        </is>
      </c>
      <c r="I5010" s="12" t="inlineStr">
        <is>
          <t>Instrumentation</t>
        </is>
      </c>
      <c r="J5010" s="12" t="inlineStr">
        <is>
          <t>Instrumentation ITC / PLTC, IS, #18 shielded pairs, blue jacket</t>
        </is>
      </c>
      <c r="K5010" s="12" t="inlineStr">
        <is>
          <t>ITC|1 pr|16</t>
        </is>
      </c>
      <c r="L5010" s="12" t="inlineStr">
        <is>
          <t>1 pr</t>
        </is>
      </c>
      <c r="M5010" s="12" t="inlineStr">
        <is>
          <t>16</t>
        </is>
      </c>
      <c r="N5010" s="12" t="n">
        <v>14</v>
      </c>
      <c r="O5010" s="12" t="n">
        <v>1</v>
      </c>
      <c r="P5010" s="12" t="n"/>
      <c r="Q5010" s="12" t="n"/>
      <c r="R5010" s="12" t="n"/>
      <c r="S5010" s="12" t="inlineStr">
        <is>
          <t>Tray / conduit</t>
        </is>
      </c>
      <c r="T5010" s="15" t="n">
        <v>63</v>
      </c>
      <c r="U5010" s="15" t="n">
        <v>10</v>
      </c>
      <c r="V5010" s="15">
        <f>ROUNDUP((T5010+U5010+2*'Read Me'!$B$13)*(1+'Read Me'!$B$12),-1)</f>
        <v/>
      </c>
      <c r="W5010" s="15">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I-I-0409</t>
        </is>
      </c>
      <c r="B5011" s="12" t="inlineStr">
        <is>
          <t>I</t>
        </is>
      </c>
      <c r="C5011" s="12" t="inlineStr">
        <is>
          <t>Modular / portable power</t>
        </is>
      </c>
      <c r="D5011" s="12" t="inlineStr">
        <is>
          <t>Home run JB-SC-1 auxiliary ski-AI01 to the control / marshalling room</t>
        </is>
      </c>
      <c r="E5011" s="12" t="inlineStr"/>
      <c r="F5011" s="12" t="inlineStr">
        <is>
          <t>SC-1 PCM + 15 kV GCB</t>
        </is>
      </c>
      <c r="G5011" s="12" t="inlineStr">
        <is>
          <t>JB-SC-1 auxiliary ski-AI01</t>
        </is>
      </c>
      <c r="H5011" s="12" t="inlineStr">
        <is>
          <t>SC-1 auxiliary skids: fuel-gas module, water-wash skid</t>
        </is>
      </c>
      <c r="I5011" s="12" t="inlineStr">
        <is>
          <t>Instrumentation</t>
        </is>
      </c>
      <c r="J5011" s="12" t="inlineStr">
        <is>
          <t>Instrumentation ITC / PLTC, IS, #18 shielded pairs, blue jacket</t>
        </is>
      </c>
      <c r="K5011" s="12" t="inlineStr">
        <is>
          <t>ITC|24 pr|18</t>
        </is>
      </c>
      <c r="L5011" s="12" t="inlineStr">
        <is>
          <t>24 pr</t>
        </is>
      </c>
      <c r="M5011" s="12" t="inlineStr">
        <is>
          <t>18</t>
        </is>
      </c>
      <c r="N5011" s="12" t="n">
        <v>1</v>
      </c>
      <c r="O5011" s="12" t="n">
        <v>1</v>
      </c>
      <c r="P5011" s="12" t="n"/>
      <c r="Q5011" s="12" t="n"/>
      <c r="R5011" s="12" t="n"/>
      <c r="S5011" s="12" t="inlineStr">
        <is>
          <t>Tray</t>
        </is>
      </c>
      <c r="T5011" s="15" t="n">
        <v>5</v>
      </c>
      <c r="U5011" s="15" t="n">
        <v>49</v>
      </c>
      <c r="V5011" s="15">
        <f>ROUNDUP((T5011+U5011+2*'Read Me'!$B$13)*(1+'Read Me'!$B$12),-1)</f>
        <v/>
      </c>
      <c r="W5011" s="15">
        <f>V5011*N5011*O5011</f>
        <v/>
      </c>
      <c r="X5011" s="12">
        <f>IF(LEFT(I5011,2)="MV",2*N5011*IF(L5011="1/C",O5011,1),0)</f>
        <v/>
      </c>
      <c r="Y5011" s="12">
        <f>IF(OR(LEFT(K5011,4)="LVAX",LEFT(K5011,6)="MV15AX",LEFT(K5011,4)="CTAX",LEFT(K5011,2)="W|"),2*N5011*O5011,0)</f>
        <v/>
      </c>
      <c r="Z5011" s="12" t="inlineStr"/>
      <c r="AA5011" s="12">
        <f>N5011*O5011</f>
        <v/>
      </c>
    </row>
    <row r="5012">
      <c r="A5012" s="12" t="inlineStr">
        <is>
          <t>I-I-0410</t>
        </is>
      </c>
      <c r="B5012" s="12" t="inlineStr">
        <is>
          <t>I</t>
        </is>
      </c>
      <c r="C5012" s="12" t="inlineStr">
        <is>
          <t>Modular / portable power</t>
        </is>
      </c>
      <c r="D5012" s="12" t="inlineStr">
        <is>
          <t>Discrete device to JB JB-SC-1 auxiliary ski-DI01: 12 x 1 pr (field cables)</t>
        </is>
      </c>
      <c r="E5012" s="12" t="inlineStr"/>
      <c r="F5012" s="12" t="inlineStr">
        <is>
          <t>SC-1 auxiliary skids: fuel-gas module, water-wash skid</t>
        </is>
      </c>
      <c r="G5012" s="12" t="inlineStr">
        <is>
          <t>JB-SC-1 auxiliary ski-DI01</t>
        </is>
      </c>
      <c r="H5012" s="12" t="inlineStr">
        <is>
          <t>SC-1 auxiliary skids: fuel-gas module, water-wash skid</t>
        </is>
      </c>
      <c r="I5012" s="12" t="inlineStr">
        <is>
          <t>Instrumentation</t>
        </is>
      </c>
      <c r="J5012" s="12" t="inlineStr">
        <is>
          <t>Instrumentation ITC / PLTC, IS, #18 shielded pairs, blue jacket</t>
        </is>
      </c>
      <c r="K5012" s="12" t="inlineStr">
        <is>
          <t>ITC|1 pr|16</t>
        </is>
      </c>
      <c r="L5012" s="12" t="inlineStr">
        <is>
          <t>1 pr</t>
        </is>
      </c>
      <c r="M5012" s="12" t="inlineStr">
        <is>
          <t>16</t>
        </is>
      </c>
      <c r="N5012" s="12" t="n">
        <v>12</v>
      </c>
      <c r="O5012" s="12" t="n">
        <v>1</v>
      </c>
      <c r="P5012" s="12" t="n"/>
      <c r="Q5012" s="12" t="n"/>
      <c r="R5012" s="12" t="n"/>
      <c r="S5012" s="12" t="inlineStr">
        <is>
          <t>Tray / conduit</t>
        </is>
      </c>
      <c r="T5012" s="15" t="n">
        <v>63</v>
      </c>
      <c r="U5012" s="15" t="n">
        <v>10</v>
      </c>
      <c r="V5012" s="15">
        <f>ROUNDUP((T5012+U5012+2*'Read Me'!$B$13)*(1+'Read Me'!$B$12),-1)</f>
        <v/>
      </c>
      <c r="W5012" s="15">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I-I-0411</t>
        </is>
      </c>
      <c r="B5013" s="12" t="inlineStr">
        <is>
          <t>I</t>
        </is>
      </c>
      <c r="C5013" s="12" t="inlineStr">
        <is>
          <t>Modular / portable power</t>
        </is>
      </c>
      <c r="D5013" s="12" t="inlineStr">
        <is>
          <t>Home run JB-SC-1 auxiliary ski-DI01 to the control / marshalling room</t>
        </is>
      </c>
      <c r="E5013" s="12" t="inlineStr"/>
      <c r="F5013" s="12" t="inlineStr">
        <is>
          <t>SC-1 PCM + 15 kV GCB</t>
        </is>
      </c>
      <c r="G5013" s="12" t="inlineStr">
        <is>
          <t>JB-SC-1 auxiliary ski-DI01</t>
        </is>
      </c>
      <c r="H5013" s="12" t="inlineStr">
        <is>
          <t>SC-1 auxiliary skids: fuel-gas module, water-wash skid</t>
        </is>
      </c>
      <c r="I5013" s="12" t="inlineStr">
        <is>
          <t>Instrumentation</t>
        </is>
      </c>
      <c r="J5013" s="12" t="inlineStr">
        <is>
          <t>Instrumentation ITC / PLTC, IS, #18 shielded pairs, blue jacket</t>
        </is>
      </c>
      <c r="K5013" s="12" t="inlineStr">
        <is>
          <t>ITC|24 pr|18</t>
        </is>
      </c>
      <c r="L5013" s="12" t="inlineStr">
        <is>
          <t>24 pr</t>
        </is>
      </c>
      <c r="M5013" s="12" t="inlineStr">
        <is>
          <t>18</t>
        </is>
      </c>
      <c r="N5013" s="12" t="n">
        <v>1</v>
      </c>
      <c r="O5013" s="12" t="n">
        <v>1</v>
      </c>
      <c r="P5013" s="12" t="n"/>
      <c r="Q5013" s="12" t="n"/>
      <c r="R5013" s="12" t="n"/>
      <c r="S5013" s="12" t="inlineStr">
        <is>
          <t>Tray</t>
        </is>
      </c>
      <c r="T5013" s="15" t="n">
        <v>5</v>
      </c>
      <c r="U5013" s="15" t="n">
        <v>49</v>
      </c>
      <c r="V5013" s="15">
        <f>ROUNDUP((T5013+U5013+2*'Read Me'!$B$13)*(1+'Read Me'!$B$12),-1)</f>
        <v/>
      </c>
      <c r="W5013" s="15">
        <f>V5013*N5013*O5013</f>
        <v/>
      </c>
      <c r="X5013" s="12">
        <f>IF(LEFT(I5013,2)="MV",2*N5013*IF(L5013="1/C",O5013,1),0)</f>
        <v/>
      </c>
      <c r="Y5013" s="12">
        <f>IF(OR(LEFT(K5013,4)="LVAX",LEFT(K5013,6)="MV15AX",LEFT(K5013,4)="CTAX",LEFT(K5013,2)="W|"),2*N5013*O5013,0)</f>
        <v/>
      </c>
      <c r="Z5013" s="12" t="inlineStr"/>
      <c r="AA5013" s="12">
        <f>N5013*O5013</f>
        <v/>
      </c>
    </row>
    <row r="5014">
      <c r="A5014" s="12" t="inlineStr">
        <is>
          <t>I-I-0412</t>
        </is>
      </c>
      <c r="B5014" s="12" t="inlineStr">
        <is>
          <t>I</t>
        </is>
      </c>
      <c r="C5014" s="12" t="inlineStr">
        <is>
          <t>Modular / portable power</t>
        </is>
      </c>
      <c r="D5014" s="12" t="inlineStr">
        <is>
          <t>Analog instrument to JB JB-SC-1 lube-oil fin--AI01: 4 x 1 pr (field cables)</t>
        </is>
      </c>
      <c r="E5014" s="12" t="inlineStr"/>
      <c r="F5014" s="12" t="inlineStr">
        <is>
          <t>SC-1 lube-oil fin-fan cooler</t>
        </is>
      </c>
      <c r="G5014" s="12" t="inlineStr">
        <is>
          <t>JB-SC-1 lube-oil fin--AI01</t>
        </is>
      </c>
      <c r="H5014" s="12" t="inlineStr">
        <is>
          <t>SC-1 lube-oil fin-fan cooler</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4</v>
      </c>
      <c r="O5014" s="12" t="n">
        <v>1</v>
      </c>
      <c r="P5014" s="12" t="n"/>
      <c r="Q5014" s="12" t="n"/>
      <c r="R5014" s="12" t="n"/>
      <c r="S5014" s="12" t="inlineStr">
        <is>
          <t>Tray / conduit</t>
        </is>
      </c>
      <c r="T5014" s="15" t="n">
        <v>46</v>
      </c>
      <c r="U5014" s="15" t="n">
        <v>10</v>
      </c>
      <c r="V5014" s="15">
        <f>ROUNDUP((T5014+U5014+2*'Read Me'!$B$13)*(1+'Read Me'!$B$12),-1)</f>
        <v/>
      </c>
      <c r="W5014" s="15">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I-I-0413</t>
        </is>
      </c>
      <c r="B5015" s="12" t="inlineStr">
        <is>
          <t>I</t>
        </is>
      </c>
      <c r="C5015" s="12" t="inlineStr">
        <is>
          <t>Modular / portable power</t>
        </is>
      </c>
      <c r="D5015" s="12" t="inlineStr">
        <is>
          <t>Home run JB-SC-1 lube-oil fin--AI01 to the control / marshalling room</t>
        </is>
      </c>
      <c r="E5015" s="12" t="inlineStr"/>
      <c r="F5015" s="12" t="inlineStr">
        <is>
          <t>SC-1 PCM + 15 kV GCB</t>
        </is>
      </c>
      <c r="G5015" s="12" t="inlineStr">
        <is>
          <t>JB-SC-1 lube-oil fin--AI01</t>
        </is>
      </c>
      <c r="H5015" s="12" t="inlineStr">
        <is>
          <t>SC-1 lube-oil fin-fan cooler</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Riser</t>
        </is>
      </c>
      <c r="T5015" s="15" t="n">
        <v>9</v>
      </c>
      <c r="U5015" s="15" t="n">
        <v>33</v>
      </c>
      <c r="V5015" s="15">
        <f>ROUNDUP((T5015+U5015+2*'Read Me'!$B$13)*(1+'Read Me'!$B$12),-1)</f>
        <v/>
      </c>
      <c r="W5015" s="15">
        <f>V5015*N5015*O5015</f>
        <v/>
      </c>
      <c r="X5015" s="12">
        <f>IF(LEFT(I5015,2)="MV",2*N5015*IF(L5015="1/C",O5015,1),0)</f>
        <v/>
      </c>
      <c r="Y5015" s="12">
        <f>IF(OR(LEFT(K5015,4)="LVAX",LEFT(K5015,6)="MV15AX",LEFT(K5015,4)="CTAX",LEFT(K5015,2)="W|"),2*N5015*O5015,0)</f>
        <v/>
      </c>
      <c r="Z5015" s="12" t="inlineStr"/>
      <c r="AA5015" s="12">
        <f>N5015*O5015</f>
        <v/>
      </c>
    </row>
    <row r="5016">
      <c r="A5016" s="12" t="inlineStr">
        <is>
          <t>I-I-0414</t>
        </is>
      </c>
      <c r="B5016" s="12" t="inlineStr">
        <is>
          <t>I</t>
        </is>
      </c>
      <c r="C5016" s="12" t="inlineStr">
        <is>
          <t>Modular / portable power</t>
        </is>
      </c>
      <c r="D5016" s="12" t="inlineStr">
        <is>
          <t>Discrete device to JB JB-SC-1 lube-oil fin--DI01: 8 x 1 pr (field cables)</t>
        </is>
      </c>
      <c r="E5016" s="12" t="inlineStr"/>
      <c r="F5016" s="12" t="inlineStr">
        <is>
          <t>SC-1 lube-oil fin-fan cooler</t>
        </is>
      </c>
      <c r="G5016" s="12" t="inlineStr">
        <is>
          <t>JB-SC-1 lube-oil fin--DI01</t>
        </is>
      </c>
      <c r="H5016" s="12" t="inlineStr">
        <is>
          <t>SC-1 lube-oil fin-fan cooler</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8</v>
      </c>
      <c r="O5016" s="12" t="n">
        <v>1</v>
      </c>
      <c r="P5016" s="12" t="n"/>
      <c r="Q5016" s="12" t="n"/>
      <c r="R5016" s="12" t="n"/>
      <c r="S5016" s="12" t="inlineStr">
        <is>
          <t>Tray / conduit</t>
        </is>
      </c>
      <c r="T5016" s="15" t="n">
        <v>46</v>
      </c>
      <c r="U5016" s="15" t="n">
        <v>10</v>
      </c>
      <c r="V5016" s="15">
        <f>ROUNDUP((T5016+U5016+2*'Read Me'!$B$13)*(1+'Read Me'!$B$12),-1)</f>
        <v/>
      </c>
      <c r="W5016" s="15">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I-I-0415</t>
        </is>
      </c>
      <c r="B5017" s="12" t="inlineStr">
        <is>
          <t>I</t>
        </is>
      </c>
      <c r="C5017" s="12" t="inlineStr">
        <is>
          <t>Modular / portable power</t>
        </is>
      </c>
      <c r="D5017" s="12" t="inlineStr">
        <is>
          <t>Home run JB-SC-1 lube-oil fin--DI01 to the control / marshalling room</t>
        </is>
      </c>
      <c r="E5017" s="12" t="inlineStr"/>
      <c r="F5017" s="12" t="inlineStr">
        <is>
          <t>SC-1 PCM + 15 kV GCB</t>
        </is>
      </c>
      <c r="G5017" s="12" t="inlineStr">
        <is>
          <t>JB-SC-1 lube-oil fin--DI01</t>
        </is>
      </c>
      <c r="H5017" s="12" t="inlineStr">
        <is>
          <t>SC-1 lube-oil fin-fan cooler</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Riser</t>
        </is>
      </c>
      <c r="T5017" s="15" t="n">
        <v>9</v>
      </c>
      <c r="U5017" s="15" t="n">
        <v>33</v>
      </c>
      <c r="V5017" s="15">
        <f>ROUNDUP((T5017+U5017+2*'Read Me'!$B$13)*(1+'Read Me'!$B$12),-1)</f>
        <v/>
      </c>
      <c r="W5017" s="15">
        <f>V5017*N5017*O5017</f>
        <v/>
      </c>
      <c r="X5017" s="12">
        <f>IF(LEFT(I5017,2)="MV",2*N5017*IF(L5017="1/C",O5017,1),0)</f>
        <v/>
      </c>
      <c r="Y5017" s="12">
        <f>IF(OR(LEFT(K5017,4)="LVAX",LEFT(K5017,6)="MV15AX",LEFT(K5017,4)="CTAX",LEFT(K5017,2)="W|"),2*N5017*O5017,0)</f>
        <v/>
      </c>
      <c r="Z5017" s="12" t="inlineStr"/>
      <c r="AA5017" s="12">
        <f>N5017*O5017</f>
        <v/>
      </c>
    </row>
    <row r="5018">
      <c r="A5018" s="12" t="inlineStr">
        <is>
          <t>I-I-0416</t>
        </is>
      </c>
      <c r="B5018" s="12" t="inlineStr">
        <is>
          <t>I</t>
        </is>
      </c>
      <c r="C5018" s="12" t="inlineStr">
        <is>
          <t>Modular / portable power</t>
        </is>
      </c>
      <c r="D5018" s="12" t="inlineStr">
        <is>
          <t>Analog instrument to JB JB-SC-1 tempering-air-AI01: 8 x 1 pr (field cables)</t>
        </is>
      </c>
      <c r="E5018" s="12" t="inlineStr"/>
      <c r="F5018" s="12" t="inlineStr">
        <is>
          <t>SC-1 tempering-air fans (2 x 100 %)</t>
        </is>
      </c>
      <c r="G5018" s="12" t="inlineStr">
        <is>
          <t>JB-SC-1 tempering-air-AI01</t>
        </is>
      </c>
      <c r="H5018" s="12" t="inlineStr">
        <is>
          <t>SC-1 tempering-air fans (2 x 100 %)</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8</v>
      </c>
      <c r="O5018" s="12" t="n">
        <v>1</v>
      </c>
      <c r="P5018" s="12" t="n"/>
      <c r="Q5018" s="12" t="n"/>
      <c r="R5018" s="12" t="n"/>
      <c r="S5018" s="12" t="inlineStr">
        <is>
          <t>Tray / conduit</t>
        </is>
      </c>
      <c r="T5018" s="15" t="n">
        <v>53</v>
      </c>
      <c r="U5018" s="15" t="n">
        <v>10</v>
      </c>
      <c r="V5018" s="15">
        <f>ROUNDUP((T5018+U5018+2*'Read Me'!$B$13)*(1+'Read Me'!$B$12),-1)</f>
        <v/>
      </c>
      <c r="W5018" s="15">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I-I-0417</t>
        </is>
      </c>
      <c r="B5019" s="12" t="inlineStr">
        <is>
          <t>I</t>
        </is>
      </c>
      <c r="C5019" s="12" t="inlineStr">
        <is>
          <t>Modular / portable power</t>
        </is>
      </c>
      <c r="D5019" s="12" t="inlineStr">
        <is>
          <t>Home run JB-SC-1 tempering-air-AI01 to the control / marshalling room</t>
        </is>
      </c>
      <c r="E5019" s="12" t="inlineStr"/>
      <c r="F5019" s="12" t="inlineStr">
        <is>
          <t>SC-1 PCM + 15 kV GCB</t>
        </is>
      </c>
      <c r="G5019" s="12" t="inlineStr">
        <is>
          <t>JB-SC-1 tempering-air-AI01</t>
        </is>
      </c>
      <c r="H5019" s="12" t="inlineStr">
        <is>
          <t>SC-1 tempering-air fans (2 x 100 %)</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5" t="n">
        <v>15</v>
      </c>
      <c r="U5019" s="15" t="n">
        <v>99</v>
      </c>
      <c r="V5019" s="15">
        <f>ROUNDUP((T5019+U5019+2*'Read Me'!$B$13)*(1+'Read Me'!$B$12),-1)</f>
        <v/>
      </c>
      <c r="W5019" s="15">
        <f>V5019*N5019*O5019</f>
        <v/>
      </c>
      <c r="X5019" s="12">
        <f>IF(LEFT(I5019,2)="MV",2*N5019*IF(L5019="1/C",O5019,1),0)</f>
        <v/>
      </c>
      <c r="Y5019" s="12">
        <f>IF(OR(LEFT(K5019,4)="LVAX",LEFT(K5019,6)="MV15AX",LEFT(K5019,4)="CTAX",LEFT(K5019,2)="W|"),2*N5019*O5019,0)</f>
        <v/>
      </c>
      <c r="Z5019" s="12" t="inlineStr"/>
      <c r="AA5019" s="12">
        <f>N5019*O5019</f>
        <v/>
      </c>
    </row>
    <row r="5020">
      <c r="A5020" s="12" t="inlineStr">
        <is>
          <t>I-I-0418</t>
        </is>
      </c>
      <c r="B5020" s="12" t="inlineStr">
        <is>
          <t>I</t>
        </is>
      </c>
      <c r="C5020" s="12" t="inlineStr">
        <is>
          <t>Modular / portable power</t>
        </is>
      </c>
      <c r="D5020" s="12" t="inlineStr">
        <is>
          <t>Discrete device to JB JB-SC-1 tempering-air-DI01: 8 x 1 pr (field cables)</t>
        </is>
      </c>
      <c r="E5020" s="12" t="inlineStr"/>
      <c r="F5020" s="12" t="inlineStr">
        <is>
          <t>SC-1 tempering-air fans (2 x 100 %)</t>
        </is>
      </c>
      <c r="G5020" s="12" t="inlineStr">
        <is>
          <t>JB-SC-1 tempering-air-DI01</t>
        </is>
      </c>
      <c r="H5020" s="12" t="inlineStr">
        <is>
          <t>SC-1 tempering-air fans (2 x 100 %)</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5" t="n">
        <v>53</v>
      </c>
      <c r="U5020" s="15" t="n">
        <v>10</v>
      </c>
      <c r="V5020" s="15">
        <f>ROUNDUP((T5020+U5020+2*'Read Me'!$B$13)*(1+'Read Me'!$B$12),-1)</f>
        <v/>
      </c>
      <c r="W5020" s="15">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I-I-0419</t>
        </is>
      </c>
      <c r="B5021" s="12" t="inlineStr">
        <is>
          <t>I</t>
        </is>
      </c>
      <c r="C5021" s="12" t="inlineStr">
        <is>
          <t>Modular / portable power</t>
        </is>
      </c>
      <c r="D5021" s="12" t="inlineStr">
        <is>
          <t>Home run JB-SC-1 tempering-air-DI01 to the control / marshalling room</t>
        </is>
      </c>
      <c r="E5021" s="12" t="inlineStr"/>
      <c r="F5021" s="12" t="inlineStr">
        <is>
          <t>SC-1 PCM + 15 kV GCB</t>
        </is>
      </c>
      <c r="G5021" s="12" t="inlineStr">
        <is>
          <t>JB-SC-1 tempering-air-DI01</t>
        </is>
      </c>
      <c r="H5021" s="12" t="inlineStr">
        <is>
          <t>SC-1 tempering-air fans (2 x 100 %)</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5" t="n">
        <v>15</v>
      </c>
      <c r="U5021" s="15" t="n">
        <v>99</v>
      </c>
      <c r="V5021" s="15">
        <f>ROUNDUP((T5021+U5021+2*'Read Me'!$B$13)*(1+'Read Me'!$B$12),-1)</f>
        <v/>
      </c>
      <c r="W5021" s="15">
        <f>V5021*N5021*O5021</f>
        <v/>
      </c>
      <c r="X5021" s="12">
        <f>IF(LEFT(I5021,2)="MV",2*N5021*IF(L5021="1/C",O5021,1),0)</f>
        <v/>
      </c>
      <c r="Y5021" s="12">
        <f>IF(OR(LEFT(K5021,4)="LVAX",LEFT(K5021,6)="MV15AX",LEFT(K5021,4)="CTAX",LEFT(K5021,2)="W|"),2*N5021*O5021,0)</f>
        <v/>
      </c>
      <c r="Z5021" s="12" t="inlineStr"/>
      <c r="AA5021" s="12">
        <f>N5021*O5021</f>
        <v/>
      </c>
    </row>
    <row r="5022">
      <c r="A5022" s="12" t="inlineStr">
        <is>
          <t>I-I-0420</t>
        </is>
      </c>
      <c r="B5022" s="12" t="inlineStr">
        <is>
          <t>I</t>
        </is>
      </c>
      <c r="C5022" s="12" t="inlineStr">
        <is>
          <t>Modular / portable power</t>
        </is>
      </c>
      <c r="D5022" s="12" t="inlineStr">
        <is>
          <t>Analog instrument to JB JB-SC-1-AI01: 20 x 1 pr (field cables)</t>
        </is>
      </c>
      <c r="E5022" s="12" t="inlineStr">
        <is>
          <t>SC-1</t>
        </is>
      </c>
      <c r="F5022" s="12" t="inlineStr">
        <is>
          <t>SC-1: aeroderivative simple-cycle unit (LM6000 class)</t>
        </is>
      </c>
      <c r="G5022" s="12" t="inlineStr">
        <is>
          <t>JB-SC-1-AI01</t>
        </is>
      </c>
      <c r="H5022" s="12" t="inlineStr">
        <is>
          <t>SC-1: aeroderivative simple-cycle unit (LM6000 class)</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20</v>
      </c>
      <c r="O5022" s="12" t="n">
        <v>1</v>
      </c>
      <c r="P5022" s="12" t="n"/>
      <c r="Q5022" s="12" t="n"/>
      <c r="R5022" s="12" t="n"/>
      <c r="S5022" s="12" t="inlineStr">
        <is>
          <t>Tray / conduit</t>
        </is>
      </c>
      <c r="T5022" s="15" t="n">
        <v>99</v>
      </c>
      <c r="U5022" s="15" t="n">
        <v>10</v>
      </c>
      <c r="V5022" s="15">
        <f>ROUNDUP((T5022+U5022+2*'Read Me'!$B$13)*(1+'Read Me'!$B$12),-1)</f>
        <v/>
      </c>
      <c r="W5022" s="15">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I-I-0421</t>
        </is>
      </c>
      <c r="B5023" s="12" t="inlineStr">
        <is>
          <t>I</t>
        </is>
      </c>
      <c r="C5023" s="12" t="inlineStr">
        <is>
          <t>Modular / portable power</t>
        </is>
      </c>
      <c r="D5023" s="12" t="inlineStr">
        <is>
          <t>Home run JB-SC-1-AI01 to the control / marshalling room</t>
        </is>
      </c>
      <c r="E5023" s="12" t="inlineStr"/>
      <c r="F5023" s="12" t="inlineStr">
        <is>
          <t>SC-1 PCM + 15 kV GCB</t>
        </is>
      </c>
      <c r="G5023" s="12" t="inlineStr">
        <is>
          <t>JB-SC-1-AI01</t>
        </is>
      </c>
      <c r="H5023" s="12" t="inlineStr">
        <is>
          <t>SC-1: aeroderivative simple-cycle unit (LM6000 class)</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Tray</t>
        </is>
      </c>
      <c r="T5023" s="15" t="n">
        <v>5</v>
      </c>
      <c r="U5023" s="15" t="n">
        <v>62</v>
      </c>
      <c r="V5023" s="15">
        <f>ROUNDUP((T5023+U5023+2*'Read Me'!$B$13)*(1+'Read Me'!$B$12),-1)</f>
        <v/>
      </c>
      <c r="W5023" s="15">
        <f>V5023*N5023*O5023</f>
        <v/>
      </c>
      <c r="X5023" s="12">
        <f>IF(LEFT(I5023,2)="MV",2*N5023*IF(L5023="1/C",O5023,1),0)</f>
        <v/>
      </c>
      <c r="Y5023" s="12">
        <f>IF(OR(LEFT(K5023,4)="LVAX",LEFT(K5023,6)="MV15AX",LEFT(K5023,4)="CTAX",LEFT(K5023,2)="W|"),2*N5023*O5023,0)</f>
        <v/>
      </c>
      <c r="Z5023" s="12" t="inlineStr"/>
      <c r="AA5023" s="12">
        <f>N5023*O5023</f>
        <v/>
      </c>
    </row>
    <row r="5024">
      <c r="A5024" s="12" t="inlineStr">
        <is>
          <t>I-I-0422</t>
        </is>
      </c>
      <c r="B5024" s="12" t="inlineStr">
        <is>
          <t>I</t>
        </is>
      </c>
      <c r="C5024" s="12" t="inlineStr">
        <is>
          <t>Modular / portable power</t>
        </is>
      </c>
      <c r="D5024" s="12" t="inlineStr">
        <is>
          <t>Analog instrument to JB JB-SC-1-AI02: 20 x 1 pr (field cables)</t>
        </is>
      </c>
      <c r="E5024" s="12" t="inlineStr">
        <is>
          <t>SC-1</t>
        </is>
      </c>
      <c r="F5024" s="12" t="inlineStr">
        <is>
          <t>SC-1: aeroderivative simple-cycle unit (LM6000 class)</t>
        </is>
      </c>
      <c r="G5024" s="12" t="inlineStr">
        <is>
          <t>JB-SC-1-AI02</t>
        </is>
      </c>
      <c r="H5024" s="12" t="inlineStr">
        <is>
          <t>SC-1: aeroderivative simple-cycle unit (LM6000 class)</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20</v>
      </c>
      <c r="O5024" s="12" t="n">
        <v>1</v>
      </c>
      <c r="P5024" s="12" t="n"/>
      <c r="Q5024" s="12" t="n"/>
      <c r="R5024" s="12" t="n"/>
      <c r="S5024" s="12" t="inlineStr">
        <is>
          <t>Tray / conduit</t>
        </is>
      </c>
      <c r="T5024" s="15" t="n">
        <v>99</v>
      </c>
      <c r="U5024" s="15" t="n">
        <v>10</v>
      </c>
      <c r="V5024" s="15">
        <f>ROUNDUP((T5024+U5024+2*'Read Me'!$B$13)*(1+'Read Me'!$B$12),-1)</f>
        <v/>
      </c>
      <c r="W5024" s="15">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I-I-0423</t>
        </is>
      </c>
      <c r="B5025" s="12" t="inlineStr">
        <is>
          <t>I</t>
        </is>
      </c>
      <c r="C5025" s="12" t="inlineStr">
        <is>
          <t>Modular / portable power</t>
        </is>
      </c>
      <c r="D5025" s="12" t="inlineStr">
        <is>
          <t>Home run JB-SC-1-AI02 to the control / marshalling room</t>
        </is>
      </c>
      <c r="E5025" s="12" t="inlineStr"/>
      <c r="F5025" s="12" t="inlineStr">
        <is>
          <t>SC-1 PCM + 15 kV GCB</t>
        </is>
      </c>
      <c r="G5025" s="12" t="inlineStr">
        <is>
          <t>JB-SC-1-AI02</t>
        </is>
      </c>
      <c r="H5025" s="12" t="inlineStr">
        <is>
          <t>SC-1: aeroderivative simple-cycle unit (LM6000 class)</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Tray</t>
        </is>
      </c>
      <c r="T5025" s="15" t="n">
        <v>5</v>
      </c>
      <c r="U5025" s="15" t="n">
        <v>62</v>
      </c>
      <c r="V5025" s="15">
        <f>ROUNDUP((T5025+U5025+2*'Read Me'!$B$13)*(1+'Read Me'!$B$12),-1)</f>
        <v/>
      </c>
      <c r="W5025" s="15">
        <f>V5025*N5025*O5025</f>
        <v/>
      </c>
      <c r="X5025" s="12">
        <f>IF(LEFT(I5025,2)="MV",2*N5025*IF(L5025="1/C",O5025,1),0)</f>
        <v/>
      </c>
      <c r="Y5025" s="12">
        <f>IF(OR(LEFT(K5025,4)="LVAX",LEFT(K5025,6)="MV15AX",LEFT(K5025,4)="CTAX",LEFT(K5025,2)="W|"),2*N5025*O5025,0)</f>
        <v/>
      </c>
      <c r="Z5025" s="12" t="inlineStr"/>
      <c r="AA5025" s="12">
        <f>N5025*O5025</f>
        <v/>
      </c>
    </row>
    <row r="5026">
      <c r="A5026" s="12" t="inlineStr">
        <is>
          <t>I-I-0424</t>
        </is>
      </c>
      <c r="B5026" s="12" t="inlineStr">
        <is>
          <t>I</t>
        </is>
      </c>
      <c r="C5026" s="12" t="inlineStr">
        <is>
          <t>Modular / portable power</t>
        </is>
      </c>
      <c r="D5026" s="12" t="inlineStr">
        <is>
          <t>Analog instrument to JB JB-SC-1-AI03: 20 x 1 pr (field cables)</t>
        </is>
      </c>
      <c r="E5026" s="12" t="inlineStr">
        <is>
          <t>SC-1</t>
        </is>
      </c>
      <c r="F5026" s="12" t="inlineStr">
        <is>
          <t>SC-1: aeroderivative simple-cycle unit (LM6000 class)</t>
        </is>
      </c>
      <c r="G5026" s="12" t="inlineStr">
        <is>
          <t>JB-SC-1-AI03</t>
        </is>
      </c>
      <c r="H5026" s="12" t="inlineStr">
        <is>
          <t>SC-1: aeroderivative simple-cycle unit (LM6000 class)</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20</v>
      </c>
      <c r="O5026" s="12" t="n">
        <v>1</v>
      </c>
      <c r="P5026" s="12" t="n"/>
      <c r="Q5026" s="12" t="n"/>
      <c r="R5026" s="12" t="n"/>
      <c r="S5026" s="12" t="inlineStr">
        <is>
          <t>Tray / conduit</t>
        </is>
      </c>
      <c r="T5026" s="15" t="n">
        <v>99</v>
      </c>
      <c r="U5026" s="15" t="n">
        <v>10</v>
      </c>
      <c r="V5026" s="15">
        <f>ROUNDUP((T5026+U5026+2*'Read Me'!$B$13)*(1+'Read Me'!$B$12),-1)</f>
        <v/>
      </c>
      <c r="W5026" s="15">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I-I-0425</t>
        </is>
      </c>
      <c r="B5027" s="12" t="inlineStr">
        <is>
          <t>I</t>
        </is>
      </c>
      <c r="C5027" s="12" t="inlineStr">
        <is>
          <t>Modular / portable power</t>
        </is>
      </c>
      <c r="D5027" s="12" t="inlineStr">
        <is>
          <t>Home run JB-SC-1-AI03 to the control / marshalling room</t>
        </is>
      </c>
      <c r="E5027" s="12" t="inlineStr"/>
      <c r="F5027" s="12" t="inlineStr">
        <is>
          <t>SC-1 PCM + 15 kV GCB</t>
        </is>
      </c>
      <c r="G5027" s="12" t="inlineStr">
        <is>
          <t>JB-SC-1-AI03</t>
        </is>
      </c>
      <c r="H5027" s="12" t="inlineStr">
        <is>
          <t>SC-1: aeroderivative simple-cycle unit (LM6000 class)</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Tray</t>
        </is>
      </c>
      <c r="T5027" s="15" t="n">
        <v>5</v>
      </c>
      <c r="U5027" s="15" t="n">
        <v>62</v>
      </c>
      <c r="V5027" s="15">
        <f>ROUNDUP((T5027+U5027+2*'Read Me'!$B$13)*(1+'Read Me'!$B$12),-1)</f>
        <v/>
      </c>
      <c r="W5027" s="15">
        <f>V5027*N5027*O5027</f>
        <v/>
      </c>
      <c r="X5027" s="12">
        <f>IF(LEFT(I5027,2)="MV",2*N5027*IF(L5027="1/C",O5027,1),0)</f>
        <v/>
      </c>
      <c r="Y5027" s="12">
        <f>IF(OR(LEFT(K5027,4)="LVAX",LEFT(K5027,6)="MV15AX",LEFT(K5027,4)="CTAX",LEFT(K5027,2)="W|"),2*N5027*O5027,0)</f>
        <v/>
      </c>
      <c r="Z5027" s="12" t="inlineStr"/>
      <c r="AA5027" s="12">
        <f>N5027*O5027</f>
        <v/>
      </c>
    </row>
    <row r="5028">
      <c r="A5028" s="12" t="inlineStr">
        <is>
          <t>I-I-0426</t>
        </is>
      </c>
      <c r="B5028" s="12" t="inlineStr">
        <is>
          <t>I</t>
        </is>
      </c>
      <c r="C5028" s="12" t="inlineStr">
        <is>
          <t>Modular / portable power</t>
        </is>
      </c>
      <c r="D5028" s="12" t="inlineStr">
        <is>
          <t>Analog instrument to JB JB-SC-1-AI04: 20 x 1 pr (field cables)</t>
        </is>
      </c>
      <c r="E5028" s="12" t="inlineStr">
        <is>
          <t>SC-1</t>
        </is>
      </c>
      <c r="F5028" s="12" t="inlineStr">
        <is>
          <t>SC-1: aeroderivative simple-cycle unit (LM6000 class)</t>
        </is>
      </c>
      <c r="G5028" s="12" t="inlineStr">
        <is>
          <t>JB-SC-1-AI04</t>
        </is>
      </c>
      <c r="H5028" s="12" t="inlineStr">
        <is>
          <t>SC-1: aeroderivative simple-cycle unit (LM6000 class)</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20</v>
      </c>
      <c r="O5028" s="12" t="n">
        <v>1</v>
      </c>
      <c r="P5028" s="12" t="n"/>
      <c r="Q5028" s="12" t="n"/>
      <c r="R5028" s="12" t="n"/>
      <c r="S5028" s="12" t="inlineStr">
        <is>
          <t>Tray / conduit</t>
        </is>
      </c>
      <c r="T5028" s="15" t="n">
        <v>99</v>
      </c>
      <c r="U5028" s="15" t="n">
        <v>10</v>
      </c>
      <c r="V5028" s="15">
        <f>ROUNDUP((T5028+U5028+2*'Read Me'!$B$13)*(1+'Read Me'!$B$12),-1)</f>
        <v/>
      </c>
      <c r="W5028" s="15">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I-I-0427</t>
        </is>
      </c>
      <c r="B5029" s="12" t="inlineStr">
        <is>
          <t>I</t>
        </is>
      </c>
      <c r="C5029" s="12" t="inlineStr">
        <is>
          <t>Modular / portable power</t>
        </is>
      </c>
      <c r="D5029" s="12" t="inlineStr">
        <is>
          <t>Home run JB-SC-1-AI04 to the control / marshalling room</t>
        </is>
      </c>
      <c r="E5029" s="12" t="inlineStr"/>
      <c r="F5029" s="12" t="inlineStr">
        <is>
          <t>SC-1 PCM + 15 kV GCB</t>
        </is>
      </c>
      <c r="G5029" s="12" t="inlineStr">
        <is>
          <t>JB-SC-1-AI04</t>
        </is>
      </c>
      <c r="H5029" s="12" t="inlineStr">
        <is>
          <t>SC-1: aeroderivative simple-cycle unit (LM6000 class)</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Tray</t>
        </is>
      </c>
      <c r="T5029" s="15" t="n">
        <v>5</v>
      </c>
      <c r="U5029" s="15" t="n">
        <v>62</v>
      </c>
      <c r="V5029" s="15">
        <f>ROUNDUP((T5029+U5029+2*'Read Me'!$B$13)*(1+'Read Me'!$B$12),-1)</f>
        <v/>
      </c>
      <c r="W5029" s="15">
        <f>V5029*N5029*O5029</f>
        <v/>
      </c>
      <c r="X5029" s="12">
        <f>IF(LEFT(I5029,2)="MV",2*N5029*IF(L5029="1/C",O5029,1),0)</f>
        <v/>
      </c>
      <c r="Y5029" s="12">
        <f>IF(OR(LEFT(K5029,4)="LVAX",LEFT(K5029,6)="MV15AX",LEFT(K5029,4)="CTAX",LEFT(K5029,2)="W|"),2*N5029*O5029,0)</f>
        <v/>
      </c>
      <c r="Z5029" s="12" t="inlineStr"/>
      <c r="AA5029" s="12">
        <f>N5029*O5029</f>
        <v/>
      </c>
    </row>
    <row r="5030">
      <c r="A5030" s="12" t="inlineStr">
        <is>
          <t>I-I-0428</t>
        </is>
      </c>
      <c r="B5030" s="12" t="inlineStr">
        <is>
          <t>I</t>
        </is>
      </c>
      <c r="C5030" s="12" t="inlineStr">
        <is>
          <t>Modular / portable power</t>
        </is>
      </c>
      <c r="D5030" s="12" t="inlineStr">
        <is>
          <t>Analog instrument to JB JB-SC-1-AI05: 20 x 1 pr (field cables)</t>
        </is>
      </c>
      <c r="E5030" s="12" t="inlineStr">
        <is>
          <t>SC-1</t>
        </is>
      </c>
      <c r="F5030" s="12" t="inlineStr">
        <is>
          <t>SC-1: aeroderivative simple-cycle unit (LM6000 class)</t>
        </is>
      </c>
      <c r="G5030" s="12" t="inlineStr">
        <is>
          <t>JB-SC-1-AI05</t>
        </is>
      </c>
      <c r="H5030" s="12" t="inlineStr">
        <is>
          <t>SC-1: aeroderivative simple-cycle unit (LM6000 class)</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20</v>
      </c>
      <c r="O5030" s="12" t="n">
        <v>1</v>
      </c>
      <c r="P5030" s="12" t="n"/>
      <c r="Q5030" s="12" t="n"/>
      <c r="R5030" s="12" t="n"/>
      <c r="S5030" s="12" t="inlineStr">
        <is>
          <t>Tray / conduit</t>
        </is>
      </c>
      <c r="T5030" s="15" t="n">
        <v>99</v>
      </c>
      <c r="U5030" s="15" t="n">
        <v>10</v>
      </c>
      <c r="V5030" s="15">
        <f>ROUNDUP((T5030+U5030+2*'Read Me'!$B$13)*(1+'Read Me'!$B$12),-1)</f>
        <v/>
      </c>
      <c r="W5030" s="15">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I-I-0429</t>
        </is>
      </c>
      <c r="B5031" s="12" t="inlineStr">
        <is>
          <t>I</t>
        </is>
      </c>
      <c r="C5031" s="12" t="inlineStr">
        <is>
          <t>Modular / portable power</t>
        </is>
      </c>
      <c r="D5031" s="12" t="inlineStr">
        <is>
          <t>Home run JB-SC-1-AI05 to the control / marshalling room</t>
        </is>
      </c>
      <c r="E5031" s="12" t="inlineStr"/>
      <c r="F5031" s="12" t="inlineStr">
        <is>
          <t>SC-1 PCM + 15 kV GCB</t>
        </is>
      </c>
      <c r="G5031" s="12" t="inlineStr">
        <is>
          <t>JB-SC-1-AI05</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Tray</t>
        </is>
      </c>
      <c r="T5031" s="15" t="n">
        <v>5</v>
      </c>
      <c r="U5031" s="15" t="n">
        <v>62</v>
      </c>
      <c r="V5031" s="15">
        <f>ROUNDUP((T5031+U5031+2*'Read Me'!$B$13)*(1+'Read Me'!$B$12),-1)</f>
        <v/>
      </c>
      <c r="W5031" s="15">
        <f>V5031*N5031*O5031</f>
        <v/>
      </c>
      <c r="X5031" s="12">
        <f>IF(LEFT(I5031,2)="MV",2*N5031*IF(L5031="1/C",O5031,1),0)</f>
        <v/>
      </c>
      <c r="Y5031" s="12">
        <f>IF(OR(LEFT(K5031,4)="LVAX",LEFT(K5031,6)="MV15AX",LEFT(K5031,4)="CTAX",LEFT(K5031,2)="W|"),2*N5031*O5031,0)</f>
        <v/>
      </c>
      <c r="Z5031" s="12" t="inlineStr"/>
      <c r="AA5031" s="12">
        <f>N5031*O5031</f>
        <v/>
      </c>
    </row>
    <row r="5032">
      <c r="A5032" s="12" t="inlineStr">
        <is>
          <t>I-I-0430</t>
        </is>
      </c>
      <c r="B5032" s="12" t="inlineStr">
        <is>
          <t>I</t>
        </is>
      </c>
      <c r="C5032" s="12" t="inlineStr">
        <is>
          <t>Modular / portable power</t>
        </is>
      </c>
      <c r="D5032" s="12" t="inlineStr">
        <is>
          <t>Analog instrument to JB JB-SC-1-AI06: 20 x 1 pr (field cables)</t>
        </is>
      </c>
      <c r="E5032" s="12" t="inlineStr">
        <is>
          <t>SC-1</t>
        </is>
      </c>
      <c r="F5032" s="12" t="inlineStr">
        <is>
          <t>SC-1: aeroderivative simple-cycle unit (LM6000 class)</t>
        </is>
      </c>
      <c r="G5032" s="12" t="inlineStr">
        <is>
          <t>JB-SC-1-AI06</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20</v>
      </c>
      <c r="O5032" s="12" t="n">
        <v>1</v>
      </c>
      <c r="P5032" s="12" t="n"/>
      <c r="Q5032" s="12" t="n"/>
      <c r="R5032" s="12" t="n"/>
      <c r="S5032" s="12" t="inlineStr">
        <is>
          <t>Tray / conduit</t>
        </is>
      </c>
      <c r="T5032" s="15" t="n">
        <v>99</v>
      </c>
      <c r="U5032" s="15" t="n">
        <v>10</v>
      </c>
      <c r="V5032" s="15">
        <f>ROUNDUP((T5032+U5032+2*'Read Me'!$B$13)*(1+'Read Me'!$B$12),-1)</f>
        <v/>
      </c>
      <c r="W5032" s="15">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I-I-0431</t>
        </is>
      </c>
      <c r="B5033" s="12" t="inlineStr">
        <is>
          <t>I</t>
        </is>
      </c>
      <c r="C5033" s="12" t="inlineStr">
        <is>
          <t>Modular / portable power</t>
        </is>
      </c>
      <c r="D5033" s="12" t="inlineStr">
        <is>
          <t>Home run JB-SC-1-AI06 to the control / marshalling room</t>
        </is>
      </c>
      <c r="E5033" s="12" t="inlineStr"/>
      <c r="F5033" s="12" t="inlineStr">
        <is>
          <t>SC-1 PCM + 15 kV GCB</t>
        </is>
      </c>
      <c r="G5033" s="12" t="inlineStr">
        <is>
          <t>JB-SC-1-AI06</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Tray</t>
        </is>
      </c>
      <c r="T5033" s="15" t="n">
        <v>5</v>
      </c>
      <c r="U5033" s="15" t="n">
        <v>62</v>
      </c>
      <c r="V5033" s="15">
        <f>ROUNDUP((T5033+U5033+2*'Read Me'!$B$13)*(1+'Read Me'!$B$12),-1)</f>
        <v/>
      </c>
      <c r="W5033" s="15">
        <f>V5033*N5033*O5033</f>
        <v/>
      </c>
      <c r="X5033" s="12">
        <f>IF(LEFT(I5033,2)="MV",2*N5033*IF(L5033="1/C",O5033,1),0)</f>
        <v/>
      </c>
      <c r="Y5033" s="12">
        <f>IF(OR(LEFT(K5033,4)="LVAX",LEFT(K5033,6)="MV15AX",LEFT(K5033,4)="CTAX",LEFT(K5033,2)="W|"),2*N5033*O5033,0)</f>
        <v/>
      </c>
      <c r="Z5033" s="12" t="inlineStr"/>
      <c r="AA5033" s="12">
        <f>N5033*O5033</f>
        <v/>
      </c>
    </row>
    <row r="5034">
      <c r="A5034" s="12" t="inlineStr">
        <is>
          <t>I-I-0432</t>
        </is>
      </c>
      <c r="B5034" s="12" t="inlineStr">
        <is>
          <t>I</t>
        </is>
      </c>
      <c r="C5034" s="12" t="inlineStr">
        <is>
          <t>Modular / portable power</t>
        </is>
      </c>
      <c r="D5034" s="12" t="inlineStr">
        <is>
          <t>Analog instrument to JB JB-SC-1-AI07: 20 x 1 pr (field cables)</t>
        </is>
      </c>
      <c r="E5034" s="12" t="inlineStr">
        <is>
          <t>SC-1</t>
        </is>
      </c>
      <c r="F5034" s="12" t="inlineStr">
        <is>
          <t>SC-1: aeroderivative simple-cycle unit (LM6000 class)</t>
        </is>
      </c>
      <c r="G5034" s="12" t="inlineStr">
        <is>
          <t>JB-SC-1-AI07</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5" t="n">
        <v>99</v>
      </c>
      <c r="U5034" s="15" t="n">
        <v>10</v>
      </c>
      <c r="V5034" s="15">
        <f>ROUNDUP((T5034+U5034+2*'Read Me'!$B$13)*(1+'Read Me'!$B$12),-1)</f>
        <v/>
      </c>
      <c r="W5034" s="15">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I-I-0433</t>
        </is>
      </c>
      <c r="B5035" s="12" t="inlineStr">
        <is>
          <t>I</t>
        </is>
      </c>
      <c r="C5035" s="12" t="inlineStr">
        <is>
          <t>Modular / portable power</t>
        </is>
      </c>
      <c r="D5035" s="12" t="inlineStr">
        <is>
          <t>Home run JB-SC-1-AI07 to the control / marshalling room</t>
        </is>
      </c>
      <c r="E5035" s="12" t="inlineStr"/>
      <c r="F5035" s="12" t="inlineStr">
        <is>
          <t>SC-1 PCM + 15 kV GCB</t>
        </is>
      </c>
      <c r="G5035" s="12" t="inlineStr">
        <is>
          <t>JB-SC-1-AI07</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Tray</t>
        </is>
      </c>
      <c r="T5035" s="15" t="n">
        <v>5</v>
      </c>
      <c r="U5035" s="15" t="n">
        <v>62</v>
      </c>
      <c r="V5035" s="15">
        <f>ROUNDUP((T5035+U5035+2*'Read Me'!$B$13)*(1+'Read Me'!$B$12),-1)</f>
        <v/>
      </c>
      <c r="W5035" s="15">
        <f>V5035*N5035*O5035</f>
        <v/>
      </c>
      <c r="X5035" s="12">
        <f>IF(LEFT(I5035,2)="MV",2*N5035*IF(L5035="1/C",O5035,1),0)</f>
        <v/>
      </c>
      <c r="Y5035" s="12">
        <f>IF(OR(LEFT(K5035,4)="LVAX",LEFT(K5035,6)="MV15AX",LEFT(K5035,4)="CTAX",LEFT(K5035,2)="W|"),2*N5035*O5035,0)</f>
        <v/>
      </c>
      <c r="Z5035" s="12" t="inlineStr"/>
      <c r="AA5035" s="12">
        <f>N5035*O5035</f>
        <v/>
      </c>
    </row>
    <row r="5036">
      <c r="A5036" s="12" t="inlineStr">
        <is>
          <t>I-I-0434</t>
        </is>
      </c>
      <c r="B5036" s="12" t="inlineStr">
        <is>
          <t>I</t>
        </is>
      </c>
      <c r="C5036" s="12" t="inlineStr">
        <is>
          <t>Modular / portable power</t>
        </is>
      </c>
      <c r="D5036" s="12" t="inlineStr">
        <is>
          <t>Analog instrument to JB JB-SC-1-AI08: 10 x 1 pr (field cables)</t>
        </is>
      </c>
      <c r="E5036" s="12" t="inlineStr">
        <is>
          <t>SC-1</t>
        </is>
      </c>
      <c r="F5036" s="12" t="inlineStr">
        <is>
          <t>SC-1: aeroderivative simple-cycle unit (LM6000 class)</t>
        </is>
      </c>
      <c r="G5036" s="12" t="inlineStr">
        <is>
          <t>JB-SC-1-AI08</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10</v>
      </c>
      <c r="O5036" s="12" t="n">
        <v>1</v>
      </c>
      <c r="P5036" s="12" t="n"/>
      <c r="Q5036" s="12" t="n"/>
      <c r="R5036" s="12" t="n"/>
      <c r="S5036" s="12" t="inlineStr">
        <is>
          <t>Tray / conduit</t>
        </is>
      </c>
      <c r="T5036" s="15" t="n">
        <v>99</v>
      </c>
      <c r="U5036" s="15" t="n">
        <v>10</v>
      </c>
      <c r="V5036" s="15">
        <f>ROUNDUP((T5036+U5036+2*'Read Me'!$B$13)*(1+'Read Me'!$B$12),-1)</f>
        <v/>
      </c>
      <c r="W5036" s="15">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I-I-0435</t>
        </is>
      </c>
      <c r="B5037" s="12" t="inlineStr">
        <is>
          <t>I</t>
        </is>
      </c>
      <c r="C5037" s="12" t="inlineStr">
        <is>
          <t>Modular / portable power</t>
        </is>
      </c>
      <c r="D5037" s="12" t="inlineStr">
        <is>
          <t>Home run JB-SC-1-AI08 to the control / marshalling room</t>
        </is>
      </c>
      <c r="E5037" s="12" t="inlineStr"/>
      <c r="F5037" s="12" t="inlineStr">
        <is>
          <t>SC-1 PCM + 15 kV GCB</t>
        </is>
      </c>
      <c r="G5037" s="12" t="inlineStr">
        <is>
          <t>JB-SC-1-AI08</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Tray</t>
        </is>
      </c>
      <c r="T5037" s="15" t="n">
        <v>5</v>
      </c>
      <c r="U5037" s="15" t="n">
        <v>62</v>
      </c>
      <c r="V5037" s="15">
        <f>ROUNDUP((T5037+U5037+2*'Read Me'!$B$13)*(1+'Read Me'!$B$12),-1)</f>
        <v/>
      </c>
      <c r="W5037" s="15">
        <f>V5037*N5037*O5037</f>
        <v/>
      </c>
      <c r="X5037" s="12">
        <f>IF(LEFT(I5037,2)="MV",2*N5037*IF(L5037="1/C",O5037,1),0)</f>
        <v/>
      </c>
      <c r="Y5037" s="12">
        <f>IF(OR(LEFT(K5037,4)="LVAX",LEFT(K5037,6)="MV15AX",LEFT(K5037,4)="CTAX",LEFT(K5037,2)="W|"),2*N5037*O5037,0)</f>
        <v/>
      </c>
      <c r="Z5037" s="12" t="inlineStr"/>
      <c r="AA5037" s="12">
        <f>N5037*O5037</f>
        <v/>
      </c>
    </row>
    <row r="5038">
      <c r="A5038" s="12" t="inlineStr">
        <is>
          <t>I-I-0436</t>
        </is>
      </c>
      <c r="B5038" s="12" t="inlineStr">
        <is>
          <t>I</t>
        </is>
      </c>
      <c r="C5038" s="12" t="inlineStr">
        <is>
          <t>Modular / portable power</t>
        </is>
      </c>
      <c r="D5038" s="12" t="inlineStr">
        <is>
          <t>Discrete device to JB JB-SC-1-DI01: 20 x 1 pr (field cables)</t>
        </is>
      </c>
      <c r="E5038" s="12" t="inlineStr">
        <is>
          <t>SC-1</t>
        </is>
      </c>
      <c r="F5038" s="12" t="inlineStr">
        <is>
          <t>SC-1: aeroderivative simple-cycle unit (LM6000 class)</t>
        </is>
      </c>
      <c r="G5038" s="12" t="inlineStr">
        <is>
          <t>JB-SC-1-DI01</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5" t="n">
        <v>99</v>
      </c>
      <c r="U5038" s="15" t="n">
        <v>10</v>
      </c>
      <c r="V5038" s="15">
        <f>ROUNDUP((T5038+U5038+2*'Read Me'!$B$13)*(1+'Read Me'!$B$12),-1)</f>
        <v/>
      </c>
      <c r="W5038" s="15">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I-I-0437</t>
        </is>
      </c>
      <c r="B5039" s="12" t="inlineStr">
        <is>
          <t>I</t>
        </is>
      </c>
      <c r="C5039" s="12" t="inlineStr">
        <is>
          <t>Modular / portable power</t>
        </is>
      </c>
      <c r="D5039" s="12" t="inlineStr">
        <is>
          <t>Home run JB-SC-1-DI01 to the control / marshalling room</t>
        </is>
      </c>
      <c r="E5039" s="12" t="inlineStr"/>
      <c r="F5039" s="12" t="inlineStr">
        <is>
          <t>SC-1 PCM + 15 kV GCB</t>
        </is>
      </c>
      <c r="G5039" s="12" t="inlineStr">
        <is>
          <t>JB-SC-1-DI01</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Tray</t>
        </is>
      </c>
      <c r="T5039" s="15" t="n">
        <v>5</v>
      </c>
      <c r="U5039" s="15" t="n">
        <v>62</v>
      </c>
      <c r="V5039" s="15">
        <f>ROUNDUP((T5039+U5039+2*'Read Me'!$B$13)*(1+'Read Me'!$B$12),-1)</f>
        <v/>
      </c>
      <c r="W5039" s="15">
        <f>V5039*N5039*O5039</f>
        <v/>
      </c>
      <c r="X5039" s="12">
        <f>IF(LEFT(I5039,2)="MV",2*N5039*IF(L5039="1/C",O5039,1),0)</f>
        <v/>
      </c>
      <c r="Y5039" s="12">
        <f>IF(OR(LEFT(K5039,4)="LVAX",LEFT(K5039,6)="MV15AX",LEFT(K5039,4)="CTAX",LEFT(K5039,2)="W|"),2*N5039*O5039,0)</f>
        <v/>
      </c>
      <c r="Z5039" s="12" t="inlineStr"/>
      <c r="AA5039" s="12">
        <f>N5039*O5039</f>
        <v/>
      </c>
    </row>
    <row r="5040">
      <c r="A5040" s="12" t="inlineStr">
        <is>
          <t>I-I-0438</t>
        </is>
      </c>
      <c r="B5040" s="12" t="inlineStr">
        <is>
          <t>I</t>
        </is>
      </c>
      <c r="C5040" s="12" t="inlineStr">
        <is>
          <t>Modular / portable power</t>
        </is>
      </c>
      <c r="D5040" s="12" t="inlineStr">
        <is>
          <t>Discrete device to JB JB-SC-1-DI02: 20 x 1 pr (field cables)</t>
        </is>
      </c>
      <c r="E5040" s="12" t="inlineStr">
        <is>
          <t>SC-1</t>
        </is>
      </c>
      <c r="F5040" s="12" t="inlineStr">
        <is>
          <t>SC-1: aeroderivative simple-cycle unit (LM6000 class)</t>
        </is>
      </c>
      <c r="G5040" s="12" t="inlineStr">
        <is>
          <t>JB-SC-1-DI02</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5" t="n">
        <v>99</v>
      </c>
      <c r="U5040" s="15" t="n">
        <v>10</v>
      </c>
      <c r="V5040" s="15">
        <f>ROUNDUP((T5040+U5040+2*'Read Me'!$B$13)*(1+'Read Me'!$B$12),-1)</f>
        <v/>
      </c>
      <c r="W5040" s="15">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I-I-0439</t>
        </is>
      </c>
      <c r="B5041" s="12" t="inlineStr">
        <is>
          <t>I</t>
        </is>
      </c>
      <c r="C5041" s="12" t="inlineStr">
        <is>
          <t>Modular / portable power</t>
        </is>
      </c>
      <c r="D5041" s="12" t="inlineStr">
        <is>
          <t>Home run JB-SC-1-DI02 to the control / marshalling room</t>
        </is>
      </c>
      <c r="E5041" s="12" t="inlineStr"/>
      <c r="F5041" s="12" t="inlineStr">
        <is>
          <t>SC-1 PCM + 15 kV GCB</t>
        </is>
      </c>
      <c r="G5041" s="12" t="inlineStr">
        <is>
          <t>JB-SC-1-DI02</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Tray</t>
        </is>
      </c>
      <c r="T5041" s="15" t="n">
        <v>5</v>
      </c>
      <c r="U5041" s="15" t="n">
        <v>62</v>
      </c>
      <c r="V5041" s="15">
        <f>ROUNDUP((T5041+U5041+2*'Read Me'!$B$13)*(1+'Read Me'!$B$12),-1)</f>
        <v/>
      </c>
      <c r="W5041" s="15">
        <f>V5041*N5041*O5041</f>
        <v/>
      </c>
      <c r="X5041" s="12">
        <f>IF(LEFT(I5041,2)="MV",2*N5041*IF(L5041="1/C",O5041,1),0)</f>
        <v/>
      </c>
      <c r="Y5041" s="12">
        <f>IF(OR(LEFT(K5041,4)="LVAX",LEFT(K5041,6)="MV15AX",LEFT(K5041,4)="CTAX",LEFT(K5041,2)="W|"),2*N5041*O5041,0)</f>
        <v/>
      </c>
      <c r="Z5041" s="12" t="inlineStr"/>
      <c r="AA5041" s="12">
        <f>N5041*O5041</f>
        <v/>
      </c>
    </row>
    <row r="5042">
      <c r="A5042" s="12" t="inlineStr">
        <is>
          <t>I-I-0440</t>
        </is>
      </c>
      <c r="B5042" s="12" t="inlineStr">
        <is>
          <t>I</t>
        </is>
      </c>
      <c r="C5042" s="12" t="inlineStr">
        <is>
          <t>Modular / portable power</t>
        </is>
      </c>
      <c r="D5042" s="12" t="inlineStr">
        <is>
          <t>Discrete device to JB JB-SC-1-DI03: 20 x 1 pr (field cables)</t>
        </is>
      </c>
      <c r="E5042" s="12" t="inlineStr">
        <is>
          <t>SC-1</t>
        </is>
      </c>
      <c r="F5042" s="12" t="inlineStr">
        <is>
          <t>SC-1: aeroderivative simple-cycle unit (LM6000 class)</t>
        </is>
      </c>
      <c r="G5042" s="12" t="inlineStr">
        <is>
          <t>JB-SC-1-DI03</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5" t="n">
        <v>99</v>
      </c>
      <c r="U5042" s="15" t="n">
        <v>10</v>
      </c>
      <c r="V5042" s="15">
        <f>ROUNDUP((T5042+U5042+2*'Read Me'!$B$13)*(1+'Read Me'!$B$12),-1)</f>
        <v/>
      </c>
      <c r="W5042" s="15">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I-I-0441</t>
        </is>
      </c>
      <c r="B5043" s="12" t="inlineStr">
        <is>
          <t>I</t>
        </is>
      </c>
      <c r="C5043" s="12" t="inlineStr">
        <is>
          <t>Modular / portable power</t>
        </is>
      </c>
      <c r="D5043" s="12" t="inlineStr">
        <is>
          <t>Home run JB-SC-1-DI03 to the control / marshalling room</t>
        </is>
      </c>
      <c r="E5043" s="12" t="inlineStr"/>
      <c r="F5043" s="12" t="inlineStr">
        <is>
          <t>SC-1 PCM + 15 kV GCB</t>
        </is>
      </c>
      <c r="G5043" s="12" t="inlineStr">
        <is>
          <t>JB-SC-1-DI03</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5" t="n">
        <v>5</v>
      </c>
      <c r="U5043" s="15" t="n">
        <v>62</v>
      </c>
      <c r="V5043" s="15">
        <f>ROUNDUP((T5043+U5043+2*'Read Me'!$B$13)*(1+'Read Me'!$B$12),-1)</f>
        <v/>
      </c>
      <c r="W5043" s="15">
        <f>V5043*N5043*O5043</f>
        <v/>
      </c>
      <c r="X5043" s="12">
        <f>IF(LEFT(I5043,2)="MV",2*N5043*IF(L5043="1/C",O5043,1),0)</f>
        <v/>
      </c>
      <c r="Y5043" s="12">
        <f>IF(OR(LEFT(K5043,4)="LVAX",LEFT(K5043,6)="MV15AX",LEFT(K5043,4)="CTAX",LEFT(K5043,2)="W|"),2*N5043*O5043,0)</f>
        <v/>
      </c>
      <c r="Z5043" s="12" t="inlineStr"/>
      <c r="AA5043" s="12">
        <f>N5043*O5043</f>
        <v/>
      </c>
    </row>
    <row r="5044">
      <c r="A5044" s="12" t="inlineStr">
        <is>
          <t>I-I-0442</t>
        </is>
      </c>
      <c r="B5044" s="12" t="inlineStr">
        <is>
          <t>I</t>
        </is>
      </c>
      <c r="C5044" s="12" t="inlineStr">
        <is>
          <t>Modular / portable power</t>
        </is>
      </c>
      <c r="D5044" s="12" t="inlineStr">
        <is>
          <t>Discrete device to JB JB-SC-1-DI04: 20 x 1 pr (field cables)</t>
        </is>
      </c>
      <c r="E5044" s="12" t="inlineStr">
        <is>
          <t>SC-1</t>
        </is>
      </c>
      <c r="F5044" s="12" t="inlineStr">
        <is>
          <t>SC-1: aeroderivative simple-cycle unit (LM6000 class)</t>
        </is>
      </c>
      <c r="G5044" s="12" t="inlineStr">
        <is>
          <t>JB-SC-1-DI04</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5" t="n">
        <v>99</v>
      </c>
      <c r="U5044" s="15" t="n">
        <v>10</v>
      </c>
      <c r="V5044" s="15">
        <f>ROUNDUP((T5044+U5044+2*'Read Me'!$B$13)*(1+'Read Me'!$B$12),-1)</f>
        <v/>
      </c>
      <c r="W5044" s="15">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I-I-0443</t>
        </is>
      </c>
      <c r="B5045" s="12" t="inlineStr">
        <is>
          <t>I</t>
        </is>
      </c>
      <c r="C5045" s="12" t="inlineStr">
        <is>
          <t>Modular / portable power</t>
        </is>
      </c>
      <c r="D5045" s="12" t="inlineStr">
        <is>
          <t>Home run JB-SC-1-DI04 to the control / marshalling room</t>
        </is>
      </c>
      <c r="E5045" s="12" t="inlineStr"/>
      <c r="F5045" s="12" t="inlineStr">
        <is>
          <t>SC-1 PCM + 15 kV GCB</t>
        </is>
      </c>
      <c r="G5045" s="12" t="inlineStr">
        <is>
          <t>JB-SC-1-DI04</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5" t="n">
        <v>5</v>
      </c>
      <c r="U5045" s="15" t="n">
        <v>62</v>
      </c>
      <c r="V5045" s="15">
        <f>ROUNDUP((T5045+U5045+2*'Read Me'!$B$13)*(1+'Read Me'!$B$12),-1)</f>
        <v/>
      </c>
      <c r="W5045" s="15">
        <f>V5045*N5045*O5045</f>
        <v/>
      </c>
      <c r="X5045" s="12">
        <f>IF(LEFT(I5045,2)="MV",2*N5045*IF(L5045="1/C",O5045,1),0)</f>
        <v/>
      </c>
      <c r="Y5045" s="12">
        <f>IF(OR(LEFT(K5045,4)="LVAX",LEFT(K5045,6)="MV15AX",LEFT(K5045,4)="CTAX",LEFT(K5045,2)="W|"),2*N5045*O5045,0)</f>
        <v/>
      </c>
      <c r="Z5045" s="12" t="inlineStr"/>
      <c r="AA5045" s="12">
        <f>N5045*O5045</f>
        <v/>
      </c>
    </row>
    <row r="5046">
      <c r="A5046" s="12" t="inlineStr">
        <is>
          <t>I-I-0444</t>
        </is>
      </c>
      <c r="B5046" s="12" t="inlineStr">
        <is>
          <t>I</t>
        </is>
      </c>
      <c r="C5046" s="12" t="inlineStr">
        <is>
          <t>Modular / portable power</t>
        </is>
      </c>
      <c r="D5046" s="12" t="inlineStr">
        <is>
          <t>Discrete device to JB JB-SC-1-DI05: 20 x 1 pr (field cables)</t>
        </is>
      </c>
      <c r="E5046" s="12" t="inlineStr">
        <is>
          <t>SC-1</t>
        </is>
      </c>
      <c r="F5046" s="12" t="inlineStr">
        <is>
          <t>SC-1: aeroderivative simple-cycle unit (LM6000 class)</t>
        </is>
      </c>
      <c r="G5046" s="12" t="inlineStr">
        <is>
          <t>JB-SC-1-DI05</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5" t="n">
        <v>99</v>
      </c>
      <c r="U5046" s="15" t="n">
        <v>10</v>
      </c>
      <c r="V5046" s="15">
        <f>ROUNDUP((T5046+U5046+2*'Read Me'!$B$13)*(1+'Read Me'!$B$12),-1)</f>
        <v/>
      </c>
      <c r="W5046" s="15">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I-I-0445</t>
        </is>
      </c>
      <c r="B5047" s="12" t="inlineStr">
        <is>
          <t>I</t>
        </is>
      </c>
      <c r="C5047" s="12" t="inlineStr">
        <is>
          <t>Modular / portable power</t>
        </is>
      </c>
      <c r="D5047" s="12" t="inlineStr">
        <is>
          <t>Home run JB-SC-1-DI05 to the control / marshalling room</t>
        </is>
      </c>
      <c r="E5047" s="12" t="inlineStr"/>
      <c r="F5047" s="12" t="inlineStr">
        <is>
          <t>SC-1 PCM + 15 kV GCB</t>
        </is>
      </c>
      <c r="G5047" s="12" t="inlineStr">
        <is>
          <t>JB-SC-1-DI05</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Tray</t>
        </is>
      </c>
      <c r="T5047" s="15" t="n">
        <v>5</v>
      </c>
      <c r="U5047" s="15" t="n">
        <v>62</v>
      </c>
      <c r="V5047" s="15">
        <f>ROUNDUP((T5047+U5047+2*'Read Me'!$B$13)*(1+'Read Me'!$B$12),-1)</f>
        <v/>
      </c>
      <c r="W5047" s="15">
        <f>V5047*N5047*O5047</f>
        <v/>
      </c>
      <c r="X5047" s="12">
        <f>IF(LEFT(I5047,2)="MV",2*N5047*IF(L5047="1/C",O5047,1),0)</f>
        <v/>
      </c>
      <c r="Y5047" s="12">
        <f>IF(OR(LEFT(K5047,4)="LVAX",LEFT(K5047,6)="MV15AX",LEFT(K5047,4)="CTAX",LEFT(K5047,2)="W|"),2*N5047*O5047,0)</f>
        <v/>
      </c>
      <c r="Z5047" s="12" t="inlineStr"/>
      <c r="AA5047" s="12">
        <f>N5047*O5047</f>
        <v/>
      </c>
    </row>
    <row r="5048">
      <c r="A5048" s="12" t="inlineStr">
        <is>
          <t>I-I-0446</t>
        </is>
      </c>
      <c r="B5048" s="12" t="inlineStr">
        <is>
          <t>I</t>
        </is>
      </c>
      <c r="C5048" s="12" t="inlineStr">
        <is>
          <t>Modular / portable power</t>
        </is>
      </c>
      <c r="D5048" s="12" t="inlineStr">
        <is>
          <t>Thermocouple to TC JB JB-SC-1-TC01: 20 x 1 pr (field cables)</t>
        </is>
      </c>
      <c r="E5048" s="12" t="inlineStr">
        <is>
          <t>SC-1</t>
        </is>
      </c>
      <c r="F5048" s="12" t="inlineStr">
        <is>
          <t>SC-1: aeroderivative simple-cycle unit (LM6000 class)</t>
        </is>
      </c>
      <c r="G5048" s="12" t="inlineStr">
        <is>
          <t>JB-SC-1-TC01</t>
        </is>
      </c>
      <c r="H5048" s="12" t="inlineStr">
        <is>
          <t>SC-1: aeroderivative simple-cycle unit (LM6000 class)</t>
        </is>
      </c>
      <c r="I5048" s="12" t="inlineStr">
        <is>
          <t>Instrumentation</t>
        </is>
      </c>
      <c r="J5048" s="12" t="inlineStr">
        <is>
          <t>Thermocouple extension KX, #16 shielded pairs, PLTC</t>
        </is>
      </c>
      <c r="K5048" s="12" t="inlineStr">
        <is>
          <t>TCX|1 pr|16</t>
        </is>
      </c>
      <c r="L5048" s="12" t="inlineStr">
        <is>
          <t>1 pr</t>
        </is>
      </c>
      <c r="M5048" s="12" t="inlineStr">
        <is>
          <t>16</t>
        </is>
      </c>
      <c r="N5048" s="12" t="n">
        <v>20</v>
      </c>
      <c r="O5048" s="12" t="n">
        <v>1</v>
      </c>
      <c r="P5048" s="12" t="n"/>
      <c r="Q5048" s="12" t="n"/>
      <c r="R5048" s="12" t="n"/>
      <c r="S5048" s="12" t="inlineStr">
        <is>
          <t>Tray / conduit</t>
        </is>
      </c>
      <c r="T5048" s="15" t="n">
        <v>99</v>
      </c>
      <c r="U5048" s="15" t="n">
        <v>10</v>
      </c>
      <c r="V5048" s="15">
        <f>ROUNDUP((T5048+U5048+2*'Read Me'!$B$13)*(1+'Read Me'!$B$12),-1)</f>
        <v/>
      </c>
      <c r="W5048" s="15">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I-I-0447</t>
        </is>
      </c>
      <c r="B5049" s="12" t="inlineStr">
        <is>
          <t>I</t>
        </is>
      </c>
      <c r="C5049" s="12" t="inlineStr">
        <is>
          <t>Modular / portable power</t>
        </is>
      </c>
      <c r="D5049" s="12" t="inlineStr">
        <is>
          <t>Home run JB-SC-1-TC01 to the control / marshalling room</t>
        </is>
      </c>
      <c r="E5049" s="12" t="inlineStr"/>
      <c r="F5049" s="12" t="inlineStr">
        <is>
          <t>SC-1 PCM + 15 kV GCB</t>
        </is>
      </c>
      <c r="G5049" s="12" t="inlineStr">
        <is>
          <t>JB-SC-1-TC01</t>
        </is>
      </c>
      <c r="H5049" s="12" t="inlineStr">
        <is>
          <t>SC-1: aeroderivative simple-cycle unit (LM6000 class)</t>
        </is>
      </c>
      <c r="I5049" s="12" t="inlineStr">
        <is>
          <t>Instrumentation</t>
        </is>
      </c>
      <c r="J5049" s="12" t="inlineStr">
        <is>
          <t>Thermocouple extension KX, #16 shielded pairs, PLTC</t>
        </is>
      </c>
      <c r="K5049" s="12" t="inlineStr">
        <is>
          <t>TCX|24 pr|16</t>
        </is>
      </c>
      <c r="L5049" s="12" t="inlineStr">
        <is>
          <t>24 pr</t>
        </is>
      </c>
      <c r="M5049" s="12" t="inlineStr">
        <is>
          <t>16</t>
        </is>
      </c>
      <c r="N5049" s="12" t="n">
        <v>1</v>
      </c>
      <c r="O5049" s="12" t="n">
        <v>1</v>
      </c>
      <c r="P5049" s="12" t="n"/>
      <c r="Q5049" s="12" t="n"/>
      <c r="R5049" s="12" t="n"/>
      <c r="S5049" s="12" t="inlineStr">
        <is>
          <t>Tray</t>
        </is>
      </c>
      <c r="T5049" s="15" t="n">
        <v>5</v>
      </c>
      <c r="U5049" s="15" t="n">
        <v>62</v>
      </c>
      <c r="V5049" s="15">
        <f>ROUNDUP((T5049+U5049+2*'Read Me'!$B$13)*(1+'Read Me'!$B$12),-1)</f>
        <v/>
      </c>
      <c r="W5049" s="15">
        <f>V5049*N5049*O5049</f>
        <v/>
      </c>
      <c r="X5049" s="12">
        <f>IF(LEFT(I5049,2)="MV",2*N5049*IF(L5049="1/C",O5049,1),0)</f>
        <v/>
      </c>
      <c r="Y5049" s="12">
        <f>IF(OR(LEFT(K5049,4)="LVAX",LEFT(K5049,6)="MV15AX",LEFT(K5049,4)="CTAX",LEFT(K5049,2)="W|"),2*N5049*O5049,0)</f>
        <v/>
      </c>
      <c r="Z5049" s="12" t="inlineStr"/>
      <c r="AA5049" s="12">
        <f>N5049*O5049</f>
        <v/>
      </c>
    </row>
    <row r="5050">
      <c r="A5050" s="12" t="inlineStr">
        <is>
          <t>I-I-0448</t>
        </is>
      </c>
      <c r="B5050" s="12" t="inlineStr">
        <is>
          <t>I</t>
        </is>
      </c>
      <c r="C5050" s="12" t="inlineStr">
        <is>
          <t>Modular / portable power</t>
        </is>
      </c>
      <c r="D5050" s="12" t="inlineStr">
        <is>
          <t>Thermocouple to TC JB JB-SC-1-TC02: 20 x 1 pr (field cables)</t>
        </is>
      </c>
      <c r="E5050" s="12" t="inlineStr">
        <is>
          <t>SC-1</t>
        </is>
      </c>
      <c r="F5050" s="12" t="inlineStr">
        <is>
          <t>SC-1: aeroderivative simple-cycle unit (LM6000 class)</t>
        </is>
      </c>
      <c r="G5050" s="12" t="inlineStr">
        <is>
          <t>JB-SC-1-TC02</t>
        </is>
      </c>
      <c r="H5050" s="12" t="inlineStr">
        <is>
          <t>SC-1: aeroderivative simple-cycle unit (LM6000 class)</t>
        </is>
      </c>
      <c r="I5050" s="12" t="inlineStr">
        <is>
          <t>Instrumentation</t>
        </is>
      </c>
      <c r="J5050" s="12" t="inlineStr">
        <is>
          <t>Thermocouple extension KX, #16 shielded pairs, PLTC</t>
        </is>
      </c>
      <c r="K5050" s="12" t="inlineStr">
        <is>
          <t>TCX|1 pr|16</t>
        </is>
      </c>
      <c r="L5050" s="12" t="inlineStr">
        <is>
          <t>1 pr</t>
        </is>
      </c>
      <c r="M5050" s="12" t="inlineStr">
        <is>
          <t>16</t>
        </is>
      </c>
      <c r="N5050" s="12" t="n">
        <v>20</v>
      </c>
      <c r="O5050" s="12" t="n">
        <v>1</v>
      </c>
      <c r="P5050" s="12" t="n"/>
      <c r="Q5050" s="12" t="n"/>
      <c r="R5050" s="12" t="n"/>
      <c r="S5050" s="12" t="inlineStr">
        <is>
          <t>Tray / conduit</t>
        </is>
      </c>
      <c r="T5050" s="15" t="n">
        <v>99</v>
      </c>
      <c r="U5050" s="15" t="n">
        <v>10</v>
      </c>
      <c r="V5050" s="15">
        <f>ROUNDUP((T5050+U5050+2*'Read Me'!$B$13)*(1+'Read Me'!$B$12),-1)</f>
        <v/>
      </c>
      <c r="W5050" s="15">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I-I-0449</t>
        </is>
      </c>
      <c r="B5051" s="12" t="inlineStr">
        <is>
          <t>I</t>
        </is>
      </c>
      <c r="C5051" s="12" t="inlineStr">
        <is>
          <t>Modular / portable power</t>
        </is>
      </c>
      <c r="D5051" s="12" t="inlineStr">
        <is>
          <t>Home run JB-SC-1-TC02 to the control / marshalling room</t>
        </is>
      </c>
      <c r="E5051" s="12" t="inlineStr"/>
      <c r="F5051" s="12" t="inlineStr">
        <is>
          <t>SC-1 PCM + 15 kV GCB</t>
        </is>
      </c>
      <c r="G5051" s="12" t="inlineStr">
        <is>
          <t>JB-SC-1-TC02</t>
        </is>
      </c>
      <c r="H5051" s="12" t="inlineStr">
        <is>
          <t>SC-1: aeroderivative simple-cycle unit (LM6000 class)</t>
        </is>
      </c>
      <c r="I5051" s="12" t="inlineStr">
        <is>
          <t>Instrumentation</t>
        </is>
      </c>
      <c r="J5051" s="12" t="inlineStr">
        <is>
          <t>Thermocouple extension KX, #16 shielded pairs, PLTC</t>
        </is>
      </c>
      <c r="K5051" s="12" t="inlineStr">
        <is>
          <t>TCX|24 pr|16</t>
        </is>
      </c>
      <c r="L5051" s="12" t="inlineStr">
        <is>
          <t>24 pr</t>
        </is>
      </c>
      <c r="M5051" s="12" t="inlineStr">
        <is>
          <t>16</t>
        </is>
      </c>
      <c r="N5051" s="12" t="n">
        <v>1</v>
      </c>
      <c r="O5051" s="12" t="n">
        <v>1</v>
      </c>
      <c r="P5051" s="12" t="n"/>
      <c r="Q5051" s="12" t="n"/>
      <c r="R5051" s="12" t="n"/>
      <c r="S5051" s="12" t="inlineStr">
        <is>
          <t>Tray</t>
        </is>
      </c>
      <c r="T5051" s="15" t="n">
        <v>5</v>
      </c>
      <c r="U5051" s="15" t="n">
        <v>62</v>
      </c>
      <c r="V5051" s="15">
        <f>ROUNDUP((T5051+U5051+2*'Read Me'!$B$13)*(1+'Read Me'!$B$12),-1)</f>
        <v/>
      </c>
      <c r="W5051" s="15">
        <f>V5051*N5051*O5051</f>
        <v/>
      </c>
      <c r="X5051" s="12">
        <f>IF(LEFT(I5051,2)="MV",2*N5051*IF(L5051="1/C",O5051,1),0)</f>
        <v/>
      </c>
      <c r="Y5051" s="12">
        <f>IF(OR(LEFT(K5051,4)="LVAX",LEFT(K5051,6)="MV15AX",LEFT(K5051,4)="CTAX",LEFT(K5051,2)="W|"),2*N5051*O5051,0)</f>
        <v/>
      </c>
      <c r="Z5051" s="12" t="inlineStr"/>
      <c r="AA5051" s="12">
        <f>N5051*O5051</f>
        <v/>
      </c>
    </row>
    <row r="5052">
      <c r="A5052" s="12" t="inlineStr">
        <is>
          <t>I-I-0450</t>
        </is>
      </c>
      <c r="B5052" s="12" t="inlineStr">
        <is>
          <t>I</t>
        </is>
      </c>
      <c r="C5052" s="12" t="inlineStr">
        <is>
          <t>Modular / portable power</t>
        </is>
      </c>
      <c r="D5052" s="12" t="inlineStr">
        <is>
          <t>Analog instrument to JB JB-SC-2 CEMS shelter-AI01: 12 x 1 pr (field cables)</t>
        </is>
      </c>
      <c r="E5052" s="12" t="inlineStr"/>
      <c r="F5052" s="12" t="inlineStr">
        <is>
          <t>SC-2 CEMS shelter</t>
        </is>
      </c>
      <c r="G5052" s="12" t="inlineStr">
        <is>
          <t>JB-SC-2 CEMS shelter-AI01</t>
        </is>
      </c>
      <c r="H5052" s="12" t="inlineStr">
        <is>
          <t>SC-2 CEMS shelter</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12</v>
      </c>
      <c r="O5052" s="12" t="n">
        <v>1</v>
      </c>
      <c r="P5052" s="12" t="n"/>
      <c r="Q5052" s="12" t="n"/>
      <c r="R5052" s="12" t="n"/>
      <c r="S5052" s="12" t="inlineStr">
        <is>
          <t>Tray / conduit</t>
        </is>
      </c>
      <c r="T5052" s="15" t="n">
        <v>57</v>
      </c>
      <c r="U5052" s="15" t="n">
        <v>10</v>
      </c>
      <c r="V5052" s="15">
        <f>ROUNDUP((T5052+U5052+2*'Read Me'!$B$13)*(1+'Read Me'!$B$12),-1)</f>
        <v/>
      </c>
      <c r="W5052" s="15">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I-I-0451</t>
        </is>
      </c>
      <c r="B5053" s="12" t="inlineStr">
        <is>
          <t>I</t>
        </is>
      </c>
      <c r="C5053" s="12" t="inlineStr">
        <is>
          <t>Modular / portable power</t>
        </is>
      </c>
      <c r="D5053" s="12" t="inlineStr">
        <is>
          <t>Home run JB-SC-2 CEMS shelter-AI01 to the control / marshalling room</t>
        </is>
      </c>
      <c r="E5053" s="12" t="inlineStr"/>
      <c r="F5053" s="12" t="inlineStr">
        <is>
          <t>SC-2 PCM + 15 kV GCB</t>
        </is>
      </c>
      <c r="G5053" s="12" t="inlineStr">
        <is>
          <t>JB-SC-2 CEMS shelter-AI01</t>
        </is>
      </c>
      <c r="H5053" s="12" t="inlineStr">
        <is>
          <t>SC-2 CEMS shelter</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Duct bank</t>
        </is>
      </c>
      <c r="T5053" s="15" t="n">
        <v>74</v>
      </c>
      <c r="U5053" s="15" t="n">
        <v>112</v>
      </c>
      <c r="V5053" s="15">
        <f>ROUNDUP((T5053+U5053+2*'Read Me'!$B$13)*(1+'Read Me'!$B$12),-1)</f>
        <v/>
      </c>
      <c r="W5053" s="15">
        <f>V5053*N5053*O5053</f>
        <v/>
      </c>
      <c r="X5053" s="12">
        <f>IF(LEFT(I5053,2)="MV",2*N5053*IF(L5053="1/C",O5053,1),0)</f>
        <v/>
      </c>
      <c r="Y5053" s="12">
        <f>IF(OR(LEFT(K5053,4)="LVAX",LEFT(K5053,6)="MV15AX",LEFT(K5053,4)="CTAX",LEFT(K5053,2)="W|"),2*N5053*O5053,0)</f>
        <v/>
      </c>
      <c r="Z5053" s="12" t="inlineStr"/>
      <c r="AA5053" s="12">
        <f>N5053*O5053</f>
        <v/>
      </c>
    </row>
    <row r="5054">
      <c r="A5054" s="12" t="inlineStr">
        <is>
          <t>I-I-0452</t>
        </is>
      </c>
      <c r="B5054" s="12" t="inlineStr">
        <is>
          <t>I</t>
        </is>
      </c>
      <c r="C5054" s="12" t="inlineStr">
        <is>
          <t>Modular / portable power</t>
        </is>
      </c>
      <c r="D5054" s="12" t="inlineStr">
        <is>
          <t>Discrete device to JB JB-SC-2 CEMS shelter-DI01: 10 x 1 pr (field cables)</t>
        </is>
      </c>
      <c r="E5054" s="12" t="inlineStr"/>
      <c r="F5054" s="12" t="inlineStr">
        <is>
          <t>SC-2 CEMS shelter</t>
        </is>
      </c>
      <c r="G5054" s="12" t="inlineStr">
        <is>
          <t>JB-SC-2 CEMS shelter-DI01</t>
        </is>
      </c>
      <c r="H5054" s="12" t="inlineStr">
        <is>
          <t>SC-2 CEMS shelter</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10</v>
      </c>
      <c r="O5054" s="12" t="n">
        <v>1</v>
      </c>
      <c r="P5054" s="12" t="n"/>
      <c r="Q5054" s="12" t="n"/>
      <c r="R5054" s="12" t="n"/>
      <c r="S5054" s="12" t="inlineStr">
        <is>
          <t>Tray / conduit</t>
        </is>
      </c>
      <c r="T5054" s="15" t="n">
        <v>57</v>
      </c>
      <c r="U5054" s="15" t="n">
        <v>10</v>
      </c>
      <c r="V5054" s="15">
        <f>ROUNDUP((T5054+U5054+2*'Read Me'!$B$13)*(1+'Read Me'!$B$12),-1)</f>
        <v/>
      </c>
      <c r="W5054" s="15">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I-I-0453</t>
        </is>
      </c>
      <c r="B5055" s="12" t="inlineStr">
        <is>
          <t>I</t>
        </is>
      </c>
      <c r="C5055" s="12" t="inlineStr">
        <is>
          <t>Modular / portable power</t>
        </is>
      </c>
      <c r="D5055" s="12" t="inlineStr">
        <is>
          <t>Home run JB-SC-2 CEMS shelter-DI01 to the control / marshalling room</t>
        </is>
      </c>
      <c r="E5055" s="12" t="inlineStr"/>
      <c r="F5055" s="12" t="inlineStr">
        <is>
          <t>SC-2 PCM + 15 kV GCB</t>
        </is>
      </c>
      <c r="G5055" s="12" t="inlineStr">
        <is>
          <t>JB-SC-2 CEMS shelter-DI01</t>
        </is>
      </c>
      <c r="H5055" s="12" t="inlineStr">
        <is>
          <t>SC-2 CEMS shelter</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5" t="n">
        <v>74</v>
      </c>
      <c r="U5055" s="15" t="n">
        <v>112</v>
      </c>
      <c r="V5055" s="15">
        <f>ROUNDUP((T5055+U5055+2*'Read Me'!$B$13)*(1+'Read Me'!$B$12),-1)</f>
        <v/>
      </c>
      <c r="W5055" s="15">
        <f>V5055*N5055*O5055</f>
        <v/>
      </c>
      <c r="X5055" s="12">
        <f>IF(LEFT(I5055,2)="MV",2*N5055*IF(L5055="1/C",O5055,1),0)</f>
        <v/>
      </c>
      <c r="Y5055" s="12">
        <f>IF(OR(LEFT(K5055,4)="LVAX",LEFT(K5055,6)="MV15AX",LEFT(K5055,4)="CTAX",LEFT(K5055,2)="W|"),2*N5055*O5055,0)</f>
        <v/>
      </c>
      <c r="Z5055" s="12" t="inlineStr"/>
      <c r="AA5055" s="12">
        <f>N5055*O5055</f>
        <v/>
      </c>
    </row>
    <row r="5056">
      <c r="A5056" s="12" t="inlineStr">
        <is>
          <t>I-I-0454</t>
        </is>
      </c>
      <c r="B5056" s="12" t="inlineStr">
        <is>
          <t>I</t>
        </is>
      </c>
      <c r="C5056" s="12" t="inlineStr">
        <is>
          <t>Modular / portable power</t>
        </is>
      </c>
      <c r="D5056" s="12" t="inlineStr">
        <is>
          <t>Analog instrument to JB JB-SC-2 SCR / CO cata-AI01: 16 x 1 pr (field cables)</t>
        </is>
      </c>
      <c r="E5056" s="12" t="inlineStr"/>
      <c r="F5056" s="12" t="inlineStr">
        <is>
          <t>SC-2 SCR / CO catalyst</t>
        </is>
      </c>
      <c r="G5056" s="12" t="inlineStr">
        <is>
          <t>JB-SC-2 SCR / CO cata-AI01</t>
        </is>
      </c>
      <c r="H5056" s="12" t="inlineStr">
        <is>
          <t>SC-2 SCR / CO catalyst</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16</v>
      </c>
      <c r="O5056" s="12" t="n">
        <v>1</v>
      </c>
      <c r="P5056" s="12" t="n"/>
      <c r="Q5056" s="12" t="n"/>
      <c r="R5056" s="12" t="n"/>
      <c r="S5056" s="12" t="inlineStr">
        <is>
          <t>Tray / conduit</t>
        </is>
      </c>
      <c r="T5056" s="15" t="n">
        <v>74</v>
      </c>
      <c r="U5056" s="15" t="n">
        <v>10</v>
      </c>
      <c r="V5056" s="15">
        <f>ROUNDUP((T5056+U5056+2*'Read Me'!$B$13)*(1+'Read Me'!$B$12),-1)</f>
        <v/>
      </c>
      <c r="W5056" s="15">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I-I-0455</t>
        </is>
      </c>
      <c r="B5057" s="12" t="inlineStr">
        <is>
          <t>I</t>
        </is>
      </c>
      <c r="C5057" s="12" t="inlineStr">
        <is>
          <t>Modular / portable power</t>
        </is>
      </c>
      <c r="D5057" s="12" t="inlineStr">
        <is>
          <t>Home run JB-SC-2 SCR / CO cata-AI01 to the control / marshalling room</t>
        </is>
      </c>
      <c r="E5057" s="12" t="inlineStr"/>
      <c r="F5057" s="12" t="inlineStr">
        <is>
          <t>SC-2 PCM + 15 kV GCB</t>
        </is>
      </c>
      <c r="G5057" s="12" t="inlineStr">
        <is>
          <t>JB-SC-2 SCR / CO cata-AI01</t>
        </is>
      </c>
      <c r="H5057" s="12" t="inlineStr">
        <is>
          <t>SC-2 SCR / CO catalyst</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5" t="n">
        <v>48</v>
      </c>
      <c r="U5057" s="15" t="n">
        <v>64</v>
      </c>
      <c r="V5057" s="15">
        <f>ROUNDUP((T5057+U5057+2*'Read Me'!$B$13)*(1+'Read Me'!$B$12),-1)</f>
        <v/>
      </c>
      <c r="W5057" s="15">
        <f>V5057*N5057*O5057</f>
        <v/>
      </c>
      <c r="X5057" s="12">
        <f>IF(LEFT(I5057,2)="MV",2*N5057*IF(L5057="1/C",O5057,1),0)</f>
        <v/>
      </c>
      <c r="Y5057" s="12">
        <f>IF(OR(LEFT(K5057,4)="LVAX",LEFT(K5057,6)="MV15AX",LEFT(K5057,4)="CTAX",LEFT(K5057,2)="W|"),2*N5057*O5057,0)</f>
        <v/>
      </c>
      <c r="Z5057" s="12" t="inlineStr"/>
      <c r="AA5057" s="12">
        <f>N5057*O5057</f>
        <v/>
      </c>
    </row>
    <row r="5058">
      <c r="A5058" s="12" t="inlineStr">
        <is>
          <t>I-I-0456</t>
        </is>
      </c>
      <c r="B5058" s="12" t="inlineStr">
        <is>
          <t>I</t>
        </is>
      </c>
      <c r="C5058" s="12" t="inlineStr">
        <is>
          <t>Modular / portable power</t>
        </is>
      </c>
      <c r="D5058" s="12" t="inlineStr">
        <is>
          <t>Discrete device to JB JB-SC-2 SCR / CO cata-DI01: 8 x 1 pr (field cables)</t>
        </is>
      </c>
      <c r="E5058" s="12" t="inlineStr"/>
      <c r="F5058" s="12" t="inlineStr">
        <is>
          <t>SC-2 SCR / CO catalyst</t>
        </is>
      </c>
      <c r="G5058" s="12" t="inlineStr">
        <is>
          <t>JB-SC-2 SCR / CO cata-DI01</t>
        </is>
      </c>
      <c r="H5058" s="12" t="inlineStr">
        <is>
          <t>SC-2 SCR / CO catalyst</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8</v>
      </c>
      <c r="O5058" s="12" t="n">
        <v>1</v>
      </c>
      <c r="P5058" s="12" t="n"/>
      <c r="Q5058" s="12" t="n"/>
      <c r="R5058" s="12" t="n"/>
      <c r="S5058" s="12" t="inlineStr">
        <is>
          <t>Tray / conduit</t>
        </is>
      </c>
      <c r="T5058" s="15" t="n">
        <v>74</v>
      </c>
      <c r="U5058" s="15" t="n">
        <v>10</v>
      </c>
      <c r="V5058" s="15">
        <f>ROUNDUP((T5058+U5058+2*'Read Me'!$B$13)*(1+'Read Me'!$B$12),-1)</f>
        <v/>
      </c>
      <c r="W5058" s="15">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I-I-0457</t>
        </is>
      </c>
      <c r="B5059" s="12" t="inlineStr">
        <is>
          <t>I</t>
        </is>
      </c>
      <c r="C5059" s="12" t="inlineStr">
        <is>
          <t>Modular / portable power</t>
        </is>
      </c>
      <c r="D5059" s="12" t="inlineStr">
        <is>
          <t>Home run JB-SC-2 SCR / CO cata-DI01 to the control / marshalling room</t>
        </is>
      </c>
      <c r="E5059" s="12" t="inlineStr"/>
      <c r="F5059" s="12" t="inlineStr">
        <is>
          <t>SC-2 PCM + 15 kV GCB</t>
        </is>
      </c>
      <c r="G5059" s="12" t="inlineStr">
        <is>
          <t>JB-SC-2 SCR / CO cata-DI01</t>
        </is>
      </c>
      <c r="H5059" s="12" t="inlineStr">
        <is>
          <t>SC-2 SCR / CO catalyst</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5" t="n">
        <v>48</v>
      </c>
      <c r="U5059" s="15" t="n">
        <v>64</v>
      </c>
      <c r="V5059" s="15">
        <f>ROUNDUP((T5059+U5059+2*'Read Me'!$B$13)*(1+'Read Me'!$B$12),-1)</f>
        <v/>
      </c>
      <c r="W5059" s="15">
        <f>V5059*N5059*O5059</f>
        <v/>
      </c>
      <c r="X5059" s="12">
        <f>IF(LEFT(I5059,2)="MV",2*N5059*IF(L5059="1/C",O5059,1),0)</f>
        <v/>
      </c>
      <c r="Y5059" s="12">
        <f>IF(OR(LEFT(K5059,4)="LVAX",LEFT(K5059,6)="MV15AX",LEFT(K5059,4)="CTAX",LEFT(K5059,2)="W|"),2*N5059*O5059,0)</f>
        <v/>
      </c>
      <c r="Z5059" s="12" t="inlineStr"/>
      <c r="AA5059" s="12">
        <f>N5059*O5059</f>
        <v/>
      </c>
    </row>
    <row r="5060">
      <c r="A5060" s="12" t="inlineStr">
        <is>
          <t>I-I-0458</t>
        </is>
      </c>
      <c r="B5060" s="12" t="inlineStr">
        <is>
          <t>I</t>
        </is>
      </c>
      <c r="C5060" s="12" t="inlineStr">
        <is>
          <t>Modular / portable power</t>
        </is>
      </c>
      <c r="D5060" s="12" t="inlineStr">
        <is>
          <t>Analog instrument to JB JB-SC-2 ammonia flow--AI01: 8 x 1 pr (field cables)</t>
        </is>
      </c>
      <c r="E5060" s="12" t="inlineStr"/>
      <c r="F5060" s="12" t="inlineStr">
        <is>
          <t>SC-2 ammonia flow-control unit</t>
        </is>
      </c>
      <c r="G5060" s="12" t="inlineStr">
        <is>
          <t>JB-SC-2 ammonia flow--AI01</t>
        </is>
      </c>
      <c r="H5060" s="12" t="inlineStr">
        <is>
          <t>SC-2 ammonia flow-control unit</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8</v>
      </c>
      <c r="O5060" s="12" t="n">
        <v>1</v>
      </c>
      <c r="P5060" s="12" t="n"/>
      <c r="Q5060" s="12" t="n"/>
      <c r="R5060" s="12" t="n"/>
      <c r="S5060" s="12" t="inlineStr">
        <is>
          <t>Tray / conduit</t>
        </is>
      </c>
      <c r="T5060" s="15" t="n">
        <v>40</v>
      </c>
      <c r="U5060" s="15" t="n">
        <v>10</v>
      </c>
      <c r="V5060" s="15">
        <f>ROUNDUP((T5060+U5060+2*'Read Me'!$B$13)*(1+'Read Me'!$B$12),-1)</f>
        <v/>
      </c>
      <c r="W5060" s="15">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I-I-0459</t>
        </is>
      </c>
      <c r="B5061" s="12" t="inlineStr">
        <is>
          <t>I</t>
        </is>
      </c>
      <c r="C5061" s="12" t="inlineStr">
        <is>
          <t>Modular / portable power</t>
        </is>
      </c>
      <c r="D5061" s="12" t="inlineStr">
        <is>
          <t>Home run JB-SC-2 ammonia flow--AI01 to the control / marshalling room</t>
        </is>
      </c>
      <c r="E5061" s="12" t="inlineStr"/>
      <c r="F5061" s="12" t="inlineStr">
        <is>
          <t>SC-2 PCM + 15 kV GCB</t>
        </is>
      </c>
      <c r="G5061" s="12" t="inlineStr">
        <is>
          <t>JB-SC-2 ammonia flow--AI01</t>
        </is>
      </c>
      <c r="H5061" s="12" t="inlineStr">
        <is>
          <t>SC-2 ammonia flow-control unit</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Duct bank</t>
        </is>
      </c>
      <c r="T5061" s="15" t="n">
        <v>48</v>
      </c>
      <c r="U5061" s="15" t="n">
        <v>62</v>
      </c>
      <c r="V5061" s="15">
        <f>ROUNDUP((T5061+U5061+2*'Read Me'!$B$13)*(1+'Read Me'!$B$12),-1)</f>
        <v/>
      </c>
      <c r="W5061" s="15">
        <f>V5061*N5061*O5061</f>
        <v/>
      </c>
      <c r="X5061" s="12">
        <f>IF(LEFT(I5061,2)="MV",2*N5061*IF(L5061="1/C",O5061,1),0)</f>
        <v/>
      </c>
      <c r="Y5061" s="12">
        <f>IF(OR(LEFT(K5061,4)="LVAX",LEFT(K5061,6)="MV15AX",LEFT(K5061,4)="CTAX",LEFT(K5061,2)="W|"),2*N5061*O5061,0)</f>
        <v/>
      </c>
      <c r="Z5061" s="12" t="inlineStr"/>
      <c r="AA5061" s="12">
        <f>N5061*O5061</f>
        <v/>
      </c>
    </row>
    <row r="5062">
      <c r="A5062" s="12" t="inlineStr">
        <is>
          <t>I-I-0460</t>
        </is>
      </c>
      <c r="B5062" s="12" t="inlineStr">
        <is>
          <t>I</t>
        </is>
      </c>
      <c r="C5062" s="12" t="inlineStr">
        <is>
          <t>Modular / portable power</t>
        </is>
      </c>
      <c r="D5062" s="12" t="inlineStr">
        <is>
          <t>Discrete device to JB JB-SC-2 ammonia flow--DI01: 8 x 1 pr (field cables)</t>
        </is>
      </c>
      <c r="E5062" s="12" t="inlineStr"/>
      <c r="F5062" s="12" t="inlineStr">
        <is>
          <t>SC-2 ammonia flow-control unit</t>
        </is>
      </c>
      <c r="G5062" s="12" t="inlineStr">
        <is>
          <t>JB-SC-2 ammonia flow--DI01</t>
        </is>
      </c>
      <c r="H5062" s="12" t="inlineStr">
        <is>
          <t>SC-2 ammonia flow-control unit</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8</v>
      </c>
      <c r="O5062" s="12" t="n">
        <v>1</v>
      </c>
      <c r="P5062" s="12" t="n"/>
      <c r="Q5062" s="12" t="n"/>
      <c r="R5062" s="12" t="n"/>
      <c r="S5062" s="12" t="inlineStr">
        <is>
          <t>Tray / conduit</t>
        </is>
      </c>
      <c r="T5062" s="15" t="n">
        <v>40</v>
      </c>
      <c r="U5062" s="15" t="n">
        <v>10</v>
      </c>
      <c r="V5062" s="15">
        <f>ROUNDUP((T5062+U5062+2*'Read Me'!$B$13)*(1+'Read Me'!$B$12),-1)</f>
        <v/>
      </c>
      <c r="W5062" s="15">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I-I-0461</t>
        </is>
      </c>
      <c r="B5063" s="12" t="inlineStr">
        <is>
          <t>I</t>
        </is>
      </c>
      <c r="C5063" s="12" t="inlineStr">
        <is>
          <t>Modular / portable power</t>
        </is>
      </c>
      <c r="D5063" s="12" t="inlineStr">
        <is>
          <t>Home run JB-SC-2 ammonia flow--DI01 to the control / marshalling room</t>
        </is>
      </c>
      <c r="E5063" s="12" t="inlineStr"/>
      <c r="F5063" s="12" t="inlineStr">
        <is>
          <t>SC-2 PCM + 15 kV GCB</t>
        </is>
      </c>
      <c r="G5063" s="12" t="inlineStr">
        <is>
          <t>JB-SC-2 ammonia flow--DI01</t>
        </is>
      </c>
      <c r="H5063" s="12" t="inlineStr">
        <is>
          <t>SC-2 ammonia flow-control unit</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Duct bank</t>
        </is>
      </c>
      <c r="T5063" s="15" t="n">
        <v>48</v>
      </c>
      <c r="U5063" s="15" t="n">
        <v>62</v>
      </c>
      <c r="V5063" s="15">
        <f>ROUNDUP((T5063+U5063+2*'Read Me'!$B$13)*(1+'Read Me'!$B$12),-1)</f>
        <v/>
      </c>
      <c r="W5063" s="15">
        <f>V5063*N5063*O5063</f>
        <v/>
      </c>
      <c r="X5063" s="12">
        <f>IF(LEFT(I5063,2)="MV",2*N5063*IF(L5063="1/C",O5063,1),0)</f>
        <v/>
      </c>
      <c r="Y5063" s="12">
        <f>IF(OR(LEFT(K5063,4)="LVAX",LEFT(K5063,6)="MV15AX",LEFT(K5063,4)="CTAX",LEFT(K5063,2)="W|"),2*N5063*O5063,0)</f>
        <v/>
      </c>
      <c r="Z5063" s="12" t="inlineStr"/>
      <c r="AA5063" s="12">
        <f>N5063*O5063</f>
        <v/>
      </c>
    </row>
    <row r="5064">
      <c r="A5064" s="12" t="inlineStr">
        <is>
          <t>I-I-0462</t>
        </is>
      </c>
      <c r="B5064" s="12" t="inlineStr">
        <is>
          <t>I</t>
        </is>
      </c>
      <c r="C5064" s="12" t="inlineStr">
        <is>
          <t>Modular / portable power</t>
        </is>
      </c>
      <c r="D5064" s="12" t="inlineStr">
        <is>
          <t>Analog instrument to JB JB-SC-2 auxiliary ski-AI01: 14 x 1 pr (field cables)</t>
        </is>
      </c>
      <c r="E5064" s="12" t="inlineStr"/>
      <c r="F5064" s="12" t="inlineStr">
        <is>
          <t>SC-2 auxiliary skids: fuel-gas module, water-wash skid</t>
        </is>
      </c>
      <c r="G5064" s="12" t="inlineStr">
        <is>
          <t>JB-SC-2 auxiliary ski-AI01</t>
        </is>
      </c>
      <c r="H5064" s="12" t="inlineStr">
        <is>
          <t>SC-2 auxiliary skids: fuel-gas module, water-wash skid</t>
        </is>
      </c>
      <c r="I5064" s="12" t="inlineStr">
        <is>
          <t>Instrumentation</t>
        </is>
      </c>
      <c r="J5064" s="12" t="inlineStr">
        <is>
          <t>Instrumentation ITC / PLTC, IS, #18 shielded pairs, blue jacket</t>
        </is>
      </c>
      <c r="K5064" s="12" t="inlineStr">
        <is>
          <t>ITC|1 pr|16</t>
        </is>
      </c>
      <c r="L5064" s="12" t="inlineStr">
        <is>
          <t>1 pr</t>
        </is>
      </c>
      <c r="M5064" s="12" t="inlineStr">
        <is>
          <t>16</t>
        </is>
      </c>
      <c r="N5064" s="12" t="n">
        <v>14</v>
      </c>
      <c r="O5064" s="12" t="n">
        <v>1</v>
      </c>
      <c r="P5064" s="12" t="n"/>
      <c r="Q5064" s="12" t="n"/>
      <c r="R5064" s="12" t="n"/>
      <c r="S5064" s="12" t="inlineStr">
        <is>
          <t>Tray / conduit</t>
        </is>
      </c>
      <c r="T5064" s="15" t="n">
        <v>63</v>
      </c>
      <c r="U5064" s="15" t="n">
        <v>10</v>
      </c>
      <c r="V5064" s="15">
        <f>ROUNDUP((T5064+U5064+2*'Read Me'!$B$13)*(1+'Read Me'!$B$12),-1)</f>
        <v/>
      </c>
      <c r="W5064" s="15">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I-I-0463</t>
        </is>
      </c>
      <c r="B5065" s="12" t="inlineStr">
        <is>
          <t>I</t>
        </is>
      </c>
      <c r="C5065" s="12" t="inlineStr">
        <is>
          <t>Modular / portable power</t>
        </is>
      </c>
      <c r="D5065" s="12" t="inlineStr">
        <is>
          <t>Home run JB-SC-2 auxiliary ski-AI01 to the control / marshalling room</t>
        </is>
      </c>
      <c r="E5065" s="12" t="inlineStr"/>
      <c r="F5065" s="12" t="inlineStr">
        <is>
          <t>SC-2 PCM + 15 kV GCB</t>
        </is>
      </c>
      <c r="G5065" s="12" t="inlineStr">
        <is>
          <t>JB-SC-2 auxiliary ski-AI01</t>
        </is>
      </c>
      <c r="H5065" s="12" t="inlineStr">
        <is>
          <t>SC-2 auxiliary skids: fuel-gas module, water-wash skid</t>
        </is>
      </c>
      <c r="I5065" s="12" t="inlineStr">
        <is>
          <t>Instrumentation</t>
        </is>
      </c>
      <c r="J5065" s="12" t="inlineStr">
        <is>
          <t>Instrumentation ITC / PLTC, IS, #18 shielded pairs, blue jacket</t>
        </is>
      </c>
      <c r="K5065" s="12" t="inlineStr">
        <is>
          <t>ITC|24 pr|18</t>
        </is>
      </c>
      <c r="L5065" s="12" t="inlineStr">
        <is>
          <t>24 pr</t>
        </is>
      </c>
      <c r="M5065" s="12" t="inlineStr">
        <is>
          <t>18</t>
        </is>
      </c>
      <c r="N5065" s="12" t="n">
        <v>1</v>
      </c>
      <c r="O5065" s="12" t="n">
        <v>1</v>
      </c>
      <c r="P5065" s="12" t="n"/>
      <c r="Q5065" s="12" t="n"/>
      <c r="R5065" s="12" t="n"/>
      <c r="S5065" s="12" t="inlineStr">
        <is>
          <t>Duct bank</t>
        </is>
      </c>
      <c r="T5065" s="15" t="n">
        <v>10</v>
      </c>
      <c r="U5065" s="15" t="n">
        <v>43</v>
      </c>
      <c r="V5065" s="15">
        <f>ROUNDUP((T5065+U5065+2*'Read Me'!$B$13)*(1+'Read Me'!$B$12),-1)</f>
        <v/>
      </c>
      <c r="W5065" s="15">
        <f>V5065*N5065*O5065</f>
        <v/>
      </c>
      <c r="X5065" s="12">
        <f>IF(LEFT(I5065,2)="MV",2*N5065*IF(L5065="1/C",O5065,1),0)</f>
        <v/>
      </c>
      <c r="Y5065" s="12">
        <f>IF(OR(LEFT(K5065,4)="LVAX",LEFT(K5065,6)="MV15AX",LEFT(K5065,4)="CTAX",LEFT(K5065,2)="W|"),2*N5065*O5065,0)</f>
        <v/>
      </c>
      <c r="Z5065" s="12" t="inlineStr"/>
      <c r="AA5065" s="12">
        <f>N5065*O5065</f>
        <v/>
      </c>
    </row>
    <row r="5066">
      <c r="A5066" s="12" t="inlineStr">
        <is>
          <t>I-I-0464</t>
        </is>
      </c>
      <c r="B5066" s="12" t="inlineStr">
        <is>
          <t>I</t>
        </is>
      </c>
      <c r="C5066" s="12" t="inlineStr">
        <is>
          <t>Modular / portable power</t>
        </is>
      </c>
      <c r="D5066" s="12" t="inlineStr">
        <is>
          <t>Discrete device to JB JB-SC-2 auxiliary ski-DI01: 12 x 1 pr (field cables)</t>
        </is>
      </c>
      <c r="E5066" s="12" t="inlineStr"/>
      <c r="F5066" s="12" t="inlineStr">
        <is>
          <t>SC-2 auxiliary skids: fuel-gas module, water-wash skid</t>
        </is>
      </c>
      <c r="G5066" s="12" t="inlineStr">
        <is>
          <t>JB-SC-2 auxiliary ski-DI01</t>
        </is>
      </c>
      <c r="H5066" s="12" t="inlineStr">
        <is>
          <t>SC-2 auxiliary skids: fuel-gas module, water-wash skid</t>
        </is>
      </c>
      <c r="I5066" s="12" t="inlineStr">
        <is>
          <t>Instrumentation</t>
        </is>
      </c>
      <c r="J5066" s="12" t="inlineStr">
        <is>
          <t>Instrumentation ITC / PLTC, IS, #18 shielded pairs, blue jacket</t>
        </is>
      </c>
      <c r="K5066" s="12" t="inlineStr">
        <is>
          <t>ITC|1 pr|16</t>
        </is>
      </c>
      <c r="L5066" s="12" t="inlineStr">
        <is>
          <t>1 pr</t>
        </is>
      </c>
      <c r="M5066" s="12" t="inlineStr">
        <is>
          <t>16</t>
        </is>
      </c>
      <c r="N5066" s="12" t="n">
        <v>12</v>
      </c>
      <c r="O5066" s="12" t="n">
        <v>1</v>
      </c>
      <c r="P5066" s="12" t="n"/>
      <c r="Q5066" s="12" t="n"/>
      <c r="R5066" s="12" t="n"/>
      <c r="S5066" s="12" t="inlineStr">
        <is>
          <t>Tray / conduit</t>
        </is>
      </c>
      <c r="T5066" s="15" t="n">
        <v>63</v>
      </c>
      <c r="U5066" s="15" t="n">
        <v>10</v>
      </c>
      <c r="V5066" s="15">
        <f>ROUNDUP((T5066+U5066+2*'Read Me'!$B$13)*(1+'Read Me'!$B$12),-1)</f>
        <v/>
      </c>
      <c r="W5066" s="15">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I-I-0465</t>
        </is>
      </c>
      <c r="B5067" s="12" t="inlineStr">
        <is>
          <t>I</t>
        </is>
      </c>
      <c r="C5067" s="12" t="inlineStr">
        <is>
          <t>Modular / portable power</t>
        </is>
      </c>
      <c r="D5067" s="12" t="inlineStr">
        <is>
          <t>Home run JB-SC-2 auxiliary ski-DI01 to the control / marshalling room</t>
        </is>
      </c>
      <c r="E5067" s="12" t="inlineStr"/>
      <c r="F5067" s="12" t="inlineStr">
        <is>
          <t>SC-2 PCM + 15 kV GCB</t>
        </is>
      </c>
      <c r="G5067" s="12" t="inlineStr">
        <is>
          <t>JB-SC-2 auxiliary ski-DI01</t>
        </is>
      </c>
      <c r="H5067" s="12" t="inlineStr">
        <is>
          <t>SC-2 auxiliary skids: fuel-gas module, water-wash skid</t>
        </is>
      </c>
      <c r="I5067" s="12" t="inlineStr">
        <is>
          <t>Instrumentation</t>
        </is>
      </c>
      <c r="J5067" s="12" t="inlineStr">
        <is>
          <t>Instrumentation ITC / PLTC, IS, #18 shielded pairs, blue jacket</t>
        </is>
      </c>
      <c r="K5067" s="12" t="inlineStr">
        <is>
          <t>ITC|24 pr|18</t>
        </is>
      </c>
      <c r="L5067" s="12" t="inlineStr">
        <is>
          <t>24 pr</t>
        </is>
      </c>
      <c r="M5067" s="12" t="inlineStr">
        <is>
          <t>18</t>
        </is>
      </c>
      <c r="N5067" s="12" t="n">
        <v>1</v>
      </c>
      <c r="O5067" s="12" t="n">
        <v>1</v>
      </c>
      <c r="P5067" s="12" t="n"/>
      <c r="Q5067" s="12" t="n"/>
      <c r="R5067" s="12" t="n"/>
      <c r="S5067" s="12" t="inlineStr">
        <is>
          <t>Duct bank</t>
        </is>
      </c>
      <c r="T5067" s="15" t="n">
        <v>10</v>
      </c>
      <c r="U5067" s="15" t="n">
        <v>43</v>
      </c>
      <c r="V5067" s="15">
        <f>ROUNDUP((T5067+U5067+2*'Read Me'!$B$13)*(1+'Read Me'!$B$12),-1)</f>
        <v/>
      </c>
      <c r="W5067" s="15">
        <f>V5067*N5067*O5067</f>
        <v/>
      </c>
      <c r="X5067" s="12">
        <f>IF(LEFT(I5067,2)="MV",2*N5067*IF(L5067="1/C",O5067,1),0)</f>
        <v/>
      </c>
      <c r="Y5067" s="12">
        <f>IF(OR(LEFT(K5067,4)="LVAX",LEFT(K5067,6)="MV15AX",LEFT(K5067,4)="CTAX",LEFT(K5067,2)="W|"),2*N5067*O5067,0)</f>
        <v/>
      </c>
      <c r="Z5067" s="12" t="inlineStr"/>
      <c r="AA5067" s="12">
        <f>N5067*O5067</f>
        <v/>
      </c>
    </row>
    <row r="5068">
      <c r="A5068" s="12" t="inlineStr">
        <is>
          <t>I-I-0466</t>
        </is>
      </c>
      <c r="B5068" s="12" t="inlineStr">
        <is>
          <t>I</t>
        </is>
      </c>
      <c r="C5068" s="12" t="inlineStr">
        <is>
          <t>Modular / portable power</t>
        </is>
      </c>
      <c r="D5068" s="12" t="inlineStr">
        <is>
          <t>Analog instrument to JB JB-SC-2 lube-oil fin--AI01: 4 x 1 pr (field cables)</t>
        </is>
      </c>
      <c r="E5068" s="12" t="inlineStr"/>
      <c r="F5068" s="12" t="inlineStr">
        <is>
          <t>SC-2 lube-oil fin-fan cooler</t>
        </is>
      </c>
      <c r="G5068" s="12" t="inlineStr">
        <is>
          <t>JB-SC-2 lube-oil fin--AI01</t>
        </is>
      </c>
      <c r="H5068" s="12" t="inlineStr">
        <is>
          <t>SC-2 lube-oil fin-fan cooler</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4</v>
      </c>
      <c r="O5068" s="12" t="n">
        <v>1</v>
      </c>
      <c r="P5068" s="12" t="n"/>
      <c r="Q5068" s="12" t="n"/>
      <c r="R5068" s="12" t="n"/>
      <c r="S5068" s="12" t="inlineStr">
        <is>
          <t>Tray / conduit</t>
        </is>
      </c>
      <c r="T5068" s="15" t="n">
        <v>46</v>
      </c>
      <c r="U5068" s="15" t="n">
        <v>10</v>
      </c>
      <c r="V5068" s="15">
        <f>ROUNDUP((T5068+U5068+2*'Read Me'!$B$13)*(1+'Read Me'!$B$12),-1)</f>
        <v/>
      </c>
      <c r="W5068" s="15">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I-I-0467</t>
        </is>
      </c>
      <c r="B5069" s="12" t="inlineStr">
        <is>
          <t>I</t>
        </is>
      </c>
      <c r="C5069" s="12" t="inlineStr">
        <is>
          <t>Modular / portable power</t>
        </is>
      </c>
      <c r="D5069" s="12" t="inlineStr">
        <is>
          <t>Home run JB-SC-2 lube-oil fin--AI01 to the control / marshalling room</t>
        </is>
      </c>
      <c r="E5069" s="12" t="inlineStr"/>
      <c r="F5069" s="12" t="inlineStr">
        <is>
          <t>SC-2 PCM + 15 kV GCB</t>
        </is>
      </c>
      <c r="G5069" s="12" t="inlineStr">
        <is>
          <t>JB-SC-2 lube-oil fin--AI01</t>
        </is>
      </c>
      <c r="H5069" s="12" t="inlineStr">
        <is>
          <t>SC-2 lube-oil fin-fan cooler</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5" t="n">
        <v>4</v>
      </c>
      <c r="U5069" s="15" t="n">
        <v>38</v>
      </c>
      <c r="V5069" s="15">
        <f>ROUNDUP((T5069+U5069+2*'Read Me'!$B$13)*(1+'Read Me'!$B$12),-1)</f>
        <v/>
      </c>
      <c r="W5069" s="15">
        <f>V5069*N5069*O5069</f>
        <v/>
      </c>
      <c r="X5069" s="12">
        <f>IF(LEFT(I5069,2)="MV",2*N5069*IF(L5069="1/C",O5069,1),0)</f>
        <v/>
      </c>
      <c r="Y5069" s="12">
        <f>IF(OR(LEFT(K5069,4)="LVAX",LEFT(K5069,6)="MV15AX",LEFT(K5069,4)="CTAX",LEFT(K5069,2)="W|"),2*N5069*O5069,0)</f>
        <v/>
      </c>
      <c r="Z5069" s="12" t="inlineStr"/>
      <c r="AA5069" s="12">
        <f>N5069*O5069</f>
        <v/>
      </c>
    </row>
    <row r="5070">
      <c r="A5070" s="12" t="inlineStr">
        <is>
          <t>I-I-0468</t>
        </is>
      </c>
      <c r="B5070" s="12" t="inlineStr">
        <is>
          <t>I</t>
        </is>
      </c>
      <c r="C5070" s="12" t="inlineStr">
        <is>
          <t>Modular / portable power</t>
        </is>
      </c>
      <c r="D5070" s="12" t="inlineStr">
        <is>
          <t>Discrete device to JB JB-SC-2 lube-oil fin--DI01: 8 x 1 pr (field cables)</t>
        </is>
      </c>
      <c r="E5070" s="12" t="inlineStr"/>
      <c r="F5070" s="12" t="inlineStr">
        <is>
          <t>SC-2 lube-oil fin-fan cooler</t>
        </is>
      </c>
      <c r="G5070" s="12" t="inlineStr">
        <is>
          <t>JB-SC-2 lube-oil fin--DI01</t>
        </is>
      </c>
      <c r="H5070" s="12" t="inlineStr">
        <is>
          <t>SC-2 lube-oil fin-fan cooler</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8</v>
      </c>
      <c r="O5070" s="12" t="n">
        <v>1</v>
      </c>
      <c r="P5070" s="12" t="n"/>
      <c r="Q5070" s="12" t="n"/>
      <c r="R5070" s="12" t="n"/>
      <c r="S5070" s="12" t="inlineStr">
        <is>
          <t>Tray / conduit</t>
        </is>
      </c>
      <c r="T5070" s="15" t="n">
        <v>46</v>
      </c>
      <c r="U5070" s="15" t="n">
        <v>10</v>
      </c>
      <c r="V5070" s="15">
        <f>ROUNDUP((T5070+U5070+2*'Read Me'!$B$13)*(1+'Read Me'!$B$12),-1)</f>
        <v/>
      </c>
      <c r="W5070" s="15">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I-I-0469</t>
        </is>
      </c>
      <c r="B5071" s="12" t="inlineStr">
        <is>
          <t>I</t>
        </is>
      </c>
      <c r="C5071" s="12" t="inlineStr">
        <is>
          <t>Modular / portable power</t>
        </is>
      </c>
      <c r="D5071" s="12" t="inlineStr">
        <is>
          <t>Home run JB-SC-2 lube-oil fin--DI01 to the control / marshalling room</t>
        </is>
      </c>
      <c r="E5071" s="12" t="inlineStr"/>
      <c r="F5071" s="12" t="inlineStr">
        <is>
          <t>SC-2 PCM + 15 kV GCB</t>
        </is>
      </c>
      <c r="G5071" s="12" t="inlineStr">
        <is>
          <t>JB-SC-2 lube-oil fin--DI01</t>
        </is>
      </c>
      <c r="H5071" s="12" t="inlineStr">
        <is>
          <t>SC-2 lube-oil fin-fan cooler</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5" t="n">
        <v>4</v>
      </c>
      <c r="U5071" s="15" t="n">
        <v>38</v>
      </c>
      <c r="V5071" s="15">
        <f>ROUNDUP((T5071+U5071+2*'Read Me'!$B$13)*(1+'Read Me'!$B$12),-1)</f>
        <v/>
      </c>
      <c r="W5071" s="15">
        <f>V5071*N5071*O5071</f>
        <v/>
      </c>
      <c r="X5071" s="12">
        <f>IF(LEFT(I5071,2)="MV",2*N5071*IF(L5071="1/C",O5071,1),0)</f>
        <v/>
      </c>
      <c r="Y5071" s="12">
        <f>IF(OR(LEFT(K5071,4)="LVAX",LEFT(K5071,6)="MV15AX",LEFT(K5071,4)="CTAX",LEFT(K5071,2)="W|"),2*N5071*O5071,0)</f>
        <v/>
      </c>
      <c r="Z5071" s="12" t="inlineStr"/>
      <c r="AA5071" s="12">
        <f>N5071*O5071</f>
        <v/>
      </c>
    </row>
    <row r="5072">
      <c r="A5072" s="12" t="inlineStr">
        <is>
          <t>I-I-0470</t>
        </is>
      </c>
      <c r="B5072" s="12" t="inlineStr">
        <is>
          <t>I</t>
        </is>
      </c>
      <c r="C5072" s="12" t="inlineStr">
        <is>
          <t>Modular / portable power</t>
        </is>
      </c>
      <c r="D5072" s="12" t="inlineStr">
        <is>
          <t>Analog instrument to JB JB-SC-2 tempering-air-AI01: 8 x 1 pr (field cables)</t>
        </is>
      </c>
      <c r="E5072" s="12" t="inlineStr"/>
      <c r="F5072" s="12" t="inlineStr">
        <is>
          <t>SC-2 tempering-air fans (2 x 100 %)</t>
        </is>
      </c>
      <c r="G5072" s="12" t="inlineStr">
        <is>
          <t>JB-SC-2 tempering-air-AI01</t>
        </is>
      </c>
      <c r="H5072" s="12" t="inlineStr">
        <is>
          <t>SC-2 tempering-air fans (2 x 100 %)</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8</v>
      </c>
      <c r="O5072" s="12" t="n">
        <v>1</v>
      </c>
      <c r="P5072" s="12" t="n"/>
      <c r="Q5072" s="12" t="n"/>
      <c r="R5072" s="12" t="n"/>
      <c r="S5072" s="12" t="inlineStr">
        <is>
          <t>Tray / conduit</t>
        </is>
      </c>
      <c r="T5072" s="15" t="n">
        <v>53</v>
      </c>
      <c r="U5072" s="15" t="n">
        <v>10</v>
      </c>
      <c r="V5072" s="15">
        <f>ROUNDUP((T5072+U5072+2*'Read Me'!$B$13)*(1+'Read Me'!$B$12),-1)</f>
        <v/>
      </c>
      <c r="W5072" s="15">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I-I-0471</t>
        </is>
      </c>
      <c r="B5073" s="12" t="inlineStr">
        <is>
          <t>I</t>
        </is>
      </c>
      <c r="C5073" s="12" t="inlineStr">
        <is>
          <t>Modular / portable power</t>
        </is>
      </c>
      <c r="D5073" s="12" t="inlineStr">
        <is>
          <t>Home run JB-SC-2 tempering-air-AI01 to the control / marshalling room</t>
        </is>
      </c>
      <c r="E5073" s="12" t="inlineStr"/>
      <c r="F5073" s="12" t="inlineStr">
        <is>
          <t>SC-2 PCM + 15 kV GCB</t>
        </is>
      </c>
      <c r="G5073" s="12" t="inlineStr">
        <is>
          <t>JB-SC-2 tempering-air-AI01</t>
        </is>
      </c>
      <c r="H5073" s="12" t="inlineStr">
        <is>
          <t>SC-2 tempering-air fans (2 x 100 %)</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5" t="n">
        <v>35</v>
      </c>
      <c r="U5073" s="15" t="n">
        <v>79</v>
      </c>
      <c r="V5073" s="15">
        <f>ROUNDUP((T5073+U5073+2*'Read Me'!$B$13)*(1+'Read Me'!$B$12),-1)</f>
        <v/>
      </c>
      <c r="W5073" s="15">
        <f>V5073*N5073*O5073</f>
        <v/>
      </c>
      <c r="X5073" s="12">
        <f>IF(LEFT(I5073,2)="MV",2*N5073*IF(L5073="1/C",O5073,1),0)</f>
        <v/>
      </c>
      <c r="Y5073" s="12">
        <f>IF(OR(LEFT(K5073,4)="LVAX",LEFT(K5073,6)="MV15AX",LEFT(K5073,4)="CTAX",LEFT(K5073,2)="W|"),2*N5073*O5073,0)</f>
        <v/>
      </c>
      <c r="Z5073" s="12" t="inlineStr"/>
      <c r="AA5073" s="12">
        <f>N5073*O5073</f>
        <v/>
      </c>
    </row>
    <row r="5074">
      <c r="A5074" s="12" t="inlineStr">
        <is>
          <t>I-I-0472</t>
        </is>
      </c>
      <c r="B5074" s="12" t="inlineStr">
        <is>
          <t>I</t>
        </is>
      </c>
      <c r="C5074" s="12" t="inlineStr">
        <is>
          <t>Modular / portable power</t>
        </is>
      </c>
      <c r="D5074" s="12" t="inlineStr">
        <is>
          <t>Discrete device to JB JB-SC-2 tempering-air-DI01: 8 x 1 pr (field cables)</t>
        </is>
      </c>
      <c r="E5074" s="12" t="inlineStr"/>
      <c r="F5074" s="12" t="inlineStr">
        <is>
          <t>SC-2 tempering-air fans (2 x 100 %)</t>
        </is>
      </c>
      <c r="G5074" s="12" t="inlineStr">
        <is>
          <t>JB-SC-2 tempering-air-DI01</t>
        </is>
      </c>
      <c r="H5074" s="12" t="inlineStr">
        <is>
          <t>SC-2 tempering-air fans (2 x 100 %)</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8</v>
      </c>
      <c r="O5074" s="12" t="n">
        <v>1</v>
      </c>
      <c r="P5074" s="12" t="n"/>
      <c r="Q5074" s="12" t="n"/>
      <c r="R5074" s="12" t="n"/>
      <c r="S5074" s="12" t="inlineStr">
        <is>
          <t>Tray / conduit</t>
        </is>
      </c>
      <c r="T5074" s="15" t="n">
        <v>53</v>
      </c>
      <c r="U5074" s="15" t="n">
        <v>10</v>
      </c>
      <c r="V5074" s="15">
        <f>ROUNDUP((T5074+U5074+2*'Read Me'!$B$13)*(1+'Read Me'!$B$12),-1)</f>
        <v/>
      </c>
      <c r="W5074" s="15">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I-I-0473</t>
        </is>
      </c>
      <c r="B5075" s="12" t="inlineStr">
        <is>
          <t>I</t>
        </is>
      </c>
      <c r="C5075" s="12" t="inlineStr">
        <is>
          <t>Modular / portable power</t>
        </is>
      </c>
      <c r="D5075" s="12" t="inlineStr">
        <is>
          <t>Home run JB-SC-2 tempering-air-DI01 to the control / marshalling room</t>
        </is>
      </c>
      <c r="E5075" s="12" t="inlineStr"/>
      <c r="F5075" s="12" t="inlineStr">
        <is>
          <t>SC-2 PCM + 15 kV GCB</t>
        </is>
      </c>
      <c r="G5075" s="12" t="inlineStr">
        <is>
          <t>JB-SC-2 tempering-air-DI01</t>
        </is>
      </c>
      <c r="H5075" s="12" t="inlineStr">
        <is>
          <t>SC-2 tempering-air fans (2 x 100 %)</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5" t="n">
        <v>35</v>
      </c>
      <c r="U5075" s="15" t="n">
        <v>79</v>
      </c>
      <c r="V5075" s="15">
        <f>ROUNDUP((T5075+U5075+2*'Read Me'!$B$13)*(1+'Read Me'!$B$12),-1)</f>
        <v/>
      </c>
      <c r="W5075" s="15">
        <f>V5075*N5075*O5075</f>
        <v/>
      </c>
      <c r="X5075" s="12">
        <f>IF(LEFT(I5075,2)="MV",2*N5075*IF(L5075="1/C",O5075,1),0)</f>
        <v/>
      </c>
      <c r="Y5075" s="12">
        <f>IF(OR(LEFT(K5075,4)="LVAX",LEFT(K5075,6)="MV15AX",LEFT(K5075,4)="CTAX",LEFT(K5075,2)="W|"),2*N5075*O5075,0)</f>
        <v/>
      </c>
      <c r="Z5075" s="12" t="inlineStr"/>
      <c r="AA5075" s="12">
        <f>N5075*O5075</f>
        <v/>
      </c>
    </row>
    <row r="5076">
      <c r="A5076" s="12" t="inlineStr">
        <is>
          <t>I-I-0474</t>
        </is>
      </c>
      <c r="B5076" s="12" t="inlineStr">
        <is>
          <t>I</t>
        </is>
      </c>
      <c r="C5076" s="12" t="inlineStr">
        <is>
          <t>Modular / portable power</t>
        </is>
      </c>
      <c r="D5076" s="12" t="inlineStr">
        <is>
          <t>Analog instrument to JB JB-SC-2-AI01: 20 x 1 pr (field cables)</t>
        </is>
      </c>
      <c r="E5076" s="12" t="inlineStr">
        <is>
          <t>SC-2</t>
        </is>
      </c>
      <c r="F5076" s="12" t="inlineStr">
        <is>
          <t>SC-2: aeroderivative simple-cycle unit (LM6000 class)</t>
        </is>
      </c>
      <c r="G5076" s="12" t="inlineStr">
        <is>
          <t>JB-SC-2-AI01</t>
        </is>
      </c>
      <c r="H5076" s="12" t="inlineStr">
        <is>
          <t>SC-2: aeroderivative simple-cycle unit (LM6000 class)</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20</v>
      </c>
      <c r="O5076" s="12" t="n">
        <v>1</v>
      </c>
      <c r="P5076" s="12" t="n"/>
      <c r="Q5076" s="12" t="n"/>
      <c r="R5076" s="12" t="n"/>
      <c r="S5076" s="12" t="inlineStr">
        <is>
          <t>Tray / conduit</t>
        </is>
      </c>
      <c r="T5076" s="15" t="n">
        <v>99</v>
      </c>
      <c r="U5076" s="15" t="n">
        <v>10</v>
      </c>
      <c r="V5076" s="15">
        <f>ROUNDUP((T5076+U5076+2*'Read Me'!$B$13)*(1+'Read Me'!$B$12),-1)</f>
        <v/>
      </c>
      <c r="W5076" s="15">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I-I-0475</t>
        </is>
      </c>
      <c r="B5077" s="12" t="inlineStr">
        <is>
          <t>I</t>
        </is>
      </c>
      <c r="C5077" s="12" t="inlineStr">
        <is>
          <t>Modular / portable power</t>
        </is>
      </c>
      <c r="D5077" s="12" t="inlineStr">
        <is>
          <t>Home run JB-SC-2-AI01 to the control / marshalling room</t>
        </is>
      </c>
      <c r="E5077" s="12" t="inlineStr"/>
      <c r="F5077" s="12" t="inlineStr">
        <is>
          <t>SC-2 PCM + 15 kV GCB</t>
        </is>
      </c>
      <c r="G5077" s="12" t="inlineStr">
        <is>
          <t>JB-SC-2-AI01</t>
        </is>
      </c>
      <c r="H5077" s="12" t="inlineStr">
        <is>
          <t>SC-2: aeroderivative simple-cycle unit (LM6000 class)</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5" t="n">
        <v>35</v>
      </c>
      <c r="U5077" s="15" t="n">
        <v>32</v>
      </c>
      <c r="V5077" s="15">
        <f>ROUNDUP((T5077+U5077+2*'Read Me'!$B$13)*(1+'Read Me'!$B$12),-1)</f>
        <v/>
      </c>
      <c r="W5077" s="15">
        <f>V5077*N5077*O5077</f>
        <v/>
      </c>
      <c r="X5077" s="12">
        <f>IF(LEFT(I5077,2)="MV",2*N5077*IF(L5077="1/C",O5077,1),0)</f>
        <v/>
      </c>
      <c r="Y5077" s="12">
        <f>IF(OR(LEFT(K5077,4)="LVAX",LEFT(K5077,6)="MV15AX",LEFT(K5077,4)="CTAX",LEFT(K5077,2)="W|"),2*N5077*O5077,0)</f>
        <v/>
      </c>
      <c r="Z5077" s="12" t="inlineStr"/>
      <c r="AA5077" s="12">
        <f>N5077*O5077</f>
        <v/>
      </c>
    </row>
    <row r="5078">
      <c r="A5078" s="12" t="inlineStr">
        <is>
          <t>I-I-0476</t>
        </is>
      </c>
      <c r="B5078" s="12" t="inlineStr">
        <is>
          <t>I</t>
        </is>
      </c>
      <c r="C5078" s="12" t="inlineStr">
        <is>
          <t>Modular / portable power</t>
        </is>
      </c>
      <c r="D5078" s="12" t="inlineStr">
        <is>
          <t>Analog instrument to JB JB-SC-2-AI02: 20 x 1 pr (field cables)</t>
        </is>
      </c>
      <c r="E5078" s="12" t="inlineStr">
        <is>
          <t>SC-2</t>
        </is>
      </c>
      <c r="F5078" s="12" t="inlineStr">
        <is>
          <t>SC-2: aeroderivative simple-cycle unit (LM6000 class)</t>
        </is>
      </c>
      <c r="G5078" s="12" t="inlineStr">
        <is>
          <t>JB-SC-2-AI02</t>
        </is>
      </c>
      <c r="H5078" s="12" t="inlineStr">
        <is>
          <t>SC-2: aeroderivative simple-cycle unit (LM6000 class)</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20</v>
      </c>
      <c r="O5078" s="12" t="n">
        <v>1</v>
      </c>
      <c r="P5078" s="12" t="n"/>
      <c r="Q5078" s="12" t="n"/>
      <c r="R5078" s="12" t="n"/>
      <c r="S5078" s="12" t="inlineStr">
        <is>
          <t>Tray / conduit</t>
        </is>
      </c>
      <c r="T5078" s="15" t="n">
        <v>99</v>
      </c>
      <c r="U5078" s="15" t="n">
        <v>10</v>
      </c>
      <c r="V5078" s="15">
        <f>ROUNDUP((T5078+U5078+2*'Read Me'!$B$13)*(1+'Read Me'!$B$12),-1)</f>
        <v/>
      </c>
      <c r="W5078" s="15">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I-I-0477</t>
        </is>
      </c>
      <c r="B5079" s="12" t="inlineStr">
        <is>
          <t>I</t>
        </is>
      </c>
      <c r="C5079" s="12" t="inlineStr">
        <is>
          <t>Modular / portable power</t>
        </is>
      </c>
      <c r="D5079" s="12" t="inlineStr">
        <is>
          <t>Home run JB-SC-2-AI02 to the control / marshalling room</t>
        </is>
      </c>
      <c r="E5079" s="12" t="inlineStr"/>
      <c r="F5079" s="12" t="inlineStr">
        <is>
          <t>SC-2 PCM + 15 kV GCB</t>
        </is>
      </c>
      <c r="G5079" s="12" t="inlineStr">
        <is>
          <t>JB-SC-2-AI02</t>
        </is>
      </c>
      <c r="H5079" s="12" t="inlineStr">
        <is>
          <t>SC-2: aeroderivative simple-cycle unit (LM6000 class)</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5" t="n">
        <v>35</v>
      </c>
      <c r="U5079" s="15" t="n">
        <v>32</v>
      </c>
      <c r="V5079" s="15">
        <f>ROUNDUP((T5079+U5079+2*'Read Me'!$B$13)*(1+'Read Me'!$B$12),-1)</f>
        <v/>
      </c>
      <c r="W5079" s="15">
        <f>V5079*N5079*O5079</f>
        <v/>
      </c>
      <c r="X5079" s="12">
        <f>IF(LEFT(I5079,2)="MV",2*N5079*IF(L5079="1/C",O5079,1),0)</f>
        <v/>
      </c>
      <c r="Y5079" s="12">
        <f>IF(OR(LEFT(K5079,4)="LVAX",LEFT(K5079,6)="MV15AX",LEFT(K5079,4)="CTAX",LEFT(K5079,2)="W|"),2*N5079*O5079,0)</f>
        <v/>
      </c>
      <c r="Z5079" s="12" t="inlineStr"/>
      <c r="AA5079" s="12">
        <f>N5079*O5079</f>
        <v/>
      </c>
    </row>
    <row r="5080">
      <c r="A5080" s="12" t="inlineStr">
        <is>
          <t>I-I-0478</t>
        </is>
      </c>
      <c r="B5080" s="12" t="inlineStr">
        <is>
          <t>I</t>
        </is>
      </c>
      <c r="C5080" s="12" t="inlineStr">
        <is>
          <t>Modular / portable power</t>
        </is>
      </c>
      <c r="D5080" s="12" t="inlineStr">
        <is>
          <t>Analog instrument to JB JB-SC-2-AI03: 20 x 1 pr (field cables)</t>
        </is>
      </c>
      <c r="E5080" s="12" t="inlineStr">
        <is>
          <t>SC-2</t>
        </is>
      </c>
      <c r="F5080" s="12" t="inlineStr">
        <is>
          <t>SC-2: aeroderivative simple-cycle unit (LM6000 class)</t>
        </is>
      </c>
      <c r="G5080" s="12" t="inlineStr">
        <is>
          <t>JB-SC-2-AI03</t>
        </is>
      </c>
      <c r="H5080" s="12" t="inlineStr">
        <is>
          <t>SC-2: aeroderivative simple-cycle unit (LM6000 class)</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5" t="n">
        <v>99</v>
      </c>
      <c r="U5080" s="15" t="n">
        <v>10</v>
      </c>
      <c r="V5080" s="15">
        <f>ROUNDUP((T5080+U5080+2*'Read Me'!$B$13)*(1+'Read Me'!$B$12),-1)</f>
        <v/>
      </c>
      <c r="W5080" s="15">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I-I-0479</t>
        </is>
      </c>
      <c r="B5081" s="12" t="inlineStr">
        <is>
          <t>I</t>
        </is>
      </c>
      <c r="C5081" s="12" t="inlineStr">
        <is>
          <t>Modular / portable power</t>
        </is>
      </c>
      <c r="D5081" s="12" t="inlineStr">
        <is>
          <t>Home run JB-SC-2-AI03 to the control / marshalling room</t>
        </is>
      </c>
      <c r="E5081" s="12" t="inlineStr"/>
      <c r="F5081" s="12" t="inlineStr">
        <is>
          <t>SC-2 PCM + 15 kV GCB</t>
        </is>
      </c>
      <c r="G5081" s="12" t="inlineStr">
        <is>
          <t>JB-SC-2-AI03</t>
        </is>
      </c>
      <c r="H5081" s="12" t="inlineStr">
        <is>
          <t>SC-2: aeroderivative simple-cycle unit (LM6000 class)</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Duct bank</t>
        </is>
      </c>
      <c r="T5081" s="15" t="n">
        <v>35</v>
      </c>
      <c r="U5081" s="15" t="n">
        <v>32</v>
      </c>
      <c r="V5081" s="15">
        <f>ROUNDUP((T5081+U5081+2*'Read Me'!$B$13)*(1+'Read Me'!$B$12),-1)</f>
        <v/>
      </c>
      <c r="W5081" s="15">
        <f>V5081*N5081*O5081</f>
        <v/>
      </c>
      <c r="X5081" s="12">
        <f>IF(LEFT(I5081,2)="MV",2*N5081*IF(L5081="1/C",O5081,1),0)</f>
        <v/>
      </c>
      <c r="Y5081" s="12">
        <f>IF(OR(LEFT(K5081,4)="LVAX",LEFT(K5081,6)="MV15AX",LEFT(K5081,4)="CTAX",LEFT(K5081,2)="W|"),2*N5081*O5081,0)</f>
        <v/>
      </c>
      <c r="Z5081" s="12" t="inlineStr"/>
      <c r="AA5081" s="12">
        <f>N5081*O5081</f>
        <v/>
      </c>
    </row>
    <row r="5082">
      <c r="A5082" s="12" t="inlineStr">
        <is>
          <t>I-I-0480</t>
        </is>
      </c>
      <c r="B5082" s="12" t="inlineStr">
        <is>
          <t>I</t>
        </is>
      </c>
      <c r="C5082" s="12" t="inlineStr">
        <is>
          <t>Modular / portable power</t>
        </is>
      </c>
      <c r="D5082" s="12" t="inlineStr">
        <is>
          <t>Analog instrument to JB JB-SC-2-AI04: 20 x 1 pr (field cables)</t>
        </is>
      </c>
      <c r="E5082" s="12" t="inlineStr">
        <is>
          <t>SC-2</t>
        </is>
      </c>
      <c r="F5082" s="12" t="inlineStr">
        <is>
          <t>SC-2: aeroderivative simple-cycle unit (LM6000 class)</t>
        </is>
      </c>
      <c r="G5082" s="12" t="inlineStr">
        <is>
          <t>JB-SC-2-AI04</t>
        </is>
      </c>
      <c r="H5082" s="12" t="inlineStr">
        <is>
          <t>SC-2: aeroderivative simple-cycle unit (LM6000 class)</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5" t="n">
        <v>99</v>
      </c>
      <c r="U5082" s="15" t="n">
        <v>10</v>
      </c>
      <c r="V5082" s="15">
        <f>ROUNDUP((T5082+U5082+2*'Read Me'!$B$13)*(1+'Read Me'!$B$12),-1)</f>
        <v/>
      </c>
      <c r="W5082" s="15">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I-I-0481</t>
        </is>
      </c>
      <c r="B5083" s="12" t="inlineStr">
        <is>
          <t>I</t>
        </is>
      </c>
      <c r="C5083" s="12" t="inlineStr">
        <is>
          <t>Modular / portable power</t>
        </is>
      </c>
      <c r="D5083" s="12" t="inlineStr">
        <is>
          <t>Home run JB-SC-2-AI04 to the control / marshalling room</t>
        </is>
      </c>
      <c r="E5083" s="12" t="inlineStr"/>
      <c r="F5083" s="12" t="inlineStr">
        <is>
          <t>SC-2 PCM + 15 kV GCB</t>
        </is>
      </c>
      <c r="G5083" s="12" t="inlineStr">
        <is>
          <t>JB-SC-2-AI04</t>
        </is>
      </c>
      <c r="H5083" s="12" t="inlineStr">
        <is>
          <t>SC-2: aeroderivative simple-cycle unit (LM6000 class)</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Duct bank</t>
        </is>
      </c>
      <c r="T5083" s="15" t="n">
        <v>35</v>
      </c>
      <c r="U5083" s="15" t="n">
        <v>32</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I-I-0482</t>
        </is>
      </c>
      <c r="B5084" s="12" t="inlineStr">
        <is>
          <t>I</t>
        </is>
      </c>
      <c r="C5084" s="12" t="inlineStr">
        <is>
          <t>Modular / portable power</t>
        </is>
      </c>
      <c r="D5084" s="12" t="inlineStr">
        <is>
          <t>Analog instrument to JB JB-SC-2-AI05: 20 x 1 pr (field cables)</t>
        </is>
      </c>
      <c r="E5084" s="12" t="inlineStr">
        <is>
          <t>SC-2</t>
        </is>
      </c>
      <c r="F5084" s="12" t="inlineStr">
        <is>
          <t>SC-2: aeroderivative simple-cycle unit (LM6000 class)</t>
        </is>
      </c>
      <c r="G5084" s="12" t="inlineStr">
        <is>
          <t>JB-SC-2-AI05</t>
        </is>
      </c>
      <c r="H5084" s="12" t="inlineStr">
        <is>
          <t>SC-2: aeroderivative simple-cycle unit (LM6000 class)</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20</v>
      </c>
      <c r="O5084" s="12" t="n">
        <v>1</v>
      </c>
      <c r="P5084" s="12" t="n"/>
      <c r="Q5084" s="12" t="n"/>
      <c r="R5084" s="12" t="n"/>
      <c r="S5084" s="12" t="inlineStr">
        <is>
          <t>Tray / conduit</t>
        </is>
      </c>
      <c r="T5084" s="15" t="n">
        <v>99</v>
      </c>
      <c r="U5084" s="15" t="n">
        <v>10</v>
      </c>
      <c r="V5084" s="15">
        <f>ROUNDUP((T5084+U5084+2*'Read Me'!$B$13)*(1+'Read Me'!$B$12),-1)</f>
        <v/>
      </c>
      <c r="W5084" s="15">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I-I-0483</t>
        </is>
      </c>
      <c r="B5085" s="12" t="inlineStr">
        <is>
          <t>I</t>
        </is>
      </c>
      <c r="C5085" s="12" t="inlineStr">
        <is>
          <t>Modular / portable power</t>
        </is>
      </c>
      <c r="D5085" s="12" t="inlineStr">
        <is>
          <t>Home run JB-SC-2-AI05 to the control / marshalling room</t>
        </is>
      </c>
      <c r="E5085" s="12" t="inlineStr"/>
      <c r="F5085" s="12" t="inlineStr">
        <is>
          <t>SC-2 PCM + 15 kV GCB</t>
        </is>
      </c>
      <c r="G5085" s="12" t="inlineStr">
        <is>
          <t>JB-SC-2-AI05</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Duct bank</t>
        </is>
      </c>
      <c r="T5085" s="15" t="n">
        <v>35</v>
      </c>
      <c r="U5085" s="15" t="n">
        <v>32</v>
      </c>
      <c r="V5085" s="15">
        <f>ROUNDUP((T5085+U5085+2*'Read Me'!$B$13)*(1+'Read Me'!$B$12),-1)</f>
        <v/>
      </c>
      <c r="W5085" s="15">
        <f>V5085*N5085*O5085</f>
        <v/>
      </c>
      <c r="X5085" s="12">
        <f>IF(LEFT(I5085,2)="MV",2*N5085*IF(L5085="1/C",O5085,1),0)</f>
        <v/>
      </c>
      <c r="Y5085" s="12">
        <f>IF(OR(LEFT(K5085,4)="LVAX",LEFT(K5085,6)="MV15AX",LEFT(K5085,4)="CTAX",LEFT(K5085,2)="W|"),2*N5085*O5085,0)</f>
        <v/>
      </c>
      <c r="Z5085" s="12" t="inlineStr"/>
      <c r="AA5085" s="12">
        <f>N5085*O5085</f>
        <v/>
      </c>
    </row>
    <row r="5086">
      <c r="A5086" s="12" t="inlineStr">
        <is>
          <t>I-I-0484</t>
        </is>
      </c>
      <c r="B5086" s="12" t="inlineStr">
        <is>
          <t>I</t>
        </is>
      </c>
      <c r="C5086" s="12" t="inlineStr">
        <is>
          <t>Modular / portable power</t>
        </is>
      </c>
      <c r="D5086" s="12" t="inlineStr">
        <is>
          <t>Analog instrument to JB JB-SC-2-AI06: 20 x 1 pr (field cables)</t>
        </is>
      </c>
      <c r="E5086" s="12" t="inlineStr">
        <is>
          <t>SC-2</t>
        </is>
      </c>
      <c r="F5086" s="12" t="inlineStr">
        <is>
          <t>SC-2: aeroderivative simple-cycle unit (LM6000 class)</t>
        </is>
      </c>
      <c r="G5086" s="12" t="inlineStr">
        <is>
          <t>JB-SC-2-AI06</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20</v>
      </c>
      <c r="O5086" s="12" t="n">
        <v>1</v>
      </c>
      <c r="P5086" s="12" t="n"/>
      <c r="Q5086" s="12" t="n"/>
      <c r="R5086" s="12" t="n"/>
      <c r="S5086" s="12" t="inlineStr">
        <is>
          <t>Tray / conduit</t>
        </is>
      </c>
      <c r="T5086" s="15" t="n">
        <v>99</v>
      </c>
      <c r="U5086" s="15" t="n">
        <v>10</v>
      </c>
      <c r="V5086" s="15">
        <f>ROUNDUP((T5086+U5086+2*'Read Me'!$B$13)*(1+'Read Me'!$B$12),-1)</f>
        <v/>
      </c>
      <c r="W5086" s="15">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I-I-0485</t>
        </is>
      </c>
      <c r="B5087" s="12" t="inlineStr">
        <is>
          <t>I</t>
        </is>
      </c>
      <c r="C5087" s="12" t="inlineStr">
        <is>
          <t>Modular / portable power</t>
        </is>
      </c>
      <c r="D5087" s="12" t="inlineStr">
        <is>
          <t>Home run JB-SC-2-AI06 to the control / marshalling room</t>
        </is>
      </c>
      <c r="E5087" s="12" t="inlineStr"/>
      <c r="F5087" s="12" t="inlineStr">
        <is>
          <t>SC-2 PCM + 15 kV GCB</t>
        </is>
      </c>
      <c r="G5087" s="12" t="inlineStr">
        <is>
          <t>JB-SC-2-AI06</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Duct bank</t>
        </is>
      </c>
      <c r="T5087" s="15" t="n">
        <v>35</v>
      </c>
      <c r="U5087" s="15" t="n">
        <v>32</v>
      </c>
      <c r="V5087" s="15">
        <f>ROUNDUP((T5087+U5087+2*'Read Me'!$B$13)*(1+'Read Me'!$B$12),-1)</f>
        <v/>
      </c>
      <c r="W5087" s="15">
        <f>V5087*N5087*O5087</f>
        <v/>
      </c>
      <c r="X5087" s="12">
        <f>IF(LEFT(I5087,2)="MV",2*N5087*IF(L5087="1/C",O5087,1),0)</f>
        <v/>
      </c>
      <c r="Y5087" s="12">
        <f>IF(OR(LEFT(K5087,4)="LVAX",LEFT(K5087,6)="MV15AX",LEFT(K5087,4)="CTAX",LEFT(K5087,2)="W|"),2*N5087*O5087,0)</f>
        <v/>
      </c>
      <c r="Z5087" s="12" t="inlineStr"/>
      <c r="AA5087" s="12">
        <f>N5087*O5087</f>
        <v/>
      </c>
    </row>
    <row r="5088">
      <c r="A5088" s="12" t="inlineStr">
        <is>
          <t>I-I-0486</t>
        </is>
      </c>
      <c r="B5088" s="12" t="inlineStr">
        <is>
          <t>I</t>
        </is>
      </c>
      <c r="C5088" s="12" t="inlineStr">
        <is>
          <t>Modular / portable power</t>
        </is>
      </c>
      <c r="D5088" s="12" t="inlineStr">
        <is>
          <t>Analog instrument to JB JB-SC-2-AI07: 20 x 1 pr (field cables)</t>
        </is>
      </c>
      <c r="E5088" s="12" t="inlineStr">
        <is>
          <t>SC-2</t>
        </is>
      </c>
      <c r="F5088" s="12" t="inlineStr">
        <is>
          <t>SC-2: aeroderivative simple-cycle unit (LM6000 class)</t>
        </is>
      </c>
      <c r="G5088" s="12" t="inlineStr">
        <is>
          <t>JB-SC-2-AI07</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20</v>
      </c>
      <c r="O5088" s="12" t="n">
        <v>1</v>
      </c>
      <c r="P5088" s="12" t="n"/>
      <c r="Q5088" s="12" t="n"/>
      <c r="R5088" s="12" t="n"/>
      <c r="S5088" s="12" t="inlineStr">
        <is>
          <t>Tray / conduit</t>
        </is>
      </c>
      <c r="T5088" s="15" t="n">
        <v>99</v>
      </c>
      <c r="U5088" s="15" t="n">
        <v>10</v>
      </c>
      <c r="V5088" s="15">
        <f>ROUNDUP((T5088+U5088+2*'Read Me'!$B$13)*(1+'Read Me'!$B$12),-1)</f>
        <v/>
      </c>
      <c r="W5088" s="15">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I-I-0487</t>
        </is>
      </c>
      <c r="B5089" s="12" t="inlineStr">
        <is>
          <t>I</t>
        </is>
      </c>
      <c r="C5089" s="12" t="inlineStr">
        <is>
          <t>Modular / portable power</t>
        </is>
      </c>
      <c r="D5089" s="12" t="inlineStr">
        <is>
          <t>Home run JB-SC-2-AI07 to the control / marshalling room</t>
        </is>
      </c>
      <c r="E5089" s="12" t="inlineStr"/>
      <c r="F5089" s="12" t="inlineStr">
        <is>
          <t>SC-2 PCM + 15 kV GCB</t>
        </is>
      </c>
      <c r="G5089" s="12" t="inlineStr">
        <is>
          <t>JB-SC-2-AI07</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5" t="n">
        <v>35</v>
      </c>
      <c r="U5089" s="15" t="n">
        <v>32</v>
      </c>
      <c r="V5089" s="15">
        <f>ROUNDUP((T5089+U5089+2*'Read Me'!$B$13)*(1+'Read Me'!$B$12),-1)</f>
        <v/>
      </c>
      <c r="W5089" s="15">
        <f>V5089*N5089*O5089</f>
        <v/>
      </c>
      <c r="X5089" s="12">
        <f>IF(LEFT(I5089,2)="MV",2*N5089*IF(L5089="1/C",O5089,1),0)</f>
        <v/>
      </c>
      <c r="Y5089" s="12">
        <f>IF(OR(LEFT(K5089,4)="LVAX",LEFT(K5089,6)="MV15AX",LEFT(K5089,4)="CTAX",LEFT(K5089,2)="W|"),2*N5089*O5089,0)</f>
        <v/>
      </c>
      <c r="Z5089" s="12" t="inlineStr"/>
      <c r="AA5089" s="12">
        <f>N5089*O5089</f>
        <v/>
      </c>
    </row>
    <row r="5090">
      <c r="A5090" s="12" t="inlineStr">
        <is>
          <t>I-I-0488</t>
        </is>
      </c>
      <c r="B5090" s="12" t="inlineStr">
        <is>
          <t>I</t>
        </is>
      </c>
      <c r="C5090" s="12" t="inlineStr">
        <is>
          <t>Modular / portable power</t>
        </is>
      </c>
      <c r="D5090" s="12" t="inlineStr">
        <is>
          <t>Analog instrument to JB JB-SC-2-AI08: 10 x 1 pr (field cables)</t>
        </is>
      </c>
      <c r="E5090" s="12" t="inlineStr">
        <is>
          <t>SC-2</t>
        </is>
      </c>
      <c r="F5090" s="12" t="inlineStr">
        <is>
          <t>SC-2: aeroderivative simple-cycle unit (LM6000 class)</t>
        </is>
      </c>
      <c r="G5090" s="12" t="inlineStr">
        <is>
          <t>JB-SC-2-AI08</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10</v>
      </c>
      <c r="O5090" s="12" t="n">
        <v>1</v>
      </c>
      <c r="P5090" s="12" t="n"/>
      <c r="Q5090" s="12" t="n"/>
      <c r="R5090" s="12" t="n"/>
      <c r="S5090" s="12" t="inlineStr">
        <is>
          <t>Tray / conduit</t>
        </is>
      </c>
      <c r="T5090" s="15" t="n">
        <v>99</v>
      </c>
      <c r="U5090" s="15" t="n">
        <v>10</v>
      </c>
      <c r="V5090" s="15">
        <f>ROUNDUP((T5090+U5090+2*'Read Me'!$B$13)*(1+'Read Me'!$B$12),-1)</f>
        <v/>
      </c>
      <c r="W5090" s="15">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I-I-0489</t>
        </is>
      </c>
      <c r="B5091" s="12" t="inlineStr">
        <is>
          <t>I</t>
        </is>
      </c>
      <c r="C5091" s="12" t="inlineStr">
        <is>
          <t>Modular / portable power</t>
        </is>
      </c>
      <c r="D5091" s="12" t="inlineStr">
        <is>
          <t>Home run JB-SC-2-AI08 to the control / marshalling room</t>
        </is>
      </c>
      <c r="E5091" s="12" t="inlineStr"/>
      <c r="F5091" s="12" t="inlineStr">
        <is>
          <t>SC-2 PCM + 15 kV GCB</t>
        </is>
      </c>
      <c r="G5091" s="12" t="inlineStr">
        <is>
          <t>JB-SC-2-AI08</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5" t="n">
        <v>35</v>
      </c>
      <c r="U5091" s="15" t="n">
        <v>32</v>
      </c>
      <c r="V5091" s="15">
        <f>ROUNDUP((T5091+U5091+2*'Read Me'!$B$13)*(1+'Read Me'!$B$12),-1)</f>
        <v/>
      </c>
      <c r="W5091" s="15">
        <f>V5091*N5091*O5091</f>
        <v/>
      </c>
      <c r="X5091" s="12">
        <f>IF(LEFT(I5091,2)="MV",2*N5091*IF(L5091="1/C",O5091,1),0)</f>
        <v/>
      </c>
      <c r="Y5091" s="12">
        <f>IF(OR(LEFT(K5091,4)="LVAX",LEFT(K5091,6)="MV15AX",LEFT(K5091,4)="CTAX",LEFT(K5091,2)="W|"),2*N5091*O5091,0)</f>
        <v/>
      </c>
      <c r="Z5091" s="12" t="inlineStr"/>
      <c r="AA5091" s="12">
        <f>N5091*O5091</f>
        <v/>
      </c>
    </row>
    <row r="5092">
      <c r="A5092" s="12" t="inlineStr">
        <is>
          <t>I-I-0490</t>
        </is>
      </c>
      <c r="B5092" s="12" t="inlineStr">
        <is>
          <t>I</t>
        </is>
      </c>
      <c r="C5092" s="12" t="inlineStr">
        <is>
          <t>Modular / portable power</t>
        </is>
      </c>
      <c r="D5092" s="12" t="inlineStr">
        <is>
          <t>Discrete device to JB JB-SC-2-DI01: 20 x 1 pr (field cables)</t>
        </is>
      </c>
      <c r="E5092" s="12" t="inlineStr">
        <is>
          <t>SC-2</t>
        </is>
      </c>
      <c r="F5092" s="12" t="inlineStr">
        <is>
          <t>SC-2: aeroderivative simple-cycle unit (LM6000 class)</t>
        </is>
      </c>
      <c r="G5092" s="12" t="inlineStr">
        <is>
          <t>JB-SC-2-DI01</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5" t="n">
        <v>99</v>
      </c>
      <c r="U5092" s="15" t="n">
        <v>10</v>
      </c>
      <c r="V5092" s="15">
        <f>ROUNDUP((T5092+U5092+2*'Read Me'!$B$13)*(1+'Read Me'!$B$12),-1)</f>
        <v/>
      </c>
      <c r="W5092" s="15">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I-I-0491</t>
        </is>
      </c>
      <c r="B5093" s="12" t="inlineStr">
        <is>
          <t>I</t>
        </is>
      </c>
      <c r="C5093" s="12" t="inlineStr">
        <is>
          <t>Modular / portable power</t>
        </is>
      </c>
      <c r="D5093" s="12" t="inlineStr">
        <is>
          <t>Home run JB-SC-2-DI01 to the control / marshalling room</t>
        </is>
      </c>
      <c r="E5093" s="12" t="inlineStr"/>
      <c r="F5093" s="12" t="inlineStr">
        <is>
          <t>SC-2 PCM + 15 kV GCB</t>
        </is>
      </c>
      <c r="G5093" s="12" t="inlineStr">
        <is>
          <t>JB-SC-2-DI01</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5" t="n">
        <v>35</v>
      </c>
      <c r="U5093" s="15" t="n">
        <v>32</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I-I-0492</t>
        </is>
      </c>
      <c r="B5094" s="12" t="inlineStr">
        <is>
          <t>I</t>
        </is>
      </c>
      <c r="C5094" s="12" t="inlineStr">
        <is>
          <t>Modular / portable power</t>
        </is>
      </c>
      <c r="D5094" s="12" t="inlineStr">
        <is>
          <t>Discrete device to JB JB-SC-2-DI02: 20 x 1 pr (field cables)</t>
        </is>
      </c>
      <c r="E5094" s="12" t="inlineStr">
        <is>
          <t>SC-2</t>
        </is>
      </c>
      <c r="F5094" s="12" t="inlineStr">
        <is>
          <t>SC-2: aeroderivative simple-cycle unit (LM6000 class)</t>
        </is>
      </c>
      <c r="G5094" s="12" t="inlineStr">
        <is>
          <t>JB-SC-2-DI02</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5" t="n">
        <v>99</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I-I-0493</t>
        </is>
      </c>
      <c r="B5095" s="12" t="inlineStr">
        <is>
          <t>I</t>
        </is>
      </c>
      <c r="C5095" s="12" t="inlineStr">
        <is>
          <t>Modular / portable power</t>
        </is>
      </c>
      <c r="D5095" s="12" t="inlineStr">
        <is>
          <t>Home run JB-SC-2-DI02 to the control / marshalling room</t>
        </is>
      </c>
      <c r="E5095" s="12" t="inlineStr"/>
      <c r="F5095" s="12" t="inlineStr">
        <is>
          <t>SC-2 PCM + 15 kV GCB</t>
        </is>
      </c>
      <c r="G5095" s="12" t="inlineStr">
        <is>
          <t>JB-SC-2-DI02</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35</v>
      </c>
      <c r="U5095" s="15" t="n">
        <v>32</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I-I-0494</t>
        </is>
      </c>
      <c r="B5096" s="12" t="inlineStr">
        <is>
          <t>I</t>
        </is>
      </c>
      <c r="C5096" s="12" t="inlineStr">
        <is>
          <t>Modular / portable power</t>
        </is>
      </c>
      <c r="D5096" s="12" t="inlineStr">
        <is>
          <t>Discrete device to JB JB-SC-2-DI03: 20 x 1 pr (field cables)</t>
        </is>
      </c>
      <c r="E5096" s="12" t="inlineStr">
        <is>
          <t>SC-2</t>
        </is>
      </c>
      <c r="F5096" s="12" t="inlineStr">
        <is>
          <t>SC-2: aeroderivative simple-cycle unit (LM6000 class)</t>
        </is>
      </c>
      <c r="G5096" s="12" t="inlineStr">
        <is>
          <t>JB-SC-2-DI03</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20</v>
      </c>
      <c r="O5096" s="12" t="n">
        <v>1</v>
      </c>
      <c r="P5096" s="12" t="n"/>
      <c r="Q5096" s="12" t="n"/>
      <c r="R5096" s="12" t="n"/>
      <c r="S5096" s="12" t="inlineStr">
        <is>
          <t>Tray / conduit</t>
        </is>
      </c>
      <c r="T5096" s="15" t="n">
        <v>99</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I-I-0495</t>
        </is>
      </c>
      <c r="B5097" s="12" t="inlineStr">
        <is>
          <t>I</t>
        </is>
      </c>
      <c r="C5097" s="12" t="inlineStr">
        <is>
          <t>Modular / portable power</t>
        </is>
      </c>
      <c r="D5097" s="12" t="inlineStr">
        <is>
          <t>Home run JB-SC-2-DI03 to the control / marshalling room</t>
        </is>
      </c>
      <c r="E5097" s="12" t="inlineStr"/>
      <c r="F5097" s="12" t="inlineStr">
        <is>
          <t>SC-2 PCM + 15 kV GCB</t>
        </is>
      </c>
      <c r="G5097" s="12" t="inlineStr">
        <is>
          <t>JB-SC-2-DI03</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35</v>
      </c>
      <c r="U5097" s="15" t="n">
        <v>32</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I-I-0496</t>
        </is>
      </c>
      <c r="B5098" s="12" t="inlineStr">
        <is>
          <t>I</t>
        </is>
      </c>
      <c r="C5098" s="12" t="inlineStr">
        <is>
          <t>Modular / portable power</t>
        </is>
      </c>
      <c r="D5098" s="12" t="inlineStr">
        <is>
          <t>Discrete device to JB JB-SC-2-DI04: 20 x 1 pr (field cables)</t>
        </is>
      </c>
      <c r="E5098" s="12" t="inlineStr">
        <is>
          <t>SC-2</t>
        </is>
      </c>
      <c r="F5098" s="12" t="inlineStr">
        <is>
          <t>SC-2: aeroderivative simple-cycle unit (LM6000 class)</t>
        </is>
      </c>
      <c r="G5098" s="12" t="inlineStr">
        <is>
          <t>JB-SC-2-DI04</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5" t="n">
        <v>99</v>
      </c>
      <c r="U5098" s="15" t="n">
        <v>10</v>
      </c>
      <c r="V5098" s="15">
        <f>ROUNDUP((T5098+U5098+2*'Read Me'!$B$13)*(1+'Read Me'!$B$12),-1)</f>
        <v/>
      </c>
      <c r="W5098" s="15">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I-I-0497</t>
        </is>
      </c>
      <c r="B5099" s="12" t="inlineStr">
        <is>
          <t>I</t>
        </is>
      </c>
      <c r="C5099" s="12" t="inlineStr">
        <is>
          <t>Modular / portable power</t>
        </is>
      </c>
      <c r="D5099" s="12" t="inlineStr">
        <is>
          <t>Home run JB-SC-2-DI04 to the control / marshalling room</t>
        </is>
      </c>
      <c r="E5099" s="12" t="inlineStr"/>
      <c r="F5099" s="12" t="inlineStr">
        <is>
          <t>SC-2 PCM + 15 kV GCB</t>
        </is>
      </c>
      <c r="G5099" s="12" t="inlineStr">
        <is>
          <t>JB-SC-2-DI04</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5" t="n">
        <v>35</v>
      </c>
      <c r="U5099" s="15" t="n">
        <v>32</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I-I-0498</t>
        </is>
      </c>
      <c r="B5100" s="12" t="inlineStr">
        <is>
          <t>I</t>
        </is>
      </c>
      <c r="C5100" s="12" t="inlineStr">
        <is>
          <t>Modular / portable power</t>
        </is>
      </c>
      <c r="D5100" s="12" t="inlineStr">
        <is>
          <t>Discrete device to JB JB-SC-2-DI05: 20 x 1 pr (field cables)</t>
        </is>
      </c>
      <c r="E5100" s="12" t="inlineStr">
        <is>
          <t>SC-2</t>
        </is>
      </c>
      <c r="F5100" s="12" t="inlineStr">
        <is>
          <t>SC-2: aeroderivative simple-cycle unit (LM6000 class)</t>
        </is>
      </c>
      <c r="G5100" s="12" t="inlineStr">
        <is>
          <t>JB-SC-2-DI05</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5" t="n">
        <v>99</v>
      </c>
      <c r="U5100" s="15" t="n">
        <v>10</v>
      </c>
      <c r="V5100" s="15">
        <f>ROUNDUP((T5100+U5100+2*'Read Me'!$B$13)*(1+'Read Me'!$B$12),-1)</f>
        <v/>
      </c>
      <c r="W5100" s="15">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I-I-0499</t>
        </is>
      </c>
      <c r="B5101" s="12" t="inlineStr">
        <is>
          <t>I</t>
        </is>
      </c>
      <c r="C5101" s="12" t="inlineStr">
        <is>
          <t>Modular / portable power</t>
        </is>
      </c>
      <c r="D5101" s="12" t="inlineStr">
        <is>
          <t>Home run JB-SC-2-DI05 to the control / marshalling room</t>
        </is>
      </c>
      <c r="E5101" s="12" t="inlineStr"/>
      <c r="F5101" s="12" t="inlineStr">
        <is>
          <t>SC-2 PCM + 15 kV GCB</t>
        </is>
      </c>
      <c r="G5101" s="12" t="inlineStr">
        <is>
          <t>JB-SC-2-DI05</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5" t="n">
        <v>35</v>
      </c>
      <c r="U5101" s="15" t="n">
        <v>32</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I-I-0500</t>
        </is>
      </c>
      <c r="B5102" s="12" t="inlineStr">
        <is>
          <t>I</t>
        </is>
      </c>
      <c r="C5102" s="12" t="inlineStr">
        <is>
          <t>Modular / portable power</t>
        </is>
      </c>
      <c r="D5102" s="12" t="inlineStr">
        <is>
          <t>Thermocouple to TC JB JB-SC-2-TC01: 20 x 1 pr (field cables)</t>
        </is>
      </c>
      <c r="E5102" s="12" t="inlineStr">
        <is>
          <t>SC-2</t>
        </is>
      </c>
      <c r="F5102" s="12" t="inlineStr">
        <is>
          <t>SC-2: aeroderivative simple-cycle unit (LM6000 class)</t>
        </is>
      </c>
      <c r="G5102" s="12" t="inlineStr">
        <is>
          <t>JB-SC-2-TC01</t>
        </is>
      </c>
      <c r="H5102" s="12" t="inlineStr">
        <is>
          <t>SC-2: aeroderivative simple-cycle unit (LM6000 class)</t>
        </is>
      </c>
      <c r="I5102" s="12" t="inlineStr">
        <is>
          <t>Instrumentation</t>
        </is>
      </c>
      <c r="J5102" s="12" t="inlineStr">
        <is>
          <t>Thermocouple extension KX, #16 shielded pairs, PLTC</t>
        </is>
      </c>
      <c r="K5102" s="12" t="inlineStr">
        <is>
          <t>TCX|1 pr|16</t>
        </is>
      </c>
      <c r="L5102" s="12" t="inlineStr">
        <is>
          <t>1 pr</t>
        </is>
      </c>
      <c r="M5102" s="12" t="inlineStr">
        <is>
          <t>16</t>
        </is>
      </c>
      <c r="N5102" s="12" t="n">
        <v>20</v>
      </c>
      <c r="O5102" s="12" t="n">
        <v>1</v>
      </c>
      <c r="P5102" s="12" t="n"/>
      <c r="Q5102" s="12" t="n"/>
      <c r="R5102" s="12" t="n"/>
      <c r="S5102" s="12" t="inlineStr">
        <is>
          <t>Tray / conduit</t>
        </is>
      </c>
      <c r="T5102" s="15" t="n">
        <v>99</v>
      </c>
      <c r="U5102" s="15" t="n">
        <v>10</v>
      </c>
      <c r="V5102" s="15">
        <f>ROUNDUP((T5102+U5102+2*'Read Me'!$B$13)*(1+'Read Me'!$B$12),-1)</f>
        <v/>
      </c>
      <c r="W5102" s="15">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I-I-0501</t>
        </is>
      </c>
      <c r="B5103" s="12" t="inlineStr">
        <is>
          <t>I</t>
        </is>
      </c>
      <c r="C5103" s="12" t="inlineStr">
        <is>
          <t>Modular / portable power</t>
        </is>
      </c>
      <c r="D5103" s="12" t="inlineStr">
        <is>
          <t>Home run JB-SC-2-TC01 to the control / marshalling room</t>
        </is>
      </c>
      <c r="E5103" s="12" t="inlineStr"/>
      <c r="F5103" s="12" t="inlineStr">
        <is>
          <t>SC-2 PCM + 15 kV GCB</t>
        </is>
      </c>
      <c r="G5103" s="12" t="inlineStr">
        <is>
          <t>JB-SC-2-TC01</t>
        </is>
      </c>
      <c r="H5103" s="12" t="inlineStr">
        <is>
          <t>SC-2: aeroderivative simple-cycle unit (LM6000 class)</t>
        </is>
      </c>
      <c r="I5103" s="12" t="inlineStr">
        <is>
          <t>Instrumentation</t>
        </is>
      </c>
      <c r="J5103" s="12" t="inlineStr">
        <is>
          <t>Thermocouple extension KX, #16 shielded pairs, PLTC</t>
        </is>
      </c>
      <c r="K5103" s="12" t="inlineStr">
        <is>
          <t>TCX|24 pr|16</t>
        </is>
      </c>
      <c r="L5103" s="12" t="inlineStr">
        <is>
          <t>24 pr</t>
        </is>
      </c>
      <c r="M5103" s="12" t="inlineStr">
        <is>
          <t>16</t>
        </is>
      </c>
      <c r="N5103" s="12" t="n">
        <v>1</v>
      </c>
      <c r="O5103" s="12" t="n">
        <v>1</v>
      </c>
      <c r="P5103" s="12" t="n"/>
      <c r="Q5103" s="12" t="n"/>
      <c r="R5103" s="12" t="n"/>
      <c r="S5103" s="12" t="inlineStr">
        <is>
          <t>Duct bank</t>
        </is>
      </c>
      <c r="T5103" s="15" t="n">
        <v>35</v>
      </c>
      <c r="U5103" s="15" t="n">
        <v>32</v>
      </c>
      <c r="V5103" s="15">
        <f>ROUNDUP((T5103+U5103+2*'Read Me'!$B$13)*(1+'Read Me'!$B$12),-1)</f>
        <v/>
      </c>
      <c r="W5103" s="15">
        <f>V5103*N5103*O5103</f>
        <v/>
      </c>
      <c r="X5103" s="12">
        <f>IF(LEFT(I5103,2)="MV",2*N5103*IF(L5103="1/C",O5103,1),0)</f>
        <v/>
      </c>
      <c r="Y5103" s="12">
        <f>IF(OR(LEFT(K5103,4)="LVAX",LEFT(K5103,6)="MV15AX",LEFT(K5103,4)="CTAX",LEFT(K5103,2)="W|"),2*N5103*O5103,0)</f>
        <v/>
      </c>
      <c r="Z5103" s="12" t="inlineStr"/>
      <c r="AA5103" s="12">
        <f>N5103*O5103</f>
        <v/>
      </c>
    </row>
    <row r="5104">
      <c r="A5104" s="12" t="inlineStr">
        <is>
          <t>I-I-0502</t>
        </is>
      </c>
      <c r="B5104" s="12" t="inlineStr">
        <is>
          <t>I</t>
        </is>
      </c>
      <c r="C5104" s="12" t="inlineStr">
        <is>
          <t>Modular / portable power</t>
        </is>
      </c>
      <c r="D5104" s="12" t="inlineStr">
        <is>
          <t>Thermocouple to TC JB JB-SC-2-TC02: 20 x 1 pr (field cables)</t>
        </is>
      </c>
      <c r="E5104" s="12" t="inlineStr">
        <is>
          <t>SC-2</t>
        </is>
      </c>
      <c r="F5104" s="12" t="inlineStr">
        <is>
          <t>SC-2: aeroderivative simple-cycle unit (LM6000 class)</t>
        </is>
      </c>
      <c r="G5104" s="12" t="inlineStr">
        <is>
          <t>JB-SC-2-TC02</t>
        </is>
      </c>
      <c r="H5104" s="12" t="inlineStr">
        <is>
          <t>SC-2: aeroderivative simple-cycle unit (LM6000 class)</t>
        </is>
      </c>
      <c r="I5104" s="12" t="inlineStr">
        <is>
          <t>Instrumentation</t>
        </is>
      </c>
      <c r="J5104" s="12" t="inlineStr">
        <is>
          <t>Thermocouple extension KX, #16 shielded pairs, PLTC</t>
        </is>
      </c>
      <c r="K5104" s="12" t="inlineStr">
        <is>
          <t>TCX|1 pr|16</t>
        </is>
      </c>
      <c r="L5104" s="12" t="inlineStr">
        <is>
          <t>1 pr</t>
        </is>
      </c>
      <c r="M5104" s="12" t="inlineStr">
        <is>
          <t>16</t>
        </is>
      </c>
      <c r="N5104" s="12" t="n">
        <v>20</v>
      </c>
      <c r="O5104" s="12" t="n">
        <v>1</v>
      </c>
      <c r="P5104" s="12" t="n"/>
      <c r="Q5104" s="12" t="n"/>
      <c r="R5104" s="12" t="n"/>
      <c r="S5104" s="12" t="inlineStr">
        <is>
          <t>Tray / conduit</t>
        </is>
      </c>
      <c r="T5104" s="15" t="n">
        <v>99</v>
      </c>
      <c r="U5104" s="15" t="n">
        <v>10</v>
      </c>
      <c r="V5104" s="15">
        <f>ROUNDUP((T5104+U5104+2*'Read Me'!$B$13)*(1+'Read Me'!$B$12),-1)</f>
        <v/>
      </c>
      <c r="W5104" s="15">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I-I-0503</t>
        </is>
      </c>
      <c r="B5105" s="12" t="inlineStr">
        <is>
          <t>I</t>
        </is>
      </c>
      <c r="C5105" s="12" t="inlineStr">
        <is>
          <t>Modular / portable power</t>
        </is>
      </c>
      <c r="D5105" s="12" t="inlineStr">
        <is>
          <t>Home run JB-SC-2-TC02 to the control / marshalling room</t>
        </is>
      </c>
      <c r="E5105" s="12" t="inlineStr"/>
      <c r="F5105" s="12" t="inlineStr">
        <is>
          <t>SC-2 PCM + 15 kV GCB</t>
        </is>
      </c>
      <c r="G5105" s="12" t="inlineStr">
        <is>
          <t>JB-SC-2-TC02</t>
        </is>
      </c>
      <c r="H5105" s="12" t="inlineStr">
        <is>
          <t>SC-2: aeroderivative simple-cycle unit (LM6000 class)</t>
        </is>
      </c>
      <c r="I5105" s="12" t="inlineStr">
        <is>
          <t>Instrumentation</t>
        </is>
      </c>
      <c r="J5105" s="12" t="inlineStr">
        <is>
          <t>Thermocouple extension KX, #16 shielded pairs, PLTC</t>
        </is>
      </c>
      <c r="K5105" s="12" t="inlineStr">
        <is>
          <t>TCX|24 pr|16</t>
        </is>
      </c>
      <c r="L5105" s="12" t="inlineStr">
        <is>
          <t>24 pr</t>
        </is>
      </c>
      <c r="M5105" s="12" t="inlineStr">
        <is>
          <t>16</t>
        </is>
      </c>
      <c r="N5105" s="12" t="n">
        <v>1</v>
      </c>
      <c r="O5105" s="12" t="n">
        <v>1</v>
      </c>
      <c r="P5105" s="12" t="n"/>
      <c r="Q5105" s="12" t="n"/>
      <c r="R5105" s="12" t="n"/>
      <c r="S5105" s="12" t="inlineStr">
        <is>
          <t>Duct bank</t>
        </is>
      </c>
      <c r="T5105" s="15" t="n">
        <v>35</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c r="AA5105" s="12">
        <f>N5105*O5105</f>
        <v/>
      </c>
    </row>
    <row r="5106">
      <c r="A5106" s="12" t="inlineStr">
        <is>
          <t>I-I-0504</t>
        </is>
      </c>
      <c r="B5106" s="12" t="inlineStr">
        <is>
          <t>I</t>
        </is>
      </c>
      <c r="C5106" s="12" t="inlineStr">
        <is>
          <t>Modular / portable power</t>
        </is>
      </c>
      <c r="D5106" s="12" t="inlineStr">
        <is>
          <t>SC-GSU-1 monitoring: temperatures, gas relay, oil level</t>
        </is>
      </c>
      <c r="E5106" s="12" t="inlineStr"/>
      <c r="F5106" s="12" t="inlineStr">
        <is>
          <t>SC-1 PCM + 15 kV GCB</t>
        </is>
      </c>
      <c r="G5106" s="12" t="inlineStr">
        <is>
          <t>SC-GSU-1</t>
        </is>
      </c>
      <c r="H5106" s="12" t="inlineStr">
        <is>
          <t>SC-GSU-1: 13.8 / 34.5 kV unit step-up, ~60 MVA (SC-1)</t>
        </is>
      </c>
      <c r="I5106" s="12" t="inlineStr">
        <is>
          <t>Instrumentation</t>
        </is>
      </c>
      <c r="J5106" s="12" t="inlineStr">
        <is>
          <t>Instrumentation ITC / PLTC, IS, #18 shielded pairs, blue jacket</t>
        </is>
      </c>
      <c r="K5106" s="12" t="inlineStr">
        <is>
          <t>ITC|4 pr|18</t>
        </is>
      </c>
      <c r="L5106" s="12" t="inlineStr">
        <is>
          <t>4 pr</t>
        </is>
      </c>
      <c r="M5106" s="12" t="inlineStr">
        <is>
          <t>18</t>
        </is>
      </c>
      <c r="N5106" s="12" t="n">
        <v>1</v>
      </c>
      <c r="O5106" s="12" t="n">
        <v>1</v>
      </c>
      <c r="P5106" s="12" t="n"/>
      <c r="Q5106" s="12" t="n"/>
      <c r="R5106" s="12" t="n"/>
      <c r="S5106" s="12" t="inlineStr">
        <is>
          <t>Duct bank</t>
        </is>
      </c>
      <c r="T5106" s="15" t="n">
        <v>55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I-I-0505</t>
        </is>
      </c>
      <c r="B5107" s="12" t="inlineStr">
        <is>
          <t>I</t>
        </is>
      </c>
      <c r="C5107" s="12" t="inlineStr">
        <is>
          <t>Modular / portable power</t>
        </is>
      </c>
      <c r="D5107" s="12" t="inlineStr">
        <is>
          <t>SC-GSU-2 monitoring: temperatures, gas relay, oil level</t>
        </is>
      </c>
      <c r="E5107" s="12" t="inlineStr"/>
      <c r="F5107" s="12" t="inlineStr">
        <is>
          <t>SC-2 PCM + 15 kV GCB</t>
        </is>
      </c>
      <c r="G5107" s="12" t="inlineStr">
        <is>
          <t>SC-GSU-2</t>
        </is>
      </c>
      <c r="H5107" s="12" t="inlineStr">
        <is>
          <t>SC-GSU-2: 13.8 / 34.5 kV unit step-up, ~60 MVA (SC-2)</t>
        </is>
      </c>
      <c r="I5107" s="12" t="inlineStr">
        <is>
          <t>Instrumentation</t>
        </is>
      </c>
      <c r="J5107" s="12" t="inlineStr">
        <is>
          <t>Instrumentation ITC / PLTC, IS, #18 shielded pairs, blue jacket</t>
        </is>
      </c>
      <c r="K5107" s="12" t="inlineStr">
        <is>
          <t>ITC|4 pr|18</t>
        </is>
      </c>
      <c r="L5107" s="12" t="inlineStr">
        <is>
          <t>4 pr</t>
        </is>
      </c>
      <c r="M5107" s="12" t="inlineStr">
        <is>
          <t>18</t>
        </is>
      </c>
      <c r="N5107" s="12" t="n">
        <v>1</v>
      </c>
      <c r="O5107" s="12" t="n">
        <v>1</v>
      </c>
      <c r="P5107" s="12" t="n"/>
      <c r="Q5107" s="12" t="n"/>
      <c r="R5107" s="12" t="n"/>
      <c r="S5107" s="12" t="inlineStr">
        <is>
          <t>Duct bank</t>
        </is>
      </c>
      <c r="T5107" s="15" t="n">
        <v>48</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I-I-0506</t>
        </is>
      </c>
      <c r="B5108" s="12" t="inlineStr">
        <is>
          <t>I</t>
        </is>
      </c>
      <c r="C5108" s="12" t="inlineStr">
        <is>
          <t>Modular / portable power</t>
        </is>
      </c>
      <c r="D5108" s="12" t="inlineStr">
        <is>
          <t>Analog instrument to JB JB-T-MOD 230 kV take--AI01: 8 x 1 pr (field cables)</t>
        </is>
      </c>
      <c r="E5108" s="12" t="inlineStr"/>
      <c r="F5108" s="12" t="inlineStr">
        <is>
          <t>T-MOD 230 kV take-off gantry with arresters</t>
        </is>
      </c>
      <c r="G5108" s="12" t="inlineStr">
        <is>
          <t>JB-T-MOD 230 kV take--AI01</t>
        </is>
      </c>
      <c r="H5108" s="12" t="inlineStr">
        <is>
          <t>T-MOD 230 kV take-off gantry with arresters</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8</v>
      </c>
      <c r="O5108" s="12" t="n">
        <v>1</v>
      </c>
      <c r="P5108" s="12" t="n"/>
      <c r="Q5108" s="12" t="n"/>
      <c r="R5108" s="12" t="n"/>
      <c r="S5108" s="12" t="inlineStr">
        <is>
          <t>Tray / conduit</t>
        </is>
      </c>
      <c r="T5108" s="15" t="n">
        <v>88</v>
      </c>
      <c r="U5108" s="15" t="n">
        <v>10</v>
      </c>
      <c r="V5108" s="15">
        <f>ROUNDUP((T5108+U5108+2*'Read Me'!$B$13)*(1+'Read Me'!$B$12),-1)</f>
        <v/>
      </c>
      <c r="W5108" s="15">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I-I-0507</t>
        </is>
      </c>
      <c r="B5109" s="12" t="inlineStr">
        <is>
          <t>I</t>
        </is>
      </c>
      <c r="C5109" s="12" t="inlineStr">
        <is>
          <t>Modular / portable power</t>
        </is>
      </c>
      <c r="D5109" s="12" t="inlineStr">
        <is>
          <t>Home run JB-T-MOD 230 kV take--AI01 to the control / marshalling room</t>
        </is>
      </c>
      <c r="E5109" s="12" t="inlineStr">
        <is>
          <t>PAD-EH</t>
        </is>
      </c>
      <c r="F5109" s="12" t="inlineStr">
        <is>
          <t>PAD-EH 13.8 kV switchgear e-house</t>
        </is>
      </c>
      <c r="G5109" s="12" t="inlineStr">
        <is>
          <t>JB-T-MOD 230 kV take--AI01</t>
        </is>
      </c>
      <c r="H5109" s="12" t="inlineStr">
        <is>
          <t>T-MOD 230 kV take-off gantry with arresters</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Duct bank</t>
        </is>
      </c>
      <c r="T5109" s="15" t="n">
        <v>515</v>
      </c>
      <c r="U5109" s="15" t="n">
        <v>47</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I-I-0508</t>
        </is>
      </c>
      <c r="B5110" s="12" t="inlineStr">
        <is>
          <t>I</t>
        </is>
      </c>
      <c r="C5110" s="12" t="inlineStr">
        <is>
          <t>Modular / portable power</t>
        </is>
      </c>
      <c r="D5110" s="12" t="inlineStr">
        <is>
          <t>Discrete device to JB JB-T-MOD 230 kV take--DI01: 16 x 1 pr (field cables)</t>
        </is>
      </c>
      <c r="E5110" s="12" t="inlineStr"/>
      <c r="F5110" s="12" t="inlineStr">
        <is>
          <t>T-MOD 230 kV take-off gantry with arresters</t>
        </is>
      </c>
      <c r="G5110" s="12" t="inlineStr">
        <is>
          <t>JB-T-MOD 230 kV take--DI01</t>
        </is>
      </c>
      <c r="H5110" s="12" t="inlineStr">
        <is>
          <t>T-MOD 230 kV take-off gantry with arresters</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16</v>
      </c>
      <c r="O5110" s="12" t="n">
        <v>1</v>
      </c>
      <c r="P5110" s="12" t="n"/>
      <c r="Q5110" s="12" t="n"/>
      <c r="R5110" s="12" t="n"/>
      <c r="S5110" s="12" t="inlineStr">
        <is>
          <t>Tray / conduit</t>
        </is>
      </c>
      <c r="T5110" s="15" t="n">
        <v>88</v>
      </c>
      <c r="U5110" s="15" t="n">
        <v>10</v>
      </c>
      <c r="V5110" s="15">
        <f>ROUNDUP((T5110+U5110+2*'Read Me'!$B$13)*(1+'Read Me'!$B$12),-1)</f>
        <v/>
      </c>
      <c r="W5110" s="15">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I-I-0509</t>
        </is>
      </c>
      <c r="B5111" s="12" t="inlineStr">
        <is>
          <t>I</t>
        </is>
      </c>
      <c r="C5111" s="12" t="inlineStr">
        <is>
          <t>Modular / portable power</t>
        </is>
      </c>
      <c r="D5111" s="12" t="inlineStr">
        <is>
          <t>Home run JB-T-MOD 230 kV take--DI01 to the control / marshalling room</t>
        </is>
      </c>
      <c r="E5111" s="12" t="inlineStr">
        <is>
          <t>PAD-EH</t>
        </is>
      </c>
      <c r="F5111" s="12" t="inlineStr">
        <is>
          <t>PAD-EH 13.8 kV switchgear e-house</t>
        </is>
      </c>
      <c r="G5111" s="12" t="inlineStr">
        <is>
          <t>JB-T-MOD 230 kV take--DI01</t>
        </is>
      </c>
      <c r="H5111" s="12" t="inlineStr">
        <is>
          <t>T-MOD 230 kV take-off gantry with arresters</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Duct bank</t>
        </is>
      </c>
      <c r="T5111" s="15" t="n">
        <v>515</v>
      </c>
      <c r="U5111" s="15" t="n">
        <v>47</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I-I-0510</t>
        </is>
      </c>
      <c r="B5112" s="12" t="inlineStr">
        <is>
          <t>I</t>
        </is>
      </c>
      <c r="C5112" s="12" t="inlineStr">
        <is>
          <t>Modular / portable power</t>
        </is>
      </c>
      <c r="D5112" s="12" t="inlineStr">
        <is>
          <t>Analog instrument to JB JB-T-MOD-1 / T-MOD-2 -AI01: 8 x 1 pr (field cables)</t>
        </is>
      </c>
      <c r="E5112" s="12" t="inlineStr"/>
      <c r="F5112" s="12" t="inlineStr">
        <is>
          <t>T-MOD-1 / T-MOD-2 firewall</t>
        </is>
      </c>
      <c r="G5112" s="12" t="inlineStr">
        <is>
          <t>JB-T-MOD-1 / T-MOD-2 -AI01</t>
        </is>
      </c>
      <c r="H5112" s="12" t="inlineStr">
        <is>
          <t>T-MOD-1 / T-MOD-2 firewall</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8</v>
      </c>
      <c r="O5112" s="12" t="n">
        <v>1</v>
      </c>
      <c r="P5112" s="12" t="n"/>
      <c r="Q5112" s="12" t="n"/>
      <c r="R5112" s="12" t="n"/>
      <c r="S5112" s="12" t="inlineStr">
        <is>
          <t>Tray / conduit</t>
        </is>
      </c>
      <c r="T5112" s="15" t="n">
        <v>64</v>
      </c>
      <c r="U5112" s="15" t="n">
        <v>10</v>
      </c>
      <c r="V5112" s="15">
        <f>ROUNDUP((T5112+U5112+2*'Read Me'!$B$13)*(1+'Read Me'!$B$12),-1)</f>
        <v/>
      </c>
      <c r="W5112" s="15">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I-I-0511</t>
        </is>
      </c>
      <c r="B5113" s="12" t="inlineStr">
        <is>
          <t>I</t>
        </is>
      </c>
      <c r="C5113" s="12" t="inlineStr">
        <is>
          <t>Modular / portable power</t>
        </is>
      </c>
      <c r="D5113" s="12" t="inlineStr">
        <is>
          <t>Home run JB-T-MOD-1 / T-MOD-2 -AI01 to the control / marshalling room</t>
        </is>
      </c>
      <c r="E5113" s="12" t="inlineStr"/>
      <c r="F5113" s="12" t="inlineStr">
        <is>
          <t>PCM: power control module</t>
        </is>
      </c>
      <c r="G5113" s="12" t="inlineStr">
        <is>
          <t>JB-T-MOD-1 / T-MOD-2 -AI01</t>
        </is>
      </c>
      <c r="H5113" s="12" t="inlineStr">
        <is>
          <t>T-MOD-1 / T-MOD-2 firewall</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Duct bank</t>
        </is>
      </c>
      <c r="T5113" s="15" t="n">
        <v>423</v>
      </c>
      <c r="U5113" s="15" t="n">
        <v>91</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I-I-0512</t>
        </is>
      </c>
      <c r="B5114" s="12" t="inlineStr">
        <is>
          <t>I</t>
        </is>
      </c>
      <c r="C5114" s="12" t="inlineStr">
        <is>
          <t>Modular / portable power</t>
        </is>
      </c>
      <c r="D5114" s="12" t="inlineStr">
        <is>
          <t>Discrete device to JB JB-T-MOD-1 / T-MOD-2 -DI01: 16 x 1 pr (field cables)</t>
        </is>
      </c>
      <c r="E5114" s="12" t="inlineStr"/>
      <c r="F5114" s="12" t="inlineStr">
        <is>
          <t>T-MOD-1 / T-MOD-2 firewall</t>
        </is>
      </c>
      <c r="G5114" s="12" t="inlineStr">
        <is>
          <t>JB-T-MOD-1 / T-MOD-2 -DI01</t>
        </is>
      </c>
      <c r="H5114" s="12" t="inlineStr">
        <is>
          <t>T-MOD-1 / T-MOD-2 firewall</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16</v>
      </c>
      <c r="O5114" s="12" t="n">
        <v>1</v>
      </c>
      <c r="P5114" s="12" t="n"/>
      <c r="Q5114" s="12" t="n"/>
      <c r="R5114" s="12" t="n"/>
      <c r="S5114" s="12" t="inlineStr">
        <is>
          <t>Tray / conduit</t>
        </is>
      </c>
      <c r="T5114" s="15" t="n">
        <v>64</v>
      </c>
      <c r="U5114" s="15" t="n">
        <v>10</v>
      </c>
      <c r="V5114" s="15">
        <f>ROUNDUP((T5114+U5114+2*'Read Me'!$B$13)*(1+'Read Me'!$B$12),-1)</f>
        <v/>
      </c>
      <c r="W5114" s="15">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I-I-0513</t>
        </is>
      </c>
      <c r="B5115" s="12" t="inlineStr">
        <is>
          <t>I</t>
        </is>
      </c>
      <c r="C5115" s="12" t="inlineStr">
        <is>
          <t>Modular / portable power</t>
        </is>
      </c>
      <c r="D5115" s="12" t="inlineStr">
        <is>
          <t>Home run JB-T-MOD-1 / T-MOD-2 -DI01 to the control / marshalling room</t>
        </is>
      </c>
      <c r="E5115" s="12" t="inlineStr"/>
      <c r="F5115" s="12" t="inlineStr">
        <is>
          <t>PCM: power control module</t>
        </is>
      </c>
      <c r="G5115" s="12" t="inlineStr">
        <is>
          <t>JB-T-MOD-1 / T-MOD-2 -DI01</t>
        </is>
      </c>
      <c r="H5115" s="12" t="inlineStr">
        <is>
          <t>T-MOD-1 / T-MOD-2 firewall</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Duct bank</t>
        </is>
      </c>
      <c r="T5115" s="15" t="n">
        <v>423</v>
      </c>
      <c r="U5115" s="15" t="n">
        <v>91</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I-I-0514</t>
        </is>
      </c>
      <c r="B5116" s="12" t="inlineStr">
        <is>
          <t>I</t>
        </is>
      </c>
      <c r="C5116" s="12" t="inlineStr">
        <is>
          <t>Modular / portable power</t>
        </is>
      </c>
      <c r="D5116" s="12" t="inlineStr">
        <is>
          <t>T-MOD-1 monitoring: temperatures, gas relay, oil level</t>
        </is>
      </c>
      <c r="E5116" s="12" t="inlineStr">
        <is>
          <t>MOD-EH</t>
        </is>
      </c>
      <c r="F5116" s="12" t="inlineStr">
        <is>
          <t>MOD-EH: 34.5 kV modular collector e-house (2 bus sections + 13.8 kV st</t>
        </is>
      </c>
      <c r="G5116" s="12" t="inlineStr">
        <is>
          <t>T-MOD-1</t>
        </is>
      </c>
      <c r="H5116" s="12" t="inlineStr">
        <is>
          <t>T-MOD-1: 230 / 34.5 kV</t>
        </is>
      </c>
      <c r="I5116" s="12" t="inlineStr">
        <is>
          <t>Instrumentation</t>
        </is>
      </c>
      <c r="J5116" s="12" t="inlineStr">
        <is>
          <t>Instrumentation ITC / PLTC, IS, #18 shielded pairs, blue jacket</t>
        </is>
      </c>
      <c r="K5116" s="12" t="inlineStr">
        <is>
          <t>ITC|4 pr|18</t>
        </is>
      </c>
      <c r="L5116" s="12" t="inlineStr">
        <is>
          <t>4 pr</t>
        </is>
      </c>
      <c r="M5116" s="12" t="inlineStr">
        <is>
          <t>18</t>
        </is>
      </c>
      <c r="N5116" s="12" t="n">
        <v>1</v>
      </c>
      <c r="O5116" s="12" t="n">
        <v>1</v>
      </c>
      <c r="P5116" s="12" t="n"/>
      <c r="Q5116" s="12" t="n"/>
      <c r="R5116" s="12" t="n"/>
      <c r="S5116" s="12" t="inlineStr">
        <is>
          <t>Duct bank</t>
        </is>
      </c>
      <c r="T5116" s="15" t="n">
        <v>238</v>
      </c>
      <c r="U5116" s="15" t="n">
        <v>43</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I-I-0515</t>
        </is>
      </c>
      <c r="B5117" s="12" t="inlineStr">
        <is>
          <t>I</t>
        </is>
      </c>
      <c r="C5117" s="12" t="inlineStr">
        <is>
          <t>Modular / portable power</t>
        </is>
      </c>
      <c r="D5117" s="12" t="inlineStr">
        <is>
          <t>Analog instrument to JB JB-T-MOD-1-AI01: 8 x 1 pr (field cables)</t>
        </is>
      </c>
      <c r="E5117" s="12" t="inlineStr">
        <is>
          <t>T-MOD-1</t>
        </is>
      </c>
      <c r="F5117" s="12" t="inlineStr">
        <is>
          <t>T-MOD-1: 230 / 34.5 kV</t>
        </is>
      </c>
      <c r="G5117" s="12" t="inlineStr">
        <is>
          <t>JB-T-MOD-1-AI01</t>
        </is>
      </c>
      <c r="H5117" s="12" t="inlineStr">
        <is>
          <t>T-MOD-1: 230 / 34.5 kV</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77</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I-I-0516</t>
        </is>
      </c>
      <c r="B5118" s="12" t="inlineStr">
        <is>
          <t>I</t>
        </is>
      </c>
      <c r="C5118" s="12" t="inlineStr">
        <is>
          <t>Modular / portable power</t>
        </is>
      </c>
      <c r="D5118" s="12" t="inlineStr">
        <is>
          <t>Home run JB-T-MOD-1-AI01 to the control / marshalling room</t>
        </is>
      </c>
      <c r="E5118" s="12" t="inlineStr"/>
      <c r="F5118" s="12" t="inlineStr">
        <is>
          <t>PCM: power control module</t>
        </is>
      </c>
      <c r="G5118" s="12" t="inlineStr">
        <is>
          <t>JB-T-MOD-1-AI01</t>
        </is>
      </c>
      <c r="H5118" s="12" t="inlineStr">
        <is>
          <t>T-MOD-1: 230 / 34.5 kV</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423</v>
      </c>
      <c r="U5118" s="15" t="n">
        <v>43</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I-I-0517</t>
        </is>
      </c>
      <c r="B5119" s="12" t="inlineStr">
        <is>
          <t>I</t>
        </is>
      </c>
      <c r="C5119" s="12" t="inlineStr">
        <is>
          <t>Modular / portable power</t>
        </is>
      </c>
      <c r="D5119" s="12" t="inlineStr">
        <is>
          <t>Discrete device to JB JB-T-MOD-1-DI01: 16 x 1 pr (field cables)</t>
        </is>
      </c>
      <c r="E5119" s="12" t="inlineStr">
        <is>
          <t>T-MOD-1</t>
        </is>
      </c>
      <c r="F5119" s="12" t="inlineStr">
        <is>
          <t>T-MOD-1: 230 / 34.5 kV</t>
        </is>
      </c>
      <c r="G5119" s="12" t="inlineStr">
        <is>
          <t>JB-T-MOD-1-DI01</t>
        </is>
      </c>
      <c r="H5119" s="12" t="inlineStr">
        <is>
          <t>T-MOD-1: 230 / 34.5 kV</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77</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I-I-0518</t>
        </is>
      </c>
      <c r="B5120" s="12" t="inlineStr">
        <is>
          <t>I</t>
        </is>
      </c>
      <c r="C5120" s="12" t="inlineStr">
        <is>
          <t>Modular / portable power</t>
        </is>
      </c>
      <c r="D5120" s="12" t="inlineStr">
        <is>
          <t>Home run JB-T-MOD-1-DI01 to the control / marshalling room</t>
        </is>
      </c>
      <c r="E5120" s="12" t="inlineStr"/>
      <c r="F5120" s="12" t="inlineStr">
        <is>
          <t>PCM: power control module</t>
        </is>
      </c>
      <c r="G5120" s="12" t="inlineStr">
        <is>
          <t>JB-T-MOD-1-DI01</t>
        </is>
      </c>
      <c r="H5120" s="12" t="inlineStr">
        <is>
          <t>T-MOD-1: 230 / 34.5 kV</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423</v>
      </c>
      <c r="U5120" s="15" t="n">
        <v>43</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I-I-0519</t>
        </is>
      </c>
      <c r="B5121" s="12" t="inlineStr">
        <is>
          <t>I</t>
        </is>
      </c>
      <c r="C5121" s="12" t="inlineStr">
        <is>
          <t>Modular / portable power</t>
        </is>
      </c>
      <c r="D5121" s="12" t="inlineStr">
        <is>
          <t>T-MOD-2 monitoring: temperatures, gas relay, oil level</t>
        </is>
      </c>
      <c r="E5121" s="12" t="inlineStr">
        <is>
          <t>MOD-EH</t>
        </is>
      </c>
      <c r="F5121" s="12" t="inlineStr">
        <is>
          <t>MOD-EH: 34.5 kV modular collector e-house (2 bus sections + 13.8 kV st</t>
        </is>
      </c>
      <c r="G5121" s="12" t="inlineStr">
        <is>
          <t>T-MOD-2</t>
        </is>
      </c>
      <c r="H5121" s="12" t="inlineStr">
        <is>
          <t>T-MOD-2: 230 / 34.5 kV</t>
        </is>
      </c>
      <c r="I5121" s="12" t="inlineStr">
        <is>
          <t>Instrumentation</t>
        </is>
      </c>
      <c r="J5121" s="12" t="inlineStr">
        <is>
          <t>Instrumentation ITC / PLTC, IS, #18 shielded pairs, blue jacket</t>
        </is>
      </c>
      <c r="K5121" s="12" t="inlineStr">
        <is>
          <t>ITC|4 pr|18</t>
        </is>
      </c>
      <c r="L5121" s="12" t="inlineStr">
        <is>
          <t>4 pr</t>
        </is>
      </c>
      <c r="M5121" s="12" t="inlineStr">
        <is>
          <t>18</t>
        </is>
      </c>
      <c r="N5121" s="12" t="n">
        <v>1</v>
      </c>
      <c r="O5121" s="12" t="n">
        <v>1</v>
      </c>
      <c r="P5121" s="12" t="n"/>
      <c r="Q5121" s="12" t="n"/>
      <c r="R5121" s="12" t="n"/>
      <c r="S5121" s="12" t="inlineStr">
        <is>
          <t>Duct bank</t>
        </is>
      </c>
      <c r="T5121" s="15" t="n">
        <v>368</v>
      </c>
      <c r="U5121" s="15" t="n">
        <v>32</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I-I-0520</t>
        </is>
      </c>
      <c r="B5122" s="12" t="inlineStr">
        <is>
          <t>I</t>
        </is>
      </c>
      <c r="C5122" s="12" t="inlineStr">
        <is>
          <t>Modular / portable power</t>
        </is>
      </c>
      <c r="D5122" s="12" t="inlineStr">
        <is>
          <t>Analog instrument to JB JB-T-MOD-2-AI01: 8 x 1 pr (field cables)</t>
        </is>
      </c>
      <c r="E5122" s="12" t="inlineStr">
        <is>
          <t>T-MOD-2</t>
        </is>
      </c>
      <c r="F5122" s="12" t="inlineStr">
        <is>
          <t>T-MOD-2: 230 / 34.5 kV</t>
        </is>
      </c>
      <c r="G5122" s="12" t="inlineStr">
        <is>
          <t>JB-T-MOD-2-AI01</t>
        </is>
      </c>
      <c r="H5122" s="12" t="inlineStr">
        <is>
          <t>T-MOD-2: 230 / 34.5 kV</t>
        </is>
      </c>
      <c r="I5122" s="12" t="inlineStr">
        <is>
          <t>Instrumentation</t>
        </is>
      </c>
      <c r="J5122" s="12" t="inlineStr">
        <is>
          <t>Instrumentation PLTC / TC-ER 300 V, #18 twisted shielded pairs, overall shield</t>
        </is>
      </c>
      <c r="K5122" s="12" t="inlineStr">
        <is>
          <t>PLTC|1 pr|16</t>
        </is>
      </c>
      <c r="L5122" s="12" t="inlineStr">
        <is>
          <t>1 pr</t>
        </is>
      </c>
      <c r="M5122" s="12" t="inlineStr">
        <is>
          <t>16</t>
        </is>
      </c>
      <c r="N5122" s="12" t="n">
        <v>8</v>
      </c>
      <c r="O5122" s="12" t="n">
        <v>1</v>
      </c>
      <c r="P5122" s="12" t="n"/>
      <c r="Q5122" s="12" t="n"/>
      <c r="R5122" s="12" t="n"/>
      <c r="S5122" s="12" t="inlineStr">
        <is>
          <t>Tray / conduit</t>
        </is>
      </c>
      <c r="T5122" s="15" t="n">
        <v>77</v>
      </c>
      <c r="U5122" s="15" t="n">
        <v>10</v>
      </c>
      <c r="V5122" s="15">
        <f>ROUNDUP((T5122+U5122+2*'Read Me'!$B$13)*(1+'Read Me'!$B$12),-1)</f>
        <v/>
      </c>
      <c r="W5122" s="15">
        <f>V5122*N5122*O5122</f>
        <v/>
      </c>
      <c r="X5122" s="12">
        <f>IF(LEFT(I5122,2)="MV",2*N5122*IF(L5122="1/C",O5122,1),0)</f>
        <v/>
      </c>
      <c r="Y5122" s="12">
        <f>IF(OR(LEFT(K5122,4)="LVAX",LEFT(K5122,6)="MV15AX",LEFT(K5122,4)="CTAX",LEFT(K5122,2)="W|"),2*N5122*O5122,0)</f>
        <v/>
      </c>
      <c r="Z5122" s="12" t="inlineStr">
        <is>
          <t>device-to-JB field wiring, one cable per device</t>
        </is>
      </c>
      <c r="AA5122" s="12">
        <f>N5122*O5122</f>
        <v/>
      </c>
    </row>
    <row r="5123">
      <c r="A5123" s="12" t="inlineStr">
        <is>
          <t>I-I-0521</t>
        </is>
      </c>
      <c r="B5123" s="12" t="inlineStr">
        <is>
          <t>I</t>
        </is>
      </c>
      <c r="C5123" s="12" t="inlineStr">
        <is>
          <t>Modular / portable power</t>
        </is>
      </c>
      <c r="D5123" s="12" t="inlineStr">
        <is>
          <t>Home run JB-T-MOD-2-AI01 to the control / marshalling room</t>
        </is>
      </c>
      <c r="E5123" s="12" t="inlineStr"/>
      <c r="F5123" s="12" t="inlineStr">
        <is>
          <t>PCM: power control module</t>
        </is>
      </c>
      <c r="G5123" s="12" t="inlineStr">
        <is>
          <t>JB-T-MOD-2-AI01</t>
        </is>
      </c>
      <c r="H5123" s="12" t="inlineStr">
        <is>
          <t>T-MOD-2: 230 / 34.5 kV</t>
        </is>
      </c>
      <c r="I5123" s="12" t="inlineStr">
        <is>
          <t>Instrumentation</t>
        </is>
      </c>
      <c r="J5123" s="12" t="inlineStr">
        <is>
          <t>Instrumentation PLTC / TC-ER 300 V, #18 twisted shielded pairs, overall shield</t>
        </is>
      </c>
      <c r="K5123" s="12" t="inlineStr">
        <is>
          <t>PLTC|24 pr|18</t>
        </is>
      </c>
      <c r="L5123" s="12" t="inlineStr">
        <is>
          <t>24 pr</t>
        </is>
      </c>
      <c r="M5123" s="12" t="inlineStr">
        <is>
          <t>18</t>
        </is>
      </c>
      <c r="N5123" s="12" t="n">
        <v>1</v>
      </c>
      <c r="O5123" s="12" t="n">
        <v>1</v>
      </c>
      <c r="P5123" s="12" t="n"/>
      <c r="Q5123" s="12" t="n"/>
      <c r="R5123" s="12" t="n"/>
      <c r="S5123" s="12" t="inlineStr">
        <is>
          <t>Duct bank</t>
        </is>
      </c>
      <c r="T5123" s="15" t="n">
        <v>553</v>
      </c>
      <c r="U5123" s="15" t="n">
        <v>32</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I-I-0522</t>
        </is>
      </c>
      <c r="B5124" s="12" t="inlineStr">
        <is>
          <t>I</t>
        </is>
      </c>
      <c r="C5124" s="12" t="inlineStr">
        <is>
          <t>Modular / portable power</t>
        </is>
      </c>
      <c r="D5124" s="12" t="inlineStr">
        <is>
          <t>Discrete device to JB JB-T-MOD-2-DI01: 16 x 1 pr (field cables)</t>
        </is>
      </c>
      <c r="E5124" s="12" t="inlineStr">
        <is>
          <t>T-MOD-2</t>
        </is>
      </c>
      <c r="F5124" s="12" t="inlineStr">
        <is>
          <t>T-MOD-2: 230 / 34.5 kV</t>
        </is>
      </c>
      <c r="G5124" s="12" t="inlineStr">
        <is>
          <t>JB-T-MOD-2-DI01</t>
        </is>
      </c>
      <c r="H5124" s="12" t="inlineStr">
        <is>
          <t>T-MOD-2: 230 / 34.5 kV</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16</v>
      </c>
      <c r="O5124" s="12" t="n">
        <v>1</v>
      </c>
      <c r="P5124" s="12" t="n"/>
      <c r="Q5124" s="12" t="n"/>
      <c r="R5124" s="12" t="n"/>
      <c r="S5124" s="12" t="inlineStr">
        <is>
          <t>Tray / conduit</t>
        </is>
      </c>
      <c r="T5124" s="15" t="n">
        <v>77</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I-I-0523</t>
        </is>
      </c>
      <c r="B5125" s="12" t="inlineStr">
        <is>
          <t>I</t>
        </is>
      </c>
      <c r="C5125" s="12" t="inlineStr">
        <is>
          <t>Modular / portable power</t>
        </is>
      </c>
      <c r="D5125" s="12" t="inlineStr">
        <is>
          <t>Home run JB-T-MOD-2-DI01 to the control / marshalling room</t>
        </is>
      </c>
      <c r="E5125" s="12" t="inlineStr"/>
      <c r="F5125" s="12" t="inlineStr">
        <is>
          <t>PCM: power control module</t>
        </is>
      </c>
      <c r="G5125" s="12" t="inlineStr">
        <is>
          <t>JB-T-MOD-2-DI01</t>
        </is>
      </c>
      <c r="H5125" s="12" t="inlineStr">
        <is>
          <t>T-MOD-2: 230 / 34.5 kV</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553</v>
      </c>
      <c r="U5125" s="15" t="n">
        <v>32</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I-I-0524</t>
        </is>
      </c>
      <c r="B5126" s="12" t="inlineStr">
        <is>
          <t>I</t>
        </is>
      </c>
      <c r="C5126" s="12" t="inlineStr">
        <is>
          <t>Modular / portable power</t>
        </is>
      </c>
      <c r="D5126" s="12" t="inlineStr">
        <is>
          <t>Analog instrument to JB JB-T-MOD-3 230 kV gan-AI01: 8 x 1 pr (field cables)</t>
        </is>
      </c>
      <c r="E5126" s="12" t="inlineStr"/>
      <c r="F5126" s="12" t="inlineStr">
        <is>
          <t>T-MOD-3 230 kV gantry extension with arresters</t>
        </is>
      </c>
      <c r="G5126" s="12" t="inlineStr">
        <is>
          <t>JB-T-MOD-3 230 kV gan-AI01</t>
        </is>
      </c>
      <c r="H5126" s="12" t="inlineStr">
        <is>
          <t>T-MOD-3 230 kV gantry extension with arresters</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8</v>
      </c>
      <c r="O5126" s="12" t="n">
        <v>1</v>
      </c>
      <c r="P5126" s="12" t="n"/>
      <c r="Q5126" s="12" t="n"/>
      <c r="R5126" s="12" t="n"/>
      <c r="S5126" s="12" t="inlineStr">
        <is>
          <t>Tray / conduit</t>
        </is>
      </c>
      <c r="T5126" s="15" t="n">
        <v>85</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I-I-0525</t>
        </is>
      </c>
      <c r="B5127" s="12" t="inlineStr">
        <is>
          <t>I</t>
        </is>
      </c>
      <c r="C5127" s="12" t="inlineStr">
        <is>
          <t>Modular / portable power</t>
        </is>
      </c>
      <c r="D5127" s="12" t="inlineStr">
        <is>
          <t>Home run JB-T-MOD-3 230 kV gan-AI01 to the control / marshalling room</t>
        </is>
      </c>
      <c r="E5127" s="12" t="inlineStr">
        <is>
          <t>PAD-EH</t>
        </is>
      </c>
      <c r="F5127" s="12" t="inlineStr">
        <is>
          <t>PAD-EH 13.8 kV switchgear e-house</t>
        </is>
      </c>
      <c r="G5127" s="12" t="inlineStr">
        <is>
          <t>JB-T-MOD-3 230 kV gan-AI01</t>
        </is>
      </c>
      <c r="H5127" s="12" t="inlineStr">
        <is>
          <t>T-MOD-3 230 kV gantry extension with arresters</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504</v>
      </c>
      <c r="U5127" s="15" t="n">
        <v>38</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I-I-0526</t>
        </is>
      </c>
      <c r="B5128" s="12" t="inlineStr">
        <is>
          <t>I</t>
        </is>
      </c>
      <c r="C5128" s="12" t="inlineStr">
        <is>
          <t>Modular / portable power</t>
        </is>
      </c>
      <c r="D5128" s="12" t="inlineStr">
        <is>
          <t>Discrete device to JB JB-T-MOD-3 230 kV gan-DI01: 16 x 1 pr (field cables)</t>
        </is>
      </c>
      <c r="E5128" s="12" t="inlineStr"/>
      <c r="F5128" s="12" t="inlineStr">
        <is>
          <t>T-MOD-3 230 kV gantry extension with arresters</t>
        </is>
      </c>
      <c r="G5128" s="12" t="inlineStr">
        <is>
          <t>JB-T-MOD-3 230 kV gan-DI01</t>
        </is>
      </c>
      <c r="H5128" s="12" t="inlineStr">
        <is>
          <t>T-MOD-3 230 kV gantry extension with arresters</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16</v>
      </c>
      <c r="O5128" s="12" t="n">
        <v>1</v>
      </c>
      <c r="P5128" s="12" t="n"/>
      <c r="Q5128" s="12" t="n"/>
      <c r="R5128" s="12" t="n"/>
      <c r="S5128" s="12" t="inlineStr">
        <is>
          <t>Tray / conduit</t>
        </is>
      </c>
      <c r="T5128" s="15" t="n">
        <v>85</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I-I-0527</t>
        </is>
      </c>
      <c r="B5129" s="12" t="inlineStr">
        <is>
          <t>I</t>
        </is>
      </c>
      <c r="C5129" s="12" t="inlineStr">
        <is>
          <t>Modular / portable power</t>
        </is>
      </c>
      <c r="D5129" s="12" t="inlineStr">
        <is>
          <t>Home run JB-T-MOD-3 230 kV gan-DI01 to the control / marshalling room</t>
        </is>
      </c>
      <c r="E5129" s="12" t="inlineStr">
        <is>
          <t>PAD-EH</t>
        </is>
      </c>
      <c r="F5129" s="12" t="inlineStr">
        <is>
          <t>PAD-EH 13.8 kV switchgear e-house</t>
        </is>
      </c>
      <c r="G5129" s="12" t="inlineStr">
        <is>
          <t>JB-T-MOD-3 230 kV gan-DI01</t>
        </is>
      </c>
      <c r="H5129" s="12" t="inlineStr">
        <is>
          <t>T-MOD-3 230 kV gantry extension with arresters</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504</v>
      </c>
      <c r="U5129" s="15" t="n">
        <v>38</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I-I-0528</t>
        </is>
      </c>
      <c r="B5130" s="12" t="inlineStr">
        <is>
          <t>I</t>
        </is>
      </c>
      <c r="C5130" s="12" t="inlineStr">
        <is>
          <t>Modular / portable power</t>
        </is>
      </c>
      <c r="D5130" s="12" t="inlineStr">
        <is>
          <t>T-MOD-3 monitoring: temperatures, gas relay, oil level</t>
        </is>
      </c>
      <c r="E5130" s="12" t="inlineStr">
        <is>
          <t>SWG-PK</t>
        </is>
      </c>
      <c r="F5130" s="12" t="inlineStr">
        <is>
          <t>SWG-PK: 34.5 kV park collector switchgear (2 bus sections, tie; 8 feed</t>
        </is>
      </c>
      <c r="G5130" s="12" t="inlineStr">
        <is>
          <t>T-MOD-3</t>
        </is>
      </c>
      <c r="H5130" s="12" t="inlineStr">
        <is>
          <t>T-MOD-3: 230 / 34.5 / 34.5 kV, ~250 MVA three-winding (power park coll</t>
        </is>
      </c>
      <c r="I5130" s="12" t="inlineStr">
        <is>
          <t>Instrumentation</t>
        </is>
      </c>
      <c r="J5130" s="12" t="inlineStr">
        <is>
          <t>Instrumentation ITC / PLTC, IS, #18 shielded pairs, blue jacket</t>
        </is>
      </c>
      <c r="K5130" s="12" t="inlineStr">
        <is>
          <t>ITC|4 pr|18</t>
        </is>
      </c>
      <c r="L5130" s="12" t="inlineStr">
        <is>
          <t>4 pr</t>
        </is>
      </c>
      <c r="M5130" s="12" t="inlineStr">
        <is>
          <t>18</t>
        </is>
      </c>
      <c r="N5130" s="12" t="n">
        <v>1</v>
      </c>
      <c r="O5130" s="12" t="n">
        <v>1</v>
      </c>
      <c r="P5130" s="12" t="n"/>
      <c r="Q5130" s="12" t="n"/>
      <c r="R5130" s="12" t="n"/>
      <c r="S5130" s="12" t="inlineStr">
        <is>
          <t>Duct bank</t>
        </is>
      </c>
      <c r="T5130" s="15" t="n">
        <v>22</v>
      </c>
      <c r="U5130" s="15" t="n">
        <v>58</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I-I-0529</t>
        </is>
      </c>
      <c r="B5131" s="12" t="inlineStr">
        <is>
          <t>I</t>
        </is>
      </c>
      <c r="C5131" s="12" t="inlineStr">
        <is>
          <t>Modular / portable power</t>
        </is>
      </c>
      <c r="D5131" s="12" t="inlineStr">
        <is>
          <t>TGF-1 instrumentation</t>
        </is>
      </c>
      <c r="E5131" s="12" t="inlineStr">
        <is>
          <t>TGF-SWG</t>
        </is>
      </c>
      <c r="F5131" s="12" t="inlineStr">
        <is>
          <t>TGF-SWG: mobile 13.8 kV switchgear trailer (fleet collector)</t>
        </is>
      </c>
      <c r="G5131" s="12" t="inlineStr">
        <is>
          <t>TGF-1</t>
        </is>
      </c>
      <c r="H5131" s="12" t="inlineStr">
        <is>
          <t xml:space="preserve">TGF-1: trailer-mounted gas-engine generator ~2.5 MW, 13.8 kV (trailer </t>
        </is>
      </c>
      <c r="I5131" s="12" t="inlineStr">
        <is>
          <t>Instrumentation</t>
        </is>
      </c>
      <c r="J5131" s="12" t="inlineStr">
        <is>
          <t>Instrumentation ITC / PLTC, IS, #18 shielded pairs, blue jacket</t>
        </is>
      </c>
      <c r="K5131" s="12" t="inlineStr">
        <is>
          <t>ITC|4 pr|18</t>
        </is>
      </c>
      <c r="L5131" s="12" t="inlineStr">
        <is>
          <t>4 pr</t>
        </is>
      </c>
      <c r="M5131" s="12" t="inlineStr">
        <is>
          <t>18</t>
        </is>
      </c>
      <c r="N5131" s="12" t="n">
        <v>1</v>
      </c>
      <c r="O5131" s="12" t="n">
        <v>1</v>
      </c>
      <c r="P5131" s="12" t="n"/>
      <c r="Q5131" s="12" t="n"/>
      <c r="R5131" s="12" t="n"/>
      <c r="S5131" s="12" t="inlineStr">
        <is>
          <t>Surface</t>
        </is>
      </c>
      <c r="T5131" s="15" t="n">
        <v>82</v>
      </c>
      <c r="U5131" s="15" t="n">
        <v>37</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I-I-0530</t>
        </is>
      </c>
      <c r="B5132" s="12" t="inlineStr">
        <is>
          <t>I</t>
        </is>
      </c>
      <c r="C5132" s="12" t="inlineStr">
        <is>
          <t>Modular / portable power</t>
        </is>
      </c>
      <c r="D5132" s="12" t="inlineStr">
        <is>
          <t>TGF-2 instrumentation</t>
        </is>
      </c>
      <c r="E5132" s="12" t="inlineStr">
        <is>
          <t>TGF-SWG</t>
        </is>
      </c>
      <c r="F5132" s="12" t="inlineStr">
        <is>
          <t>TGF-SWG: mobile 13.8 kV switchgear trailer (fleet collector)</t>
        </is>
      </c>
      <c r="G5132" s="12" t="inlineStr">
        <is>
          <t>TGF-2</t>
        </is>
      </c>
      <c r="H5132" s="12" t="inlineStr">
        <is>
          <t xml:space="preserve">TGF-2: trailer-mounted gas-engine generator ~2.5 MW, 13.8 kV (trailer </t>
        </is>
      </c>
      <c r="I5132" s="12" t="inlineStr">
        <is>
          <t>Instrumentation</t>
        </is>
      </c>
      <c r="J5132" s="12" t="inlineStr">
        <is>
          <t>Instrumentation ITC / PLTC, IS, #18 shielded pairs, blue jacket</t>
        </is>
      </c>
      <c r="K5132" s="12" t="inlineStr">
        <is>
          <t>ITC|4 pr|18</t>
        </is>
      </c>
      <c r="L5132" s="12" t="inlineStr">
        <is>
          <t>4 pr</t>
        </is>
      </c>
      <c r="M5132" s="12" t="inlineStr">
        <is>
          <t>18</t>
        </is>
      </c>
      <c r="N5132" s="12" t="n">
        <v>1</v>
      </c>
      <c r="O5132" s="12" t="n">
        <v>1</v>
      </c>
      <c r="P5132" s="12" t="n"/>
      <c r="Q5132" s="12" t="n"/>
      <c r="R5132" s="12" t="n"/>
      <c r="S5132" s="12" t="inlineStr">
        <is>
          <t>Surface</t>
        </is>
      </c>
      <c r="T5132" s="15" t="n">
        <v>68</v>
      </c>
      <c r="U5132" s="15" t="n">
        <v>37</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I-I-0531</t>
        </is>
      </c>
      <c r="B5133" s="12" t="inlineStr">
        <is>
          <t>I</t>
        </is>
      </c>
      <c r="C5133" s="12" t="inlineStr">
        <is>
          <t>Modular / portable power</t>
        </is>
      </c>
      <c r="D5133" s="12" t="inlineStr">
        <is>
          <t>TGF-3 instrumentation</t>
        </is>
      </c>
      <c r="E5133" s="12" t="inlineStr">
        <is>
          <t>TGF-SWG</t>
        </is>
      </c>
      <c r="F5133" s="12" t="inlineStr">
        <is>
          <t>TGF-SWG: mobile 13.8 kV switchgear trailer (fleet collector)</t>
        </is>
      </c>
      <c r="G5133" s="12" t="inlineStr">
        <is>
          <t>TGF-3</t>
        </is>
      </c>
      <c r="H5133" s="12" t="inlineStr">
        <is>
          <t xml:space="preserve">TGF-3: trailer-mounted gas-engine generator ~2.5 MW, 13.8 kV (trailer </t>
        </is>
      </c>
      <c r="I5133" s="12" t="inlineStr">
        <is>
          <t>Instrumentation</t>
        </is>
      </c>
      <c r="J5133" s="12" t="inlineStr">
        <is>
          <t>Instrumentation ITC / PLTC, IS, #18 shielded pairs, blue jacket</t>
        </is>
      </c>
      <c r="K5133" s="12" t="inlineStr">
        <is>
          <t>ITC|4 pr|18</t>
        </is>
      </c>
      <c r="L5133" s="12" t="inlineStr">
        <is>
          <t>4 pr</t>
        </is>
      </c>
      <c r="M5133" s="12" t="inlineStr">
        <is>
          <t>18</t>
        </is>
      </c>
      <c r="N5133" s="12" t="n">
        <v>1</v>
      </c>
      <c r="O5133" s="12" t="n">
        <v>1</v>
      </c>
      <c r="P5133" s="12" t="n"/>
      <c r="Q5133" s="12" t="n"/>
      <c r="R5133" s="12" t="n"/>
      <c r="S5133" s="12" t="inlineStr">
        <is>
          <t>Surface</t>
        </is>
      </c>
      <c r="T5133" s="15" t="n">
        <v>54</v>
      </c>
      <c r="U5133" s="15" t="n">
        <v>37</v>
      </c>
      <c r="V5133" s="15">
        <f>ROUNDUP((T5133+U5133+2*'Read Me'!$B$13)*(1+'Read Me'!$B$12),-1)</f>
        <v/>
      </c>
      <c r="W5133" s="15">
        <f>V5133*N5133*O5133</f>
        <v/>
      </c>
      <c r="X5133" s="12">
        <f>IF(LEFT(I5133,2)="MV",2*N5133*IF(L5133="1/C",O5133,1),0)</f>
        <v/>
      </c>
      <c r="Y5133" s="12">
        <f>IF(OR(LEFT(K5133,4)="LVAX",LEFT(K5133,6)="MV15AX",LEFT(K5133,4)="CTAX",LEFT(K5133,2)="W|"),2*N5133*O5133,0)</f>
        <v/>
      </c>
      <c r="Z5133" s="12" t="inlineStr"/>
      <c r="AA5133" s="12">
        <f>N5133*O5133</f>
        <v/>
      </c>
    </row>
    <row r="5134">
      <c r="A5134" s="12" t="inlineStr">
        <is>
          <t>I-I-0532</t>
        </is>
      </c>
      <c r="B5134" s="12" t="inlineStr">
        <is>
          <t>I</t>
        </is>
      </c>
      <c r="C5134" s="12" t="inlineStr">
        <is>
          <t>Modular / portable power</t>
        </is>
      </c>
      <c r="D5134" s="12" t="inlineStr">
        <is>
          <t>TGF-4 instrumentation</t>
        </is>
      </c>
      <c r="E5134" s="12" t="inlineStr">
        <is>
          <t>TGF-SWG</t>
        </is>
      </c>
      <c r="F5134" s="12" t="inlineStr">
        <is>
          <t>TGF-SWG: mobile 13.8 kV switchgear trailer (fleet collector)</t>
        </is>
      </c>
      <c r="G5134" s="12" t="inlineStr">
        <is>
          <t>TGF-4</t>
        </is>
      </c>
      <c r="H5134" s="12" t="inlineStr">
        <is>
          <t xml:space="preserve">TGF-4: trailer-mounted gas-engine generator ~2.5 MW, 13.8 kV (trailer </t>
        </is>
      </c>
      <c r="I5134" s="12" t="inlineStr">
        <is>
          <t>Instrumentation</t>
        </is>
      </c>
      <c r="J5134" s="12" t="inlineStr">
        <is>
          <t>Instrumentation ITC / PLTC, IS, #18 shielded pairs, blue jacket</t>
        </is>
      </c>
      <c r="K5134" s="12" t="inlineStr">
        <is>
          <t>ITC|4 pr|18</t>
        </is>
      </c>
      <c r="L5134" s="12" t="inlineStr">
        <is>
          <t>4 pr</t>
        </is>
      </c>
      <c r="M5134" s="12" t="inlineStr">
        <is>
          <t>18</t>
        </is>
      </c>
      <c r="N5134" s="12" t="n">
        <v>1</v>
      </c>
      <c r="O5134" s="12" t="n">
        <v>1</v>
      </c>
      <c r="P5134" s="12" t="n"/>
      <c r="Q5134" s="12" t="n"/>
      <c r="R5134" s="12" t="n"/>
      <c r="S5134" s="12" t="inlineStr">
        <is>
          <t>Surface</t>
        </is>
      </c>
      <c r="T5134" s="15" t="n">
        <v>40</v>
      </c>
      <c r="U5134" s="15" t="n">
        <v>37</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I-I-0533</t>
        </is>
      </c>
      <c r="B5135" s="12" t="inlineStr">
        <is>
          <t>I</t>
        </is>
      </c>
      <c r="C5135" s="12" t="inlineStr">
        <is>
          <t>Modular / portable power</t>
        </is>
      </c>
      <c r="D5135" s="12" t="inlineStr">
        <is>
          <t>TGF-5 instrumentation</t>
        </is>
      </c>
      <c r="E5135" s="12" t="inlineStr">
        <is>
          <t>TGF-SWG</t>
        </is>
      </c>
      <c r="F5135" s="12" t="inlineStr">
        <is>
          <t>TGF-SWG: mobile 13.8 kV switchgear trailer (fleet collector)</t>
        </is>
      </c>
      <c r="G5135" s="12" t="inlineStr">
        <is>
          <t>TGF-5</t>
        </is>
      </c>
      <c r="H5135" s="12" t="inlineStr">
        <is>
          <t xml:space="preserve">TGF-5: trailer-mounted gas-engine generator ~2.5 MW, 13.8 kV (trailer </t>
        </is>
      </c>
      <c r="I5135" s="12" t="inlineStr">
        <is>
          <t>Instrumentation</t>
        </is>
      </c>
      <c r="J5135" s="12" t="inlineStr">
        <is>
          <t>Instrumentation ITC / PLTC, IS, #18 shielded pairs, blue jacket</t>
        </is>
      </c>
      <c r="K5135" s="12" t="inlineStr">
        <is>
          <t>ITC|4 pr|18</t>
        </is>
      </c>
      <c r="L5135" s="12" t="inlineStr">
        <is>
          <t>4 pr</t>
        </is>
      </c>
      <c r="M5135" s="12" t="inlineStr">
        <is>
          <t>18</t>
        </is>
      </c>
      <c r="N5135" s="12" t="n">
        <v>1</v>
      </c>
      <c r="O5135" s="12" t="n">
        <v>1</v>
      </c>
      <c r="P5135" s="12" t="n"/>
      <c r="Q5135" s="12" t="n"/>
      <c r="R5135" s="12" t="n"/>
      <c r="S5135" s="12" t="inlineStr">
        <is>
          <t>Surface</t>
        </is>
      </c>
      <c r="T5135" s="15" t="n">
        <v>34</v>
      </c>
      <c r="U5135" s="15" t="n">
        <v>31</v>
      </c>
      <c r="V5135" s="15">
        <f>ROUNDUP((T5135+U5135+2*'Read Me'!$B$13)*(1+'Read Me'!$B$12),-1)</f>
        <v/>
      </c>
      <c r="W5135" s="15">
        <f>V5135*N5135*O5135</f>
        <v/>
      </c>
      <c r="X5135" s="12">
        <f>IF(LEFT(I5135,2)="MV",2*N5135*IF(L5135="1/C",O5135,1),0)</f>
        <v/>
      </c>
      <c r="Y5135" s="12">
        <f>IF(OR(LEFT(K5135,4)="LVAX",LEFT(K5135,6)="MV15AX",LEFT(K5135,4)="CTAX",LEFT(K5135,2)="W|"),2*N5135*O5135,0)</f>
        <v/>
      </c>
      <c r="Z5135" s="12" t="inlineStr"/>
      <c r="AA5135" s="12">
        <f>N5135*O5135</f>
        <v/>
      </c>
    </row>
    <row r="5136">
      <c r="A5136" s="12" t="inlineStr">
        <is>
          <t>I-I-0534</t>
        </is>
      </c>
      <c r="B5136" s="12" t="inlineStr">
        <is>
          <t>I</t>
        </is>
      </c>
      <c r="C5136" s="12" t="inlineStr">
        <is>
          <t>Modular / portable power</t>
        </is>
      </c>
      <c r="D5136" s="12" t="inlineStr">
        <is>
          <t>TGF-6 instrumentation</t>
        </is>
      </c>
      <c r="E5136" s="12" t="inlineStr">
        <is>
          <t>TGF-SWG</t>
        </is>
      </c>
      <c r="F5136" s="12" t="inlineStr">
        <is>
          <t>TGF-SWG: mobile 13.8 kV switchgear trailer (fleet collector)</t>
        </is>
      </c>
      <c r="G5136" s="12" t="inlineStr">
        <is>
          <t>TGF-6</t>
        </is>
      </c>
      <c r="H5136" s="12" t="inlineStr">
        <is>
          <t xml:space="preserve">TGF-6: trailer-mounted gas-engine generator ~2.5 MW, 13.8 kV (trailer </t>
        </is>
      </c>
      <c r="I5136" s="12" t="inlineStr">
        <is>
          <t>Instrumentation</t>
        </is>
      </c>
      <c r="J5136" s="12" t="inlineStr">
        <is>
          <t>Instrumentation ITC / PLTC, IS, #18 shielded pairs, blue jacket</t>
        </is>
      </c>
      <c r="K5136" s="12" t="inlineStr">
        <is>
          <t>ITC|4 pr|18</t>
        </is>
      </c>
      <c r="L5136" s="12" t="inlineStr">
        <is>
          <t>4 pr</t>
        </is>
      </c>
      <c r="M5136" s="12" t="inlineStr">
        <is>
          <t>18</t>
        </is>
      </c>
      <c r="N5136" s="12" t="n">
        <v>1</v>
      </c>
      <c r="O5136" s="12" t="n">
        <v>1</v>
      </c>
      <c r="P5136" s="12" t="n"/>
      <c r="Q5136" s="12" t="n"/>
      <c r="R5136" s="12" t="n"/>
      <c r="S5136" s="12" t="inlineStr">
        <is>
          <t>Surface</t>
        </is>
      </c>
      <c r="T5136" s="15" t="n">
        <v>26</v>
      </c>
      <c r="U5136" s="15" t="n">
        <v>27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I-I-0535</t>
        </is>
      </c>
      <c r="B5137" s="12" t="inlineStr">
        <is>
          <t>I</t>
        </is>
      </c>
      <c r="C5137" s="12" t="inlineStr">
        <is>
          <t>Modular / portable power</t>
        </is>
      </c>
      <c r="D5137" s="12" t="inlineStr">
        <is>
          <t>TGF-GSU monitoring: temperatures, gas relay, oil level</t>
        </is>
      </c>
      <c r="E5137" s="12" t="inlineStr">
        <is>
          <t>TGF-SWG</t>
        </is>
      </c>
      <c r="F5137" s="12" t="inlineStr">
        <is>
          <t>TGF-SWG: mobile 13.8 kV switchgear trailer (fleet collector)</t>
        </is>
      </c>
      <c r="G5137" s="12" t="inlineStr">
        <is>
          <t>TGF-GSU</t>
        </is>
      </c>
      <c r="H5137" s="12" t="inlineStr">
        <is>
          <t>TGF-GSU: 13.8 / 34.5 kV step-up, ~20 MVA (trailer fleet)</t>
        </is>
      </c>
      <c r="I5137" s="12" t="inlineStr">
        <is>
          <t>Instrumentation</t>
        </is>
      </c>
      <c r="J5137" s="12" t="inlineStr">
        <is>
          <t>Instrumentation ITC / PLTC, IS, #18 shielded pairs, blue jacket</t>
        </is>
      </c>
      <c r="K5137" s="12" t="inlineStr">
        <is>
          <t>ITC|4 pr|18</t>
        </is>
      </c>
      <c r="L5137" s="12" t="inlineStr">
        <is>
          <t>4 pr</t>
        </is>
      </c>
      <c r="M5137" s="12" t="inlineStr">
        <is>
          <t>18</t>
        </is>
      </c>
      <c r="N5137" s="12" t="n">
        <v>1</v>
      </c>
      <c r="O5137" s="12" t="n">
        <v>1</v>
      </c>
      <c r="P5137" s="12" t="n"/>
      <c r="Q5137" s="12" t="n"/>
      <c r="R5137" s="12" t="n"/>
      <c r="S5137" s="12" t="inlineStr">
        <is>
          <t>Surface</t>
        </is>
      </c>
      <c r="T5137" s="15" t="n">
        <v>36</v>
      </c>
      <c r="U5137" s="15" t="n">
        <v>27</v>
      </c>
      <c r="V5137" s="15">
        <f>ROUNDUP((T5137+U5137+2*'Read Me'!$B$13)*(1+'Read Me'!$B$12),-1)</f>
        <v/>
      </c>
      <c r="W5137" s="15">
        <f>V5137*N5137*O5137</f>
        <v/>
      </c>
      <c r="X5137" s="12">
        <f>IF(LEFT(I5137,2)="MV",2*N5137*IF(L5137="1/C",O5137,1),0)</f>
        <v/>
      </c>
      <c r="Y5137" s="12">
        <f>IF(OR(LEFT(K5137,4)="LVAX",LEFT(K5137,6)="MV15AX",LEFT(K5137,4)="CTAX",LEFT(K5137,2)="W|"),2*N5137*O5137,0)</f>
        <v/>
      </c>
      <c r="Z5137" s="12" t="inlineStr"/>
      <c r="AA5137" s="12">
        <f>N5137*O5137</f>
        <v/>
      </c>
    </row>
    <row r="5138">
      <c r="A5138" s="12" t="inlineStr">
        <is>
          <t>I-I-0536</t>
        </is>
      </c>
      <c r="B5138" s="12" t="inlineStr">
        <is>
          <t>I</t>
        </is>
      </c>
      <c r="C5138" s="12" t="inlineStr">
        <is>
          <t>Modular / portable power</t>
        </is>
      </c>
      <c r="D5138" s="12" t="inlineStr">
        <is>
          <t>Analog instrument to JB JB-TM-1-AI01: 20 x 1 pr (field cables)</t>
        </is>
      </c>
      <c r="E5138" s="12" t="inlineStr">
        <is>
          <t>TM-1</t>
        </is>
      </c>
      <c r="F5138" s="12" t="inlineStr">
        <is>
          <t>TM-1: trailer-mounted aeroderivative GT (TM2500 class, ~35 MW)</t>
        </is>
      </c>
      <c r="G5138" s="12" t="inlineStr">
        <is>
          <t>JB-TM-1-AI01</t>
        </is>
      </c>
      <c r="H5138" s="12" t="inlineStr">
        <is>
          <t>TM-1: trailer-mounted aeroderivative GT (TM2500 class, ~35 MW)</t>
        </is>
      </c>
      <c r="I5138" s="12" t="inlineStr">
        <is>
          <t>Instrumentation</t>
        </is>
      </c>
      <c r="J5138" s="12" t="inlineStr">
        <is>
          <t>Instrumentation PLTC / TC-ER 300 V, #18 twisted shielded pairs, overall shield</t>
        </is>
      </c>
      <c r="K5138" s="12" t="inlineStr">
        <is>
          <t>PLTC|1 pr|16</t>
        </is>
      </c>
      <c r="L5138" s="12" t="inlineStr">
        <is>
          <t>1 pr</t>
        </is>
      </c>
      <c r="M5138" s="12" t="inlineStr">
        <is>
          <t>16</t>
        </is>
      </c>
      <c r="N5138" s="12" t="n">
        <v>20</v>
      </c>
      <c r="O5138" s="12" t="n">
        <v>1</v>
      </c>
      <c r="P5138" s="12" t="n"/>
      <c r="Q5138" s="12" t="n"/>
      <c r="R5138" s="12" t="n"/>
      <c r="S5138" s="12" t="inlineStr">
        <is>
          <t>Tray / conduit</t>
        </is>
      </c>
      <c r="T5138" s="15" t="n">
        <v>108</v>
      </c>
      <c r="U5138" s="15" t="n">
        <v>10</v>
      </c>
      <c r="V5138" s="15">
        <f>ROUNDUP((T5138+U5138+2*'Read Me'!$B$13)*(1+'Read Me'!$B$12),-1)</f>
        <v/>
      </c>
      <c r="W5138" s="15">
        <f>V5138*N5138*O5138</f>
        <v/>
      </c>
      <c r="X5138" s="12">
        <f>IF(LEFT(I5138,2)="MV",2*N5138*IF(L5138="1/C",O5138,1),0)</f>
        <v/>
      </c>
      <c r="Y5138" s="12">
        <f>IF(OR(LEFT(K5138,4)="LVAX",LEFT(K5138,6)="MV15AX",LEFT(K5138,4)="CTAX",LEFT(K5138,2)="W|"),2*N5138*O5138,0)</f>
        <v/>
      </c>
      <c r="Z5138" s="12" t="inlineStr">
        <is>
          <t>device-to-JB field wiring, one cable per device</t>
        </is>
      </c>
      <c r="AA5138" s="12">
        <f>N5138*O5138</f>
        <v/>
      </c>
    </row>
    <row r="5139">
      <c r="A5139" s="12" t="inlineStr">
        <is>
          <t>I-I-0537</t>
        </is>
      </c>
      <c r="B5139" s="12" t="inlineStr">
        <is>
          <t>I</t>
        </is>
      </c>
      <c r="C5139" s="12" t="inlineStr">
        <is>
          <t>Modular / portable power</t>
        </is>
      </c>
      <c r="D5139" s="12" t="inlineStr">
        <is>
          <t>Home run JB-TM-1-AI01 to the control / marshalling room</t>
        </is>
      </c>
      <c r="E5139" s="12" t="inlineStr">
        <is>
          <t>PAD-EH</t>
        </is>
      </c>
      <c r="F5139" s="12" t="inlineStr">
        <is>
          <t>PAD-EH 13.8 kV switchgear e-house</t>
        </is>
      </c>
      <c r="G5139" s="12" t="inlineStr">
        <is>
          <t>JB-TM-1-AI01</t>
        </is>
      </c>
      <c r="H5139" s="12" t="inlineStr">
        <is>
          <t>TM-1: trailer-mounted aeroderivative GT (TM2500 class, ~35 MW)</t>
        </is>
      </c>
      <c r="I5139" s="12" t="inlineStr">
        <is>
          <t>Instrumentation</t>
        </is>
      </c>
      <c r="J5139" s="12" t="inlineStr">
        <is>
          <t>Instrumentation PLTC / TC-ER 300 V, #18 twisted shielded pairs, overall shield</t>
        </is>
      </c>
      <c r="K5139" s="12" t="inlineStr">
        <is>
          <t>PLTC|24 pr|18</t>
        </is>
      </c>
      <c r="L5139" s="12" t="inlineStr">
        <is>
          <t>24 pr</t>
        </is>
      </c>
      <c r="M5139" s="12" t="inlineStr">
        <is>
          <t>18</t>
        </is>
      </c>
      <c r="N5139" s="12" t="n">
        <v>1</v>
      </c>
      <c r="O5139" s="12" t="n">
        <v>1</v>
      </c>
      <c r="P5139" s="12" t="n"/>
      <c r="Q5139" s="12" t="n"/>
      <c r="R5139" s="12" t="n"/>
      <c r="S5139" s="12" t="inlineStr">
        <is>
          <t>Duct bank</t>
        </is>
      </c>
      <c r="T5139" s="15" t="n">
        <v>437</v>
      </c>
      <c r="U5139" s="15" t="n">
        <v>39</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I-I-0538</t>
        </is>
      </c>
      <c r="B5140" s="12" t="inlineStr">
        <is>
          <t>I</t>
        </is>
      </c>
      <c r="C5140" s="12" t="inlineStr">
        <is>
          <t>Modular / portable power</t>
        </is>
      </c>
      <c r="D5140" s="12" t="inlineStr">
        <is>
          <t>Analog instrument to JB JB-TM-1-AI02: 20 x 1 pr (field cables)</t>
        </is>
      </c>
      <c r="E5140" s="12" t="inlineStr">
        <is>
          <t>TM-1</t>
        </is>
      </c>
      <c r="F5140" s="12" t="inlineStr">
        <is>
          <t>TM-1: trailer-mounted aeroderivative GT (TM2500 class, ~35 MW)</t>
        </is>
      </c>
      <c r="G5140" s="12" t="inlineStr">
        <is>
          <t>JB-TM-1-AI02</t>
        </is>
      </c>
      <c r="H5140" s="12" t="inlineStr">
        <is>
          <t>TM-1: trailer-mounted aeroderivative GT (TM2500 class, ~35 MW)</t>
        </is>
      </c>
      <c r="I5140" s="12" t="inlineStr">
        <is>
          <t>Instrumentation</t>
        </is>
      </c>
      <c r="J5140" s="12" t="inlineStr">
        <is>
          <t>Instrumentation PLTC / TC-ER 300 V, #18 twisted shielded pairs, overall shield</t>
        </is>
      </c>
      <c r="K5140" s="12" t="inlineStr">
        <is>
          <t>PLTC|1 pr|16</t>
        </is>
      </c>
      <c r="L5140" s="12" t="inlineStr">
        <is>
          <t>1 pr</t>
        </is>
      </c>
      <c r="M5140" s="12" t="inlineStr">
        <is>
          <t>16</t>
        </is>
      </c>
      <c r="N5140" s="12" t="n">
        <v>20</v>
      </c>
      <c r="O5140" s="12" t="n">
        <v>1</v>
      </c>
      <c r="P5140" s="12" t="n"/>
      <c r="Q5140" s="12" t="n"/>
      <c r="R5140" s="12" t="n"/>
      <c r="S5140" s="12" t="inlineStr">
        <is>
          <t>Tray / conduit</t>
        </is>
      </c>
      <c r="T5140" s="15" t="n">
        <v>108</v>
      </c>
      <c r="U5140" s="15" t="n">
        <v>10</v>
      </c>
      <c r="V5140" s="15">
        <f>ROUNDUP((T5140+U5140+2*'Read Me'!$B$13)*(1+'Read Me'!$B$12),-1)</f>
        <v/>
      </c>
      <c r="W5140" s="15">
        <f>V5140*N5140*O5140</f>
        <v/>
      </c>
      <c r="X5140" s="12">
        <f>IF(LEFT(I5140,2)="MV",2*N5140*IF(L5140="1/C",O5140,1),0)</f>
        <v/>
      </c>
      <c r="Y5140" s="12">
        <f>IF(OR(LEFT(K5140,4)="LVAX",LEFT(K5140,6)="MV15AX",LEFT(K5140,4)="CTAX",LEFT(K5140,2)="W|"),2*N5140*O5140,0)</f>
        <v/>
      </c>
      <c r="Z5140" s="12" t="inlineStr">
        <is>
          <t>device-to-JB field wiring, one cable per device</t>
        </is>
      </c>
      <c r="AA5140" s="12">
        <f>N5140*O5140</f>
        <v/>
      </c>
    </row>
    <row r="5141">
      <c r="A5141" s="12" t="inlineStr">
        <is>
          <t>I-I-0539</t>
        </is>
      </c>
      <c r="B5141" s="12" t="inlineStr">
        <is>
          <t>I</t>
        </is>
      </c>
      <c r="C5141" s="12" t="inlineStr">
        <is>
          <t>Modular / portable power</t>
        </is>
      </c>
      <c r="D5141" s="12" t="inlineStr">
        <is>
          <t>Home run JB-TM-1-AI02 to the control / marshalling room</t>
        </is>
      </c>
      <c r="E5141" s="12" t="inlineStr">
        <is>
          <t>PAD-EH</t>
        </is>
      </c>
      <c r="F5141" s="12" t="inlineStr">
        <is>
          <t>PAD-EH 13.8 kV switchgear e-house</t>
        </is>
      </c>
      <c r="G5141" s="12" t="inlineStr">
        <is>
          <t>JB-TM-1-AI02</t>
        </is>
      </c>
      <c r="H5141" s="12" t="inlineStr">
        <is>
          <t>TM-1: trailer-mounted aeroderivative GT (TM2500 class, ~35 MW)</t>
        </is>
      </c>
      <c r="I5141" s="12" t="inlineStr">
        <is>
          <t>Instrumentation</t>
        </is>
      </c>
      <c r="J5141" s="12" t="inlineStr">
        <is>
          <t>Instrumentation PLTC / TC-ER 300 V, #18 twisted shielded pairs, overall shield</t>
        </is>
      </c>
      <c r="K5141" s="12" t="inlineStr">
        <is>
          <t>PLTC|24 pr|18</t>
        </is>
      </c>
      <c r="L5141" s="12" t="inlineStr">
        <is>
          <t>24 pr</t>
        </is>
      </c>
      <c r="M5141" s="12" t="inlineStr">
        <is>
          <t>18</t>
        </is>
      </c>
      <c r="N5141" s="12" t="n">
        <v>1</v>
      </c>
      <c r="O5141" s="12" t="n">
        <v>1</v>
      </c>
      <c r="P5141" s="12" t="n"/>
      <c r="Q5141" s="12" t="n"/>
      <c r="R5141" s="12" t="n"/>
      <c r="S5141" s="12" t="inlineStr">
        <is>
          <t>Duct bank</t>
        </is>
      </c>
      <c r="T5141" s="15" t="n">
        <v>437</v>
      </c>
      <c r="U5141" s="15" t="n">
        <v>39</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I-I-0540</t>
        </is>
      </c>
      <c r="B5142" s="12" t="inlineStr">
        <is>
          <t>I</t>
        </is>
      </c>
      <c r="C5142" s="12" t="inlineStr">
        <is>
          <t>Modular / portable power</t>
        </is>
      </c>
      <c r="D5142" s="12" t="inlineStr">
        <is>
          <t>Analog instrument to JB JB-TM-1-AI03: 20 x 1 pr (field cables)</t>
        </is>
      </c>
      <c r="E5142" s="12" t="inlineStr">
        <is>
          <t>TM-1</t>
        </is>
      </c>
      <c r="F5142" s="12" t="inlineStr">
        <is>
          <t>TM-1: trailer-mounted aeroderivative GT (TM2500 class, ~35 MW)</t>
        </is>
      </c>
      <c r="G5142" s="12" t="inlineStr">
        <is>
          <t>JB-TM-1-AI03</t>
        </is>
      </c>
      <c r="H5142" s="12" t="inlineStr">
        <is>
          <t>TM-1: trailer-mounted aeroderivative GT (TM2500 class, ~35 MW)</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20</v>
      </c>
      <c r="O5142" s="12" t="n">
        <v>1</v>
      </c>
      <c r="P5142" s="12" t="n"/>
      <c r="Q5142" s="12" t="n"/>
      <c r="R5142" s="12" t="n"/>
      <c r="S5142" s="12" t="inlineStr">
        <is>
          <t>Tray / conduit</t>
        </is>
      </c>
      <c r="T5142" s="15" t="n">
        <v>108</v>
      </c>
      <c r="U5142" s="15" t="n">
        <v>10</v>
      </c>
      <c r="V5142" s="15">
        <f>ROUNDUP((T5142+U5142+2*'Read Me'!$B$13)*(1+'Read Me'!$B$12),-1)</f>
        <v/>
      </c>
      <c r="W5142" s="15">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I-I-0541</t>
        </is>
      </c>
      <c r="B5143" s="12" t="inlineStr">
        <is>
          <t>I</t>
        </is>
      </c>
      <c r="C5143" s="12" t="inlineStr">
        <is>
          <t>Modular / portable power</t>
        </is>
      </c>
      <c r="D5143" s="12" t="inlineStr">
        <is>
          <t>Home run JB-TM-1-AI03 to the control / marshalling room</t>
        </is>
      </c>
      <c r="E5143" s="12" t="inlineStr">
        <is>
          <t>PAD-EH</t>
        </is>
      </c>
      <c r="F5143" s="12" t="inlineStr">
        <is>
          <t>PAD-EH 13.8 kV switchgear e-house</t>
        </is>
      </c>
      <c r="G5143" s="12" t="inlineStr">
        <is>
          <t>JB-TM-1-AI03</t>
        </is>
      </c>
      <c r="H5143" s="12" t="inlineStr">
        <is>
          <t>TM-1: trailer-mounted aeroderivative GT (TM2500 class, ~35 MW)</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Duct bank</t>
        </is>
      </c>
      <c r="T5143" s="15" t="n">
        <v>437</v>
      </c>
      <c r="U5143" s="15" t="n">
        <v>39</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I-I-0542</t>
        </is>
      </c>
      <c r="B5144" s="12" t="inlineStr">
        <is>
          <t>I</t>
        </is>
      </c>
      <c r="C5144" s="12" t="inlineStr">
        <is>
          <t>Modular / portable power</t>
        </is>
      </c>
      <c r="D5144" s="12" t="inlineStr">
        <is>
          <t>Analog instrument to JB JB-TM-1-AI04: 20 x 1 pr (field cables)</t>
        </is>
      </c>
      <c r="E5144" s="12" t="inlineStr">
        <is>
          <t>TM-1</t>
        </is>
      </c>
      <c r="F5144" s="12" t="inlineStr">
        <is>
          <t>TM-1: trailer-mounted aeroderivative GT (TM2500 class, ~35 MW)</t>
        </is>
      </c>
      <c r="G5144" s="12" t="inlineStr">
        <is>
          <t>JB-TM-1-AI04</t>
        </is>
      </c>
      <c r="H5144" s="12" t="inlineStr">
        <is>
          <t>TM-1: trailer-mounted aeroderivative GT (TM2500 class, ~35 MW)</t>
        </is>
      </c>
      <c r="I5144" s="12" t="inlineStr">
        <is>
          <t>Instrumentation</t>
        </is>
      </c>
      <c r="J5144" s="12" t="inlineStr">
        <is>
          <t>Instrumentation PLTC / TC-ER 300 V, #18 twisted shielded pairs, overall shield</t>
        </is>
      </c>
      <c r="K5144" s="12" t="inlineStr">
        <is>
          <t>PLTC|1 pr|16</t>
        </is>
      </c>
      <c r="L5144" s="12" t="inlineStr">
        <is>
          <t>1 pr</t>
        </is>
      </c>
      <c r="M5144" s="12" t="inlineStr">
        <is>
          <t>16</t>
        </is>
      </c>
      <c r="N5144" s="12" t="n">
        <v>20</v>
      </c>
      <c r="O5144" s="12" t="n">
        <v>1</v>
      </c>
      <c r="P5144" s="12" t="n"/>
      <c r="Q5144" s="12" t="n"/>
      <c r="R5144" s="12" t="n"/>
      <c r="S5144" s="12" t="inlineStr">
        <is>
          <t>Tray / conduit</t>
        </is>
      </c>
      <c r="T5144" s="15" t="n">
        <v>108</v>
      </c>
      <c r="U5144" s="15" t="n">
        <v>10</v>
      </c>
      <c r="V5144" s="15">
        <f>ROUNDUP((T5144+U5144+2*'Read Me'!$B$13)*(1+'Read Me'!$B$12),-1)</f>
        <v/>
      </c>
      <c r="W5144" s="15">
        <f>V5144*N5144*O5144</f>
        <v/>
      </c>
      <c r="X5144" s="12">
        <f>IF(LEFT(I5144,2)="MV",2*N5144*IF(L5144="1/C",O5144,1),0)</f>
        <v/>
      </c>
      <c r="Y5144" s="12">
        <f>IF(OR(LEFT(K5144,4)="LVAX",LEFT(K5144,6)="MV15AX",LEFT(K5144,4)="CTAX",LEFT(K5144,2)="W|"),2*N5144*O5144,0)</f>
        <v/>
      </c>
      <c r="Z5144" s="12" t="inlineStr">
        <is>
          <t>device-to-JB field wiring, one cable per device</t>
        </is>
      </c>
      <c r="AA5144" s="12">
        <f>N5144*O5144</f>
        <v/>
      </c>
    </row>
    <row r="5145">
      <c r="A5145" s="12" t="inlineStr">
        <is>
          <t>I-I-0543</t>
        </is>
      </c>
      <c r="B5145" s="12" t="inlineStr">
        <is>
          <t>I</t>
        </is>
      </c>
      <c r="C5145" s="12" t="inlineStr">
        <is>
          <t>Modular / portable power</t>
        </is>
      </c>
      <c r="D5145" s="12" t="inlineStr">
        <is>
          <t>Home run JB-TM-1-AI04 to the control / marshalling room</t>
        </is>
      </c>
      <c r="E5145" s="12" t="inlineStr">
        <is>
          <t>PAD-EH</t>
        </is>
      </c>
      <c r="F5145" s="12" t="inlineStr">
        <is>
          <t>PAD-EH 13.8 kV switchgear e-house</t>
        </is>
      </c>
      <c r="G5145" s="12" t="inlineStr">
        <is>
          <t>JB-TM-1-AI04</t>
        </is>
      </c>
      <c r="H5145" s="12" t="inlineStr">
        <is>
          <t>TM-1: trailer-mounted aeroderivative GT (TM2500 class, ~35 MW)</t>
        </is>
      </c>
      <c r="I5145" s="12" t="inlineStr">
        <is>
          <t>Instrumentation</t>
        </is>
      </c>
      <c r="J5145" s="12" t="inlineStr">
        <is>
          <t>Instrumentation PLTC / TC-ER 300 V, #18 twisted shielded pairs, overall shield</t>
        </is>
      </c>
      <c r="K5145" s="12" t="inlineStr">
        <is>
          <t>PLTC|24 pr|18</t>
        </is>
      </c>
      <c r="L5145" s="12" t="inlineStr">
        <is>
          <t>24 pr</t>
        </is>
      </c>
      <c r="M5145" s="12" t="inlineStr">
        <is>
          <t>18</t>
        </is>
      </c>
      <c r="N5145" s="12" t="n">
        <v>1</v>
      </c>
      <c r="O5145" s="12" t="n">
        <v>1</v>
      </c>
      <c r="P5145" s="12" t="n"/>
      <c r="Q5145" s="12" t="n"/>
      <c r="R5145" s="12" t="n"/>
      <c r="S5145" s="12" t="inlineStr">
        <is>
          <t>Duct bank</t>
        </is>
      </c>
      <c r="T5145" s="15" t="n">
        <v>437</v>
      </c>
      <c r="U5145" s="15" t="n">
        <v>39</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I-I-0544</t>
        </is>
      </c>
      <c r="B5146" s="12" t="inlineStr">
        <is>
          <t>I</t>
        </is>
      </c>
      <c r="C5146" s="12" t="inlineStr">
        <is>
          <t>Modular / portable power</t>
        </is>
      </c>
      <c r="D5146" s="12" t="inlineStr">
        <is>
          <t>Analog instrument to JB JB-TM-1-AI05: 20 x 1 pr (field cables)</t>
        </is>
      </c>
      <c r="E5146" s="12" t="inlineStr">
        <is>
          <t>TM-1</t>
        </is>
      </c>
      <c r="F5146" s="12" t="inlineStr">
        <is>
          <t>TM-1: trailer-mounted aeroderivative GT (TM2500 class, ~35 MW)</t>
        </is>
      </c>
      <c r="G5146" s="12" t="inlineStr">
        <is>
          <t>JB-TM-1-AI05</t>
        </is>
      </c>
      <c r="H5146" s="12" t="inlineStr">
        <is>
          <t>TM-1: trailer-mounted aeroderivative GT (TM2500 class, ~35 MW)</t>
        </is>
      </c>
      <c r="I5146" s="12" t="inlineStr">
        <is>
          <t>Instrumentation</t>
        </is>
      </c>
      <c r="J5146" s="12" t="inlineStr">
        <is>
          <t>Instrumentation PLTC / TC-ER 300 V, #18 twisted shielded pairs, overall shield</t>
        </is>
      </c>
      <c r="K5146" s="12" t="inlineStr">
        <is>
          <t>PLTC|1 pr|16</t>
        </is>
      </c>
      <c r="L5146" s="12" t="inlineStr">
        <is>
          <t>1 pr</t>
        </is>
      </c>
      <c r="M5146" s="12" t="inlineStr">
        <is>
          <t>16</t>
        </is>
      </c>
      <c r="N5146" s="12" t="n">
        <v>20</v>
      </c>
      <c r="O5146" s="12" t="n">
        <v>1</v>
      </c>
      <c r="P5146" s="12" t="n"/>
      <c r="Q5146" s="12" t="n"/>
      <c r="R5146" s="12" t="n"/>
      <c r="S5146" s="12" t="inlineStr">
        <is>
          <t>Tray / conduit</t>
        </is>
      </c>
      <c r="T5146" s="15" t="n">
        <v>108</v>
      </c>
      <c r="U5146" s="15" t="n">
        <v>10</v>
      </c>
      <c r="V5146" s="15">
        <f>ROUNDUP((T5146+U5146+2*'Read Me'!$B$13)*(1+'Read Me'!$B$12),-1)</f>
        <v/>
      </c>
      <c r="W5146" s="15">
        <f>V5146*N5146*O5146</f>
        <v/>
      </c>
      <c r="X5146" s="12">
        <f>IF(LEFT(I5146,2)="MV",2*N5146*IF(L5146="1/C",O5146,1),0)</f>
        <v/>
      </c>
      <c r="Y5146" s="12">
        <f>IF(OR(LEFT(K5146,4)="LVAX",LEFT(K5146,6)="MV15AX",LEFT(K5146,4)="CTAX",LEFT(K5146,2)="W|"),2*N5146*O5146,0)</f>
        <v/>
      </c>
      <c r="Z5146" s="12" t="inlineStr">
        <is>
          <t>device-to-JB field wiring, one cable per device</t>
        </is>
      </c>
      <c r="AA5146" s="12">
        <f>N5146*O5146</f>
        <v/>
      </c>
    </row>
    <row r="5147">
      <c r="A5147" s="12" t="inlineStr">
        <is>
          <t>I-I-0545</t>
        </is>
      </c>
      <c r="B5147" s="12" t="inlineStr">
        <is>
          <t>I</t>
        </is>
      </c>
      <c r="C5147" s="12" t="inlineStr">
        <is>
          <t>Modular / portable power</t>
        </is>
      </c>
      <c r="D5147" s="12" t="inlineStr">
        <is>
          <t>Home run JB-TM-1-AI05 to the control / marshalling room</t>
        </is>
      </c>
      <c r="E5147" s="12" t="inlineStr">
        <is>
          <t>PAD-EH</t>
        </is>
      </c>
      <c r="F5147" s="12" t="inlineStr">
        <is>
          <t>PAD-EH 13.8 kV switchgear e-house</t>
        </is>
      </c>
      <c r="G5147" s="12" t="inlineStr">
        <is>
          <t>JB-TM-1-AI05</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PLTC|24 pr|18</t>
        </is>
      </c>
      <c r="L5147" s="12" t="inlineStr">
        <is>
          <t>24 pr</t>
        </is>
      </c>
      <c r="M5147" s="12" t="inlineStr">
        <is>
          <t>18</t>
        </is>
      </c>
      <c r="N5147" s="12" t="n">
        <v>1</v>
      </c>
      <c r="O5147" s="12" t="n">
        <v>1</v>
      </c>
      <c r="P5147" s="12" t="n"/>
      <c r="Q5147" s="12" t="n"/>
      <c r="R5147" s="12" t="n"/>
      <c r="S5147" s="12" t="inlineStr">
        <is>
          <t>Duct bank</t>
        </is>
      </c>
      <c r="T5147" s="15" t="n">
        <v>437</v>
      </c>
      <c r="U5147" s="15" t="n">
        <v>39</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I-I-0546</t>
        </is>
      </c>
      <c r="B5148" s="12" t="inlineStr">
        <is>
          <t>I</t>
        </is>
      </c>
      <c r="C5148" s="12" t="inlineStr">
        <is>
          <t>Modular / portable power</t>
        </is>
      </c>
      <c r="D5148" s="12" t="inlineStr">
        <is>
          <t>Discrete device to JB JB-TM-1-DI01: 20 x 1 pr (field cables)</t>
        </is>
      </c>
      <c r="E5148" s="12" t="inlineStr">
        <is>
          <t>TM-1</t>
        </is>
      </c>
      <c r="F5148" s="12" t="inlineStr">
        <is>
          <t>TM-1: trailer-mounted aeroderivative GT (TM2500 class, ~35 MW)</t>
        </is>
      </c>
      <c r="G5148" s="12" t="inlineStr">
        <is>
          <t>JB-TM-1-DI01</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PLTC|1 pr|16</t>
        </is>
      </c>
      <c r="L5148" s="12" t="inlineStr">
        <is>
          <t>1 pr</t>
        </is>
      </c>
      <c r="M5148" s="12" t="inlineStr">
        <is>
          <t>16</t>
        </is>
      </c>
      <c r="N5148" s="12" t="n">
        <v>20</v>
      </c>
      <c r="O5148" s="12" t="n">
        <v>1</v>
      </c>
      <c r="P5148" s="12" t="n"/>
      <c r="Q5148" s="12" t="n"/>
      <c r="R5148" s="12" t="n"/>
      <c r="S5148" s="12" t="inlineStr">
        <is>
          <t>Tray / conduit</t>
        </is>
      </c>
      <c r="T5148" s="15" t="n">
        <v>108</v>
      </c>
      <c r="U5148" s="15" t="n">
        <v>10</v>
      </c>
      <c r="V5148" s="15">
        <f>ROUNDUP((T5148+U5148+2*'Read Me'!$B$13)*(1+'Read Me'!$B$12),-1)</f>
        <v/>
      </c>
      <c r="W5148" s="15">
        <f>V5148*N5148*O5148</f>
        <v/>
      </c>
      <c r="X5148" s="12">
        <f>IF(LEFT(I5148,2)="MV",2*N5148*IF(L5148="1/C",O5148,1),0)</f>
        <v/>
      </c>
      <c r="Y5148" s="12">
        <f>IF(OR(LEFT(K5148,4)="LVAX",LEFT(K5148,6)="MV15AX",LEFT(K5148,4)="CTAX",LEFT(K5148,2)="W|"),2*N5148*O5148,0)</f>
        <v/>
      </c>
      <c r="Z5148" s="12" t="inlineStr">
        <is>
          <t>device-to-JB field wiring, one cable per device</t>
        </is>
      </c>
      <c r="AA5148" s="12">
        <f>N5148*O5148</f>
        <v/>
      </c>
    </row>
    <row r="5149">
      <c r="A5149" s="12" t="inlineStr">
        <is>
          <t>I-I-0547</t>
        </is>
      </c>
      <c r="B5149" s="12" t="inlineStr">
        <is>
          <t>I</t>
        </is>
      </c>
      <c r="C5149" s="12" t="inlineStr">
        <is>
          <t>Modular / portable power</t>
        </is>
      </c>
      <c r="D5149" s="12" t="inlineStr">
        <is>
          <t>Home run JB-TM-1-DI01 to the control / marshalling room</t>
        </is>
      </c>
      <c r="E5149" s="12" t="inlineStr">
        <is>
          <t>PAD-EH</t>
        </is>
      </c>
      <c r="F5149" s="12" t="inlineStr">
        <is>
          <t>PAD-EH 13.8 kV switchgear e-house</t>
        </is>
      </c>
      <c r="G5149" s="12" t="inlineStr">
        <is>
          <t>JB-TM-1-DI01</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PLTC|24 pr|18</t>
        </is>
      </c>
      <c r="L5149" s="12" t="inlineStr">
        <is>
          <t>24 pr</t>
        </is>
      </c>
      <c r="M5149" s="12" t="inlineStr">
        <is>
          <t>18</t>
        </is>
      </c>
      <c r="N5149" s="12" t="n">
        <v>1</v>
      </c>
      <c r="O5149" s="12" t="n">
        <v>1</v>
      </c>
      <c r="P5149" s="12" t="n"/>
      <c r="Q5149" s="12" t="n"/>
      <c r="R5149" s="12" t="n"/>
      <c r="S5149" s="12" t="inlineStr">
        <is>
          <t>Duct bank</t>
        </is>
      </c>
      <c r="T5149" s="15" t="n">
        <v>437</v>
      </c>
      <c r="U5149" s="15" t="n">
        <v>39</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I-I-0548</t>
        </is>
      </c>
      <c r="B5150" s="12" t="inlineStr">
        <is>
          <t>I</t>
        </is>
      </c>
      <c r="C5150" s="12" t="inlineStr">
        <is>
          <t>Modular / portable power</t>
        </is>
      </c>
      <c r="D5150" s="12" t="inlineStr">
        <is>
          <t>Discrete device to JB JB-TM-1-DI02: 20 x 1 pr (field cables)</t>
        </is>
      </c>
      <c r="E5150" s="12" t="inlineStr">
        <is>
          <t>TM-1</t>
        </is>
      </c>
      <c r="F5150" s="12" t="inlineStr">
        <is>
          <t>TM-1: trailer-mounted aeroderivative GT (TM2500 class, ~35 MW)</t>
        </is>
      </c>
      <c r="G5150" s="12" t="inlineStr">
        <is>
          <t>JB-TM-1-DI02</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PLTC|1 pr|16</t>
        </is>
      </c>
      <c r="L5150" s="12" t="inlineStr">
        <is>
          <t>1 pr</t>
        </is>
      </c>
      <c r="M5150" s="12" t="inlineStr">
        <is>
          <t>16</t>
        </is>
      </c>
      <c r="N5150" s="12" t="n">
        <v>20</v>
      </c>
      <c r="O5150" s="12" t="n">
        <v>1</v>
      </c>
      <c r="P5150" s="12" t="n"/>
      <c r="Q5150" s="12" t="n"/>
      <c r="R5150" s="12" t="n"/>
      <c r="S5150" s="12" t="inlineStr">
        <is>
          <t>Tray / conduit</t>
        </is>
      </c>
      <c r="T5150" s="15" t="n">
        <v>108</v>
      </c>
      <c r="U5150" s="15" t="n">
        <v>10</v>
      </c>
      <c r="V5150" s="15">
        <f>ROUNDUP((T5150+U5150+2*'Read Me'!$B$13)*(1+'Read Me'!$B$12),-1)</f>
        <v/>
      </c>
      <c r="W5150" s="15">
        <f>V5150*N5150*O5150</f>
        <v/>
      </c>
      <c r="X5150" s="12">
        <f>IF(LEFT(I5150,2)="MV",2*N5150*IF(L5150="1/C",O5150,1),0)</f>
        <v/>
      </c>
      <c r="Y5150" s="12">
        <f>IF(OR(LEFT(K5150,4)="LVAX",LEFT(K5150,6)="MV15AX",LEFT(K5150,4)="CTAX",LEFT(K5150,2)="W|"),2*N5150*O5150,0)</f>
        <v/>
      </c>
      <c r="Z5150" s="12" t="inlineStr">
        <is>
          <t>device-to-JB field wiring, one cable per device</t>
        </is>
      </c>
      <c r="AA5150" s="12">
        <f>N5150*O5150</f>
        <v/>
      </c>
    </row>
    <row r="5151">
      <c r="A5151" s="12" t="inlineStr">
        <is>
          <t>I-I-0549</t>
        </is>
      </c>
      <c r="B5151" s="12" t="inlineStr">
        <is>
          <t>I</t>
        </is>
      </c>
      <c r="C5151" s="12" t="inlineStr">
        <is>
          <t>Modular / portable power</t>
        </is>
      </c>
      <c r="D5151" s="12" t="inlineStr">
        <is>
          <t>Home run JB-TM-1-DI02 to the control / marshalling room</t>
        </is>
      </c>
      <c r="E5151" s="12" t="inlineStr">
        <is>
          <t>PAD-EH</t>
        </is>
      </c>
      <c r="F5151" s="12" t="inlineStr">
        <is>
          <t>PAD-EH 13.8 kV switchgear e-house</t>
        </is>
      </c>
      <c r="G5151" s="12" t="inlineStr">
        <is>
          <t>JB-TM-1-DI02</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PLTC|24 pr|18</t>
        </is>
      </c>
      <c r="L5151" s="12" t="inlineStr">
        <is>
          <t>24 pr</t>
        </is>
      </c>
      <c r="M5151" s="12" t="inlineStr">
        <is>
          <t>18</t>
        </is>
      </c>
      <c r="N5151" s="12" t="n">
        <v>1</v>
      </c>
      <c r="O5151" s="12" t="n">
        <v>1</v>
      </c>
      <c r="P5151" s="12" t="n"/>
      <c r="Q5151" s="12" t="n"/>
      <c r="R5151" s="12" t="n"/>
      <c r="S5151" s="12" t="inlineStr">
        <is>
          <t>Duct bank</t>
        </is>
      </c>
      <c r="T5151" s="15" t="n">
        <v>437</v>
      </c>
      <c r="U5151" s="15" t="n">
        <v>39</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I-I-0550</t>
        </is>
      </c>
      <c r="B5152" s="12" t="inlineStr">
        <is>
          <t>I</t>
        </is>
      </c>
      <c r="C5152" s="12" t="inlineStr">
        <is>
          <t>Modular / portable power</t>
        </is>
      </c>
      <c r="D5152" s="12" t="inlineStr">
        <is>
          <t>Discrete device to JB JB-TM-1-DI03: 20 x 1 pr (field cables)</t>
        </is>
      </c>
      <c r="E5152" s="12" t="inlineStr">
        <is>
          <t>TM-1</t>
        </is>
      </c>
      <c r="F5152" s="12" t="inlineStr">
        <is>
          <t>TM-1: trailer-mounted aeroderivative GT (TM2500 class, ~35 MW)</t>
        </is>
      </c>
      <c r="G5152" s="12" t="inlineStr">
        <is>
          <t>JB-TM-1-DI03</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PLTC|1 pr|16</t>
        </is>
      </c>
      <c r="L5152" s="12" t="inlineStr">
        <is>
          <t>1 pr</t>
        </is>
      </c>
      <c r="M5152" s="12" t="inlineStr">
        <is>
          <t>16</t>
        </is>
      </c>
      <c r="N5152" s="12" t="n">
        <v>20</v>
      </c>
      <c r="O5152" s="12" t="n">
        <v>1</v>
      </c>
      <c r="P5152" s="12" t="n"/>
      <c r="Q5152" s="12" t="n"/>
      <c r="R5152" s="12" t="n"/>
      <c r="S5152" s="12" t="inlineStr">
        <is>
          <t>Tray / conduit</t>
        </is>
      </c>
      <c r="T5152" s="15" t="n">
        <v>108</v>
      </c>
      <c r="U5152" s="15" t="n">
        <v>10</v>
      </c>
      <c r="V5152" s="15">
        <f>ROUNDUP((T5152+U5152+2*'Read Me'!$B$13)*(1+'Read Me'!$B$12),-1)</f>
        <v/>
      </c>
      <c r="W5152" s="15">
        <f>V5152*N5152*O5152</f>
        <v/>
      </c>
      <c r="X5152" s="12">
        <f>IF(LEFT(I5152,2)="MV",2*N5152*IF(L5152="1/C",O5152,1),0)</f>
        <v/>
      </c>
      <c r="Y5152" s="12">
        <f>IF(OR(LEFT(K5152,4)="LVAX",LEFT(K5152,6)="MV15AX",LEFT(K5152,4)="CTAX",LEFT(K5152,2)="W|"),2*N5152*O5152,0)</f>
        <v/>
      </c>
      <c r="Z5152" s="12" t="inlineStr">
        <is>
          <t>device-to-JB field wiring, one cable per device</t>
        </is>
      </c>
      <c r="AA5152" s="12">
        <f>N5152*O5152</f>
        <v/>
      </c>
    </row>
    <row r="5153">
      <c r="A5153" s="12" t="inlineStr">
        <is>
          <t>I-I-0551</t>
        </is>
      </c>
      <c r="B5153" s="12" t="inlineStr">
        <is>
          <t>I</t>
        </is>
      </c>
      <c r="C5153" s="12" t="inlineStr">
        <is>
          <t>Modular / portable power</t>
        </is>
      </c>
      <c r="D5153" s="12" t="inlineStr">
        <is>
          <t>Home run JB-TM-1-DI03 to the control / marshalling room</t>
        </is>
      </c>
      <c r="E5153" s="12" t="inlineStr">
        <is>
          <t>PAD-EH</t>
        </is>
      </c>
      <c r="F5153" s="12" t="inlineStr">
        <is>
          <t>PAD-EH 13.8 kV switchgear e-house</t>
        </is>
      </c>
      <c r="G5153" s="12" t="inlineStr">
        <is>
          <t>JB-TM-1-DI03</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PLTC|24 pr|18</t>
        </is>
      </c>
      <c r="L5153" s="12" t="inlineStr">
        <is>
          <t>24 pr</t>
        </is>
      </c>
      <c r="M5153" s="12" t="inlineStr">
        <is>
          <t>18</t>
        </is>
      </c>
      <c r="N5153" s="12" t="n">
        <v>1</v>
      </c>
      <c r="O5153" s="12" t="n">
        <v>1</v>
      </c>
      <c r="P5153" s="12" t="n"/>
      <c r="Q5153" s="12" t="n"/>
      <c r="R5153" s="12" t="n"/>
      <c r="S5153" s="12" t="inlineStr">
        <is>
          <t>Duct bank</t>
        </is>
      </c>
      <c r="T5153" s="15" t="n">
        <v>437</v>
      </c>
      <c r="U5153" s="15" t="n">
        <v>39</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I-I-0552</t>
        </is>
      </c>
      <c r="B5154" s="12" t="inlineStr">
        <is>
          <t>I</t>
        </is>
      </c>
      <c r="C5154" s="12" t="inlineStr">
        <is>
          <t>Modular / portable power</t>
        </is>
      </c>
      <c r="D5154" s="12" t="inlineStr">
        <is>
          <t>Thermocouple to TC JB JB-TM-1-TC01: 20 x 1 pr (field cables)</t>
        </is>
      </c>
      <c r="E5154" s="12" t="inlineStr">
        <is>
          <t>TM-1</t>
        </is>
      </c>
      <c r="F5154" s="12" t="inlineStr">
        <is>
          <t>TM-1: trailer-mounted aeroderivative GT (TM2500 class, ~35 MW)</t>
        </is>
      </c>
      <c r="G5154" s="12" t="inlineStr">
        <is>
          <t>JB-TM-1-TC01</t>
        </is>
      </c>
      <c r="H5154" s="12" t="inlineStr">
        <is>
          <t>TM-1: trailer-mounted aeroderivative GT (TM2500 class, ~35 MW)</t>
        </is>
      </c>
      <c r="I5154" s="12" t="inlineStr">
        <is>
          <t>Instrumentation</t>
        </is>
      </c>
      <c r="J5154" s="12" t="inlineStr">
        <is>
          <t>Thermocouple extension KX, #16 shielded pairs, PLTC</t>
        </is>
      </c>
      <c r="K5154" s="12" t="inlineStr">
        <is>
          <t>TCX|1 pr|16</t>
        </is>
      </c>
      <c r="L5154" s="12" t="inlineStr">
        <is>
          <t>1 pr</t>
        </is>
      </c>
      <c r="M5154" s="12" t="inlineStr">
        <is>
          <t>16</t>
        </is>
      </c>
      <c r="N5154" s="12" t="n">
        <v>20</v>
      </c>
      <c r="O5154" s="12" t="n">
        <v>1</v>
      </c>
      <c r="P5154" s="12" t="n"/>
      <c r="Q5154" s="12" t="n"/>
      <c r="R5154" s="12" t="n"/>
      <c r="S5154" s="12" t="inlineStr">
        <is>
          <t>Tray / conduit</t>
        </is>
      </c>
      <c r="T5154" s="15" t="n">
        <v>108</v>
      </c>
      <c r="U5154" s="15" t="n">
        <v>10</v>
      </c>
      <c r="V5154" s="15">
        <f>ROUNDUP((T5154+U5154+2*'Read Me'!$B$13)*(1+'Read Me'!$B$12),-1)</f>
        <v/>
      </c>
      <c r="W5154" s="15">
        <f>V5154*N5154*O5154</f>
        <v/>
      </c>
      <c r="X5154" s="12">
        <f>IF(LEFT(I5154,2)="MV",2*N5154*IF(L5154="1/C",O5154,1),0)</f>
        <v/>
      </c>
      <c r="Y5154" s="12">
        <f>IF(OR(LEFT(K5154,4)="LVAX",LEFT(K5154,6)="MV15AX",LEFT(K5154,4)="CTAX",LEFT(K5154,2)="W|"),2*N5154*O5154,0)</f>
        <v/>
      </c>
      <c r="Z5154" s="12" t="inlineStr">
        <is>
          <t>device-to-JB field wiring, one cable per device</t>
        </is>
      </c>
      <c r="AA5154" s="12">
        <f>N5154*O5154</f>
        <v/>
      </c>
    </row>
    <row r="5155">
      <c r="A5155" s="12" t="inlineStr">
        <is>
          <t>I-I-0553</t>
        </is>
      </c>
      <c r="B5155" s="12" t="inlineStr">
        <is>
          <t>I</t>
        </is>
      </c>
      <c r="C5155" s="12" t="inlineStr">
        <is>
          <t>Modular / portable power</t>
        </is>
      </c>
      <c r="D5155" s="12" t="inlineStr">
        <is>
          <t>Home run JB-TM-1-TC01 to the control / marshalling room</t>
        </is>
      </c>
      <c r="E5155" s="12" t="inlineStr">
        <is>
          <t>PAD-EH</t>
        </is>
      </c>
      <c r="F5155" s="12" t="inlineStr">
        <is>
          <t>PAD-EH 13.8 kV switchgear e-house</t>
        </is>
      </c>
      <c r="G5155" s="12" t="inlineStr">
        <is>
          <t>JB-TM-1-TC01</t>
        </is>
      </c>
      <c r="H5155" s="12" t="inlineStr">
        <is>
          <t>TM-1: trailer-mounted aeroderivative GT (TM2500 class, ~35 MW)</t>
        </is>
      </c>
      <c r="I5155" s="12" t="inlineStr">
        <is>
          <t>Instrumentation</t>
        </is>
      </c>
      <c r="J5155" s="12" t="inlineStr">
        <is>
          <t>Thermocouple extension KX, #16 shielded pairs, PLTC</t>
        </is>
      </c>
      <c r="K5155" s="12" t="inlineStr">
        <is>
          <t>TCX|24 pr|16</t>
        </is>
      </c>
      <c r="L5155" s="12" t="inlineStr">
        <is>
          <t>24 pr</t>
        </is>
      </c>
      <c r="M5155" s="12" t="inlineStr">
        <is>
          <t>16</t>
        </is>
      </c>
      <c r="N5155" s="12" t="n">
        <v>1</v>
      </c>
      <c r="O5155" s="12" t="n">
        <v>1</v>
      </c>
      <c r="P5155" s="12" t="n"/>
      <c r="Q5155" s="12" t="n"/>
      <c r="R5155" s="12" t="n"/>
      <c r="S5155" s="12" t="inlineStr">
        <is>
          <t>Duct bank</t>
        </is>
      </c>
      <c r="T5155" s="15" t="n">
        <v>437</v>
      </c>
      <c r="U5155" s="15" t="n">
        <v>39</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I-I-0554</t>
        </is>
      </c>
      <c r="B5156" s="12" t="inlineStr">
        <is>
          <t>I</t>
        </is>
      </c>
      <c r="C5156" s="12" t="inlineStr">
        <is>
          <t>Modular / portable power</t>
        </is>
      </c>
      <c r="D5156" s="12" t="inlineStr">
        <is>
          <t>Analog instrument to JB JB-Water-injection sk-AI01: 10 x 1 pr (field cables)</t>
        </is>
      </c>
      <c r="E5156" s="12" t="inlineStr"/>
      <c r="F5156" s="12" t="inlineStr">
        <is>
          <t>Water-injection skid</t>
        </is>
      </c>
      <c r="G5156" s="12" t="inlineStr">
        <is>
          <t>JB-Water-injection sk-AI01</t>
        </is>
      </c>
      <c r="H5156" s="12" t="inlineStr">
        <is>
          <t>Water-injection skid</t>
        </is>
      </c>
      <c r="I5156" s="12" t="inlineStr">
        <is>
          <t>Instrumentation</t>
        </is>
      </c>
      <c r="J5156" s="12" t="inlineStr">
        <is>
          <t>Instrumentation PLTC / TC-ER 300 V, #18 twisted shielded pairs, overall shield</t>
        </is>
      </c>
      <c r="K5156" s="12" t="inlineStr">
        <is>
          <t>PLTC|1 pr|16</t>
        </is>
      </c>
      <c r="L5156" s="12" t="inlineStr">
        <is>
          <t>1 pr</t>
        </is>
      </c>
      <c r="M5156" s="12" t="inlineStr">
        <is>
          <t>16</t>
        </is>
      </c>
      <c r="N5156" s="12" t="n">
        <v>10</v>
      </c>
      <c r="O5156" s="12" t="n">
        <v>1</v>
      </c>
      <c r="P5156" s="12" t="n"/>
      <c r="Q5156" s="12" t="n"/>
      <c r="R5156" s="12" t="n"/>
      <c r="S5156" s="12" t="inlineStr">
        <is>
          <t>Tray / conduit</t>
        </is>
      </c>
      <c r="T5156" s="15" t="n">
        <v>43</v>
      </c>
      <c r="U5156" s="15" t="n">
        <v>10</v>
      </c>
      <c r="V5156" s="15">
        <f>ROUNDUP((T5156+U5156+2*'Read Me'!$B$13)*(1+'Read Me'!$B$12),-1)</f>
        <v/>
      </c>
      <c r="W5156" s="15">
        <f>V5156*N5156*O5156</f>
        <v/>
      </c>
      <c r="X5156" s="12">
        <f>IF(LEFT(I5156,2)="MV",2*N5156*IF(L5156="1/C",O5156,1),0)</f>
        <v/>
      </c>
      <c r="Y5156" s="12">
        <f>IF(OR(LEFT(K5156,4)="LVAX",LEFT(K5156,6)="MV15AX",LEFT(K5156,4)="CTAX",LEFT(K5156,2)="W|"),2*N5156*O5156,0)</f>
        <v/>
      </c>
      <c r="Z5156" s="12" t="inlineStr">
        <is>
          <t>device-to-JB field wiring, one cable per device</t>
        </is>
      </c>
      <c r="AA5156" s="12">
        <f>N5156*O5156</f>
        <v/>
      </c>
    </row>
    <row r="5157">
      <c r="A5157" s="12" t="inlineStr">
        <is>
          <t>I-I-0555</t>
        </is>
      </c>
      <c r="B5157" s="12" t="inlineStr">
        <is>
          <t>I</t>
        </is>
      </c>
      <c r="C5157" s="12" t="inlineStr">
        <is>
          <t>Modular / portable power</t>
        </is>
      </c>
      <c r="D5157" s="12" t="inlineStr">
        <is>
          <t>Home run JB-Water-injection sk-AI01 to the control / marshalling room</t>
        </is>
      </c>
      <c r="E5157" s="12" t="inlineStr"/>
      <c r="F5157" s="12" t="inlineStr">
        <is>
          <t>SC-2 PCM + 15 kV GCB</t>
        </is>
      </c>
      <c r="G5157" s="12" t="inlineStr">
        <is>
          <t>JB-Water-injection sk-AI01</t>
        </is>
      </c>
      <c r="H5157" s="12" t="inlineStr">
        <is>
          <t>Water-injection skid</t>
        </is>
      </c>
      <c r="I5157" s="12" t="inlineStr">
        <is>
          <t>Instrumentation</t>
        </is>
      </c>
      <c r="J5157" s="12" t="inlineStr">
        <is>
          <t>Instrumentation PLTC / TC-ER 300 V, #18 twisted shielded pairs, overall shield</t>
        </is>
      </c>
      <c r="K5157" s="12" t="inlineStr">
        <is>
          <t>PLTC|24 pr|18</t>
        </is>
      </c>
      <c r="L5157" s="12" t="inlineStr">
        <is>
          <t>24 pr</t>
        </is>
      </c>
      <c r="M5157" s="12" t="inlineStr">
        <is>
          <t>18</t>
        </is>
      </c>
      <c r="N5157" s="12" t="n">
        <v>1</v>
      </c>
      <c r="O5157" s="12" t="n">
        <v>1</v>
      </c>
      <c r="P5157" s="12" t="n"/>
      <c r="Q5157" s="12" t="n"/>
      <c r="R5157" s="12" t="n"/>
      <c r="S5157" s="12" t="inlineStr">
        <is>
          <t>Duct bank</t>
        </is>
      </c>
      <c r="T5157" s="15" t="n">
        <v>0</v>
      </c>
      <c r="U5157" s="15" t="n">
        <v>60</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I-I-0556</t>
        </is>
      </c>
      <c r="B5158" s="12" t="inlineStr">
        <is>
          <t>I</t>
        </is>
      </c>
      <c r="C5158" s="12" t="inlineStr">
        <is>
          <t>Modular / portable power</t>
        </is>
      </c>
      <c r="D5158" s="12" t="inlineStr">
        <is>
          <t>Discrete device to JB JB-Water-injection sk-DI01: 10 x 1 pr (field cables)</t>
        </is>
      </c>
      <c r="E5158" s="12" t="inlineStr"/>
      <c r="F5158" s="12" t="inlineStr">
        <is>
          <t>Water-injection skid</t>
        </is>
      </c>
      <c r="G5158" s="12" t="inlineStr">
        <is>
          <t>JB-Water-injection sk-DI01</t>
        </is>
      </c>
      <c r="H5158" s="12" t="inlineStr">
        <is>
          <t>Water-injection skid</t>
        </is>
      </c>
      <c r="I5158" s="12" t="inlineStr">
        <is>
          <t>Instrumentation</t>
        </is>
      </c>
      <c r="J5158" s="12" t="inlineStr">
        <is>
          <t>Instrumentation PLTC / TC-ER 300 V, #18 twisted shielded pairs, overall shield</t>
        </is>
      </c>
      <c r="K5158" s="12" t="inlineStr">
        <is>
          <t>PLTC|1 pr|16</t>
        </is>
      </c>
      <c r="L5158" s="12" t="inlineStr">
        <is>
          <t>1 pr</t>
        </is>
      </c>
      <c r="M5158" s="12" t="inlineStr">
        <is>
          <t>16</t>
        </is>
      </c>
      <c r="N5158" s="12" t="n">
        <v>10</v>
      </c>
      <c r="O5158" s="12" t="n">
        <v>1</v>
      </c>
      <c r="P5158" s="12" t="n"/>
      <c r="Q5158" s="12" t="n"/>
      <c r="R5158" s="12" t="n"/>
      <c r="S5158" s="12" t="inlineStr">
        <is>
          <t>Tray / conduit</t>
        </is>
      </c>
      <c r="T5158" s="15" t="n">
        <v>43</v>
      </c>
      <c r="U5158" s="15" t="n">
        <v>10</v>
      </c>
      <c r="V5158" s="15">
        <f>ROUNDUP((T5158+U5158+2*'Read Me'!$B$13)*(1+'Read Me'!$B$12),-1)</f>
        <v/>
      </c>
      <c r="W5158" s="15">
        <f>V5158*N5158*O5158</f>
        <v/>
      </c>
      <c r="X5158" s="12">
        <f>IF(LEFT(I5158,2)="MV",2*N5158*IF(L5158="1/C",O5158,1),0)</f>
        <v/>
      </c>
      <c r="Y5158" s="12">
        <f>IF(OR(LEFT(K5158,4)="LVAX",LEFT(K5158,6)="MV15AX",LEFT(K5158,4)="CTAX",LEFT(K5158,2)="W|"),2*N5158*O5158,0)</f>
        <v/>
      </c>
      <c r="Z5158" s="12" t="inlineStr">
        <is>
          <t>device-to-JB field wiring, one cable per device</t>
        </is>
      </c>
      <c r="AA5158" s="12">
        <f>N5158*O5158</f>
        <v/>
      </c>
    </row>
    <row r="5159">
      <c r="A5159" s="12" t="inlineStr">
        <is>
          <t>I-I-0557</t>
        </is>
      </c>
      <c r="B5159" s="12" t="inlineStr">
        <is>
          <t>I</t>
        </is>
      </c>
      <c r="C5159" s="12" t="inlineStr">
        <is>
          <t>Modular / portable power</t>
        </is>
      </c>
      <c r="D5159" s="12" t="inlineStr">
        <is>
          <t>Home run JB-Water-injection sk-DI01 to the control / marshalling room</t>
        </is>
      </c>
      <c r="E5159" s="12" t="inlineStr"/>
      <c r="F5159" s="12" t="inlineStr">
        <is>
          <t>SC-2 PCM + 15 kV GCB</t>
        </is>
      </c>
      <c r="G5159" s="12" t="inlineStr">
        <is>
          <t>JB-Water-injection sk-DI01</t>
        </is>
      </c>
      <c r="H5159" s="12" t="inlineStr">
        <is>
          <t>Water-injection skid</t>
        </is>
      </c>
      <c r="I5159" s="12" t="inlineStr">
        <is>
          <t>Instrumentation</t>
        </is>
      </c>
      <c r="J5159" s="12" t="inlineStr">
        <is>
          <t>Instrumentation PLTC / TC-ER 300 V, #18 twisted shielded pairs, overall shield</t>
        </is>
      </c>
      <c r="K5159" s="12" t="inlineStr">
        <is>
          <t>PLTC|24 pr|18</t>
        </is>
      </c>
      <c r="L5159" s="12" t="inlineStr">
        <is>
          <t>24 pr</t>
        </is>
      </c>
      <c r="M5159" s="12" t="inlineStr">
        <is>
          <t>18</t>
        </is>
      </c>
      <c r="N5159" s="12" t="n">
        <v>1</v>
      </c>
      <c r="O5159" s="12" t="n">
        <v>1</v>
      </c>
      <c r="P5159" s="12" t="n"/>
      <c r="Q5159" s="12" t="n"/>
      <c r="R5159" s="12" t="n"/>
      <c r="S5159" s="12" t="inlineStr">
        <is>
          <t>Duct bank</t>
        </is>
      </c>
      <c r="T5159" s="15" t="n">
        <v>0</v>
      </c>
      <c r="U5159" s="15" t="n">
        <v>60</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I-P-0001</t>
        </is>
      </c>
      <c r="B5160" s="12" t="inlineStr">
        <is>
          <t>I</t>
        </is>
      </c>
      <c r="C5160" s="12" t="inlineStr">
        <is>
          <t>Modular / portable power</t>
        </is>
      </c>
      <c r="D5160" s="12" t="inlineStr">
        <is>
          <t>AX-1 package auxiliaries 480 V (from the unit auxiliary transformer in the control module)</t>
        </is>
      </c>
      <c r="E5160" s="12" t="inlineStr">
        <is>
          <t>AX-1</t>
        </is>
      </c>
      <c r="F5160" s="12" t="inlineStr">
        <is>
          <t xml:space="preserve">AX-1: compact modular aeroderivative installation, LM2500XPRESS class </t>
        </is>
      </c>
      <c r="G5160" s="12" t="inlineStr">
        <is>
          <t>AX-1</t>
        </is>
      </c>
      <c r="H5160" s="12" t="inlineStr">
        <is>
          <t xml:space="preserve">AX-1: compact modular aeroderivative installation, LM2500XPRESS class </t>
        </is>
      </c>
      <c r="I5160" s="12" t="inlineStr">
        <is>
          <t>LV 600 V</t>
        </is>
      </c>
      <c r="J5160" s="12" t="inlineStr">
        <is>
          <t>Type TC-ER 600 V 3/C Cu XHHW-2 + ground, PVC jacket</t>
        </is>
      </c>
      <c r="K5160" s="12" t="inlineStr">
        <is>
          <t>LV|3/C+G|500</t>
        </is>
      </c>
      <c r="L5160" s="12" t="inlineStr">
        <is>
          <t>3/C+G</t>
        </is>
      </c>
      <c r="M5160" s="12" t="inlineStr">
        <is>
          <t>500 kcmil</t>
        </is>
      </c>
      <c r="N5160" s="12" t="n">
        <v>2</v>
      </c>
      <c r="O5160" s="12" t="n">
        <v>1</v>
      </c>
      <c r="P5160" s="12" t="n">
        <v>480</v>
      </c>
      <c r="Q5160" s="12" t="n">
        <v>400</v>
      </c>
      <c r="R5160" s="12" t="n">
        <v>510</v>
      </c>
      <c r="S5160" s="12" t="inlineStr">
        <is>
          <t>Tray</t>
        </is>
      </c>
      <c r="T5160" s="15" t="n">
        <v>120</v>
      </c>
      <c r="U5160" s="15" t="n">
        <v>10</v>
      </c>
      <c r="V5160" s="15">
        <f>ROUNDUP((T5160+U5160+2*'Read Me'!$B$13)*(1+'Read Me'!$B$12),-1)</f>
        <v/>
      </c>
      <c r="W5160" s="15">
        <f>V5160*N5160*O5160</f>
        <v/>
      </c>
      <c r="X5160" s="12">
        <f>IF(LEFT(I5160,2)="MV",2*N5160*IF(L5160="1/C",O5160,1),0)</f>
        <v/>
      </c>
      <c r="Y5160" s="12">
        <f>IF(OR(LEFT(K5160,4)="LVAX",LEFT(K5160,6)="MV15AX",LEFT(K5160,4)="CTAX",LEFT(K5160,2)="W|"),2*N5160*O5160,0)</f>
        <v/>
      </c>
      <c r="Z5160" s="12" t="inlineStr">
        <is>
          <t>internal to the package</t>
        </is>
      </c>
      <c r="AA5160" s="12">
        <f>N5160*O5160</f>
        <v/>
      </c>
    </row>
    <row r="5161">
      <c r="A5161" s="12" t="inlineStr">
        <is>
          <t>I-P-0002</t>
        </is>
      </c>
      <c r="B5161" s="12" t="inlineStr">
        <is>
          <t>I</t>
        </is>
      </c>
      <c r="C5161" s="12" t="inlineStr">
        <is>
          <t>Modular / portable power</t>
        </is>
      </c>
      <c r="D5161" s="12" t="inlineStr">
        <is>
          <t>Motor 1 of 2, 3.7 kW</t>
        </is>
      </c>
      <c r="E5161" s="12" t="inlineStr"/>
      <c r="F5161" s="12" t="inlineStr">
        <is>
          <t>SC-2 PCM + 15 kV GCB</t>
        </is>
      </c>
      <c r="G5161" s="12" t="inlineStr"/>
      <c r="H5161" s="12" t="inlineStr">
        <is>
          <t>Aqueous ammonia (SC units)</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3.7</v>
      </c>
      <c r="R5161" s="12" t="n">
        <v>5.2</v>
      </c>
      <c r="S5161" s="12" t="inlineStr">
        <is>
          <t>Duct bank</t>
        </is>
      </c>
      <c r="T5161" s="15" t="n">
        <v>0</v>
      </c>
      <c r="U5161" s="15" t="n">
        <v>98</v>
      </c>
      <c r="V5161" s="15">
        <f>ROUNDUP((T5161+U5161+2*'Read Me'!$B$13)*(1+'Read Me'!$B$12),-1)</f>
        <v/>
      </c>
      <c r="W5161" s="15">
        <f>V5161*N5161*O5161</f>
        <v/>
      </c>
      <c r="X5161" s="12">
        <f>IF(LEFT(I5161,2)="MV",2*N5161*IF(L5161="1/C",O5161,1),0)</f>
        <v/>
      </c>
      <c r="Y5161" s="12">
        <f>IF(OR(LEFT(K5161,4)="LVAX",LEFT(K5161,6)="MV15AX",LEFT(K5161,4)="CTAX",LEFT(K5161,2)="W|"),2*N5161*O5161,0)</f>
        <v/>
      </c>
      <c r="Z5161" s="12" t="inlineStr">
        <is>
          <t>VD 0.2 %</t>
        </is>
      </c>
      <c r="AA5161" s="12">
        <f>N5161*O5161</f>
        <v/>
      </c>
    </row>
    <row r="5162">
      <c r="A5162" s="12" t="inlineStr">
        <is>
          <t>I-P-0003</t>
        </is>
      </c>
      <c r="B5162" s="12" t="inlineStr">
        <is>
          <t>I</t>
        </is>
      </c>
      <c r="C5162" s="12" t="inlineStr">
        <is>
          <t>Modular / portable power</t>
        </is>
      </c>
      <c r="D5162" s="12" t="inlineStr">
        <is>
          <t>Motor 2 of 2, 3.7 kW</t>
        </is>
      </c>
      <c r="E5162" s="12" t="inlineStr"/>
      <c r="F5162" s="12" t="inlineStr">
        <is>
          <t>SC-2 PCM + 15 kV GCB</t>
        </is>
      </c>
      <c r="G5162" s="12" t="inlineStr"/>
      <c r="H5162" s="12" t="inlineStr">
        <is>
          <t>Aqueous ammonia (SC units)</t>
        </is>
      </c>
      <c r="I5162" s="12" t="inlineStr">
        <is>
          <t>LV 600 V</t>
        </is>
      </c>
      <c r="J5162" s="12" t="inlineStr">
        <is>
          <t>Type TC-ER 600 V 3/C Cu XHHW-2 + ground, PVC jacket</t>
        </is>
      </c>
      <c r="K5162" s="12" t="inlineStr">
        <is>
          <t>LV|3/C+G|10</t>
        </is>
      </c>
      <c r="L5162" s="12" t="inlineStr">
        <is>
          <t>3/C+G</t>
        </is>
      </c>
      <c r="M5162" s="12" t="inlineStr">
        <is>
          <t>10</t>
        </is>
      </c>
      <c r="N5162" s="12" t="n">
        <v>1</v>
      </c>
      <c r="O5162" s="12" t="n">
        <v>1</v>
      </c>
      <c r="P5162" s="12" t="n">
        <v>480</v>
      </c>
      <c r="Q5162" s="12" t="n">
        <v>3.7</v>
      </c>
      <c r="R5162" s="12" t="n">
        <v>5.2</v>
      </c>
      <c r="S5162" s="12" t="inlineStr">
        <is>
          <t>Duct bank</t>
        </is>
      </c>
      <c r="T5162" s="15" t="n">
        <v>0</v>
      </c>
      <c r="U5162" s="15" t="n">
        <v>98</v>
      </c>
      <c r="V5162" s="15">
        <f>ROUNDUP((T5162+U5162+2*'Read Me'!$B$13)*(1+'Read Me'!$B$12),-1)</f>
        <v/>
      </c>
      <c r="W5162" s="15">
        <f>V5162*N5162*O5162</f>
        <v/>
      </c>
      <c r="X5162" s="12">
        <f>IF(LEFT(I5162,2)="MV",2*N5162*IF(L5162="1/C",O5162,1),0)</f>
        <v/>
      </c>
      <c r="Y5162" s="12">
        <f>IF(OR(LEFT(K5162,4)="LVAX",LEFT(K5162,6)="MV15AX",LEFT(K5162,4)="CTAX",LEFT(K5162,2)="W|"),2*N5162*O5162,0)</f>
        <v/>
      </c>
      <c r="Z5162" s="12" t="inlineStr">
        <is>
          <t>VD 0.2 %</t>
        </is>
      </c>
      <c r="AA5162" s="12">
        <f>N5162*O5162</f>
        <v/>
      </c>
    </row>
    <row r="5163">
      <c r="A5163" s="12" t="inlineStr">
        <is>
          <t>I-P-0004</t>
        </is>
      </c>
      <c r="B5163" s="12" t="inlineStr">
        <is>
          <t>I</t>
        </is>
      </c>
      <c r="C5163" s="12" t="inlineStr">
        <is>
          <t>Modular / portable power</t>
        </is>
      </c>
      <c r="D5163" s="12" t="inlineStr">
        <is>
          <t>Black-start genset output</t>
        </is>
      </c>
      <c r="E5163" s="12" t="inlineStr"/>
      <c r="F5163" s="12" t="inlineStr">
        <is>
          <t>Black-start genset (proposed; requires study)</t>
        </is>
      </c>
      <c r="G5163" s="12" t="inlineStr"/>
      <c r="H5163" s="12" t="inlineStr">
        <is>
          <t>BS black-start switchgear</t>
        </is>
      </c>
      <c r="I5163" s="12" t="inlineStr">
        <is>
          <t>LV 600 V</t>
        </is>
      </c>
      <c r="J5163" s="12" t="inlineStr">
        <is>
          <t>Type TC-ER 600 V 3/C Cu XHHW-2 + ground, PVC jacket</t>
        </is>
      </c>
      <c r="K5163" s="12" t="inlineStr">
        <is>
          <t>LV|3/C+G|500</t>
        </is>
      </c>
      <c r="L5163" s="12" t="inlineStr">
        <is>
          <t>3/C+G</t>
        </is>
      </c>
      <c r="M5163" s="12" t="inlineStr">
        <is>
          <t>500 kcmil</t>
        </is>
      </c>
      <c r="N5163" s="12" t="n">
        <v>10</v>
      </c>
      <c r="O5163" s="12" t="n">
        <v>1</v>
      </c>
      <c r="P5163" s="12" t="n">
        <v>480</v>
      </c>
      <c r="Q5163" s="12" t="n">
        <v>2000</v>
      </c>
      <c r="R5163" s="12" t="n">
        <v>2532.3</v>
      </c>
      <c r="S5163" s="12" t="inlineStr">
        <is>
          <t>Tray</t>
        </is>
      </c>
      <c r="T5163" s="15" t="n">
        <v>0</v>
      </c>
      <c r="U5163" s="15" t="n">
        <v>41</v>
      </c>
      <c r="V5163" s="15">
        <f>ROUNDUP((T5163+U5163+2*'Read Me'!$B$13)*(1+'Read Me'!$B$12),-1)</f>
        <v/>
      </c>
      <c r="W5163" s="15">
        <f>V5163*N5163*O5163</f>
        <v/>
      </c>
      <c r="X5163" s="12">
        <f>IF(LEFT(I5163,2)="MV",2*N5163*IF(L5163="1/C",O5163,1),0)</f>
        <v/>
      </c>
      <c r="Y5163" s="12">
        <f>IF(OR(LEFT(K5163,4)="LVAX",LEFT(K5163,6)="MV15AX",LEFT(K5163,4)="CTAX",LEFT(K5163,2)="W|"),2*N5163*O5163,0)</f>
        <v/>
      </c>
      <c r="Z5163" s="12" t="inlineStr">
        <is>
          <t>VD 0.1 %</t>
        </is>
      </c>
      <c r="AA5163" s="12">
        <f>N5163*O5163</f>
        <v/>
      </c>
    </row>
    <row r="5164">
      <c r="A5164" s="12" t="inlineStr">
        <is>
          <t>I-P-0005</t>
        </is>
      </c>
      <c r="B5164" s="12" t="inlineStr">
        <is>
          <t>I</t>
        </is>
      </c>
      <c r="C5164" s="12" t="inlineStr">
        <is>
          <t>Modular / portable power</t>
        </is>
      </c>
      <c r="D5164" s="12" t="inlineStr">
        <is>
          <t>Black-start genset output</t>
        </is>
      </c>
      <c r="E5164" s="12" t="inlineStr"/>
      <c r="F5164" s="12" t="inlineStr">
        <is>
          <t>Black-start genset (proposed; requires study)</t>
        </is>
      </c>
      <c r="G5164" s="12" t="inlineStr"/>
      <c r="H5164" s="12" t="inlineStr">
        <is>
          <t>BS black-start switchgear</t>
        </is>
      </c>
      <c r="I5164" s="12" t="inlineStr">
        <is>
          <t>LV 600 V</t>
        </is>
      </c>
      <c r="J5164" s="12" t="inlineStr">
        <is>
          <t>Type TC-ER 600 V 3/C Cu XHHW-2 + ground, PVC jacket</t>
        </is>
      </c>
      <c r="K5164" s="12" t="inlineStr">
        <is>
          <t>LV|3/C+G|500</t>
        </is>
      </c>
      <c r="L5164" s="12" t="inlineStr">
        <is>
          <t>3/C+G</t>
        </is>
      </c>
      <c r="M5164" s="12" t="inlineStr">
        <is>
          <t>500 kcmil</t>
        </is>
      </c>
      <c r="N5164" s="12" t="n">
        <v>10</v>
      </c>
      <c r="O5164" s="12" t="n">
        <v>1</v>
      </c>
      <c r="P5164" s="12" t="n">
        <v>480</v>
      </c>
      <c r="Q5164" s="12" t="n">
        <v>2000</v>
      </c>
      <c r="R5164" s="12" t="n">
        <v>2532.3</v>
      </c>
      <c r="S5164" s="12" t="inlineStr">
        <is>
          <t>Tray</t>
        </is>
      </c>
      <c r="T5164" s="15" t="n">
        <v>0</v>
      </c>
      <c r="U5164" s="15" t="n">
        <v>49</v>
      </c>
      <c r="V5164" s="15">
        <f>ROUNDUP((T5164+U5164+2*'Read Me'!$B$13)*(1+'Read Me'!$B$12),-1)</f>
        <v/>
      </c>
      <c r="W5164" s="15">
        <f>V5164*N5164*O5164</f>
        <v/>
      </c>
      <c r="X5164" s="12">
        <f>IF(LEFT(I5164,2)="MV",2*N5164*IF(L5164="1/C",O5164,1),0)</f>
        <v/>
      </c>
      <c r="Y5164" s="12">
        <f>IF(OR(LEFT(K5164,4)="LVAX",LEFT(K5164,6)="MV15AX",LEFT(K5164,4)="CTAX",LEFT(K5164,2)="W|"),2*N5164*O5164,0)</f>
        <v/>
      </c>
      <c r="Z5164" s="12" t="inlineStr">
        <is>
          <t>VD 0.1 %</t>
        </is>
      </c>
      <c r="AA5164" s="12">
        <f>N5164*O5164</f>
        <v/>
      </c>
    </row>
    <row r="5165">
      <c r="A5165" s="12" t="inlineStr">
        <is>
          <t>I-P-0006</t>
        </is>
      </c>
      <c r="B5165" s="12" t="inlineStr">
        <is>
          <t>I</t>
        </is>
      </c>
      <c r="C5165" s="12" t="inlineStr">
        <is>
          <t>Modular / portable power</t>
        </is>
      </c>
      <c r="D5165" s="12" t="inlineStr">
        <is>
          <t>LV power feeder</t>
        </is>
      </c>
      <c r="E5165" s="12" t="inlineStr"/>
      <c r="F5165" s="12" t="inlineStr">
        <is>
          <t>PCM: power control module</t>
        </is>
      </c>
      <c r="G5165" s="12" t="inlineStr"/>
      <c r="H5165" s="12" t="inlineStr">
        <is>
          <t>BS black-start switchgear</t>
        </is>
      </c>
      <c r="I5165" s="12" t="inlineStr">
        <is>
          <t>LV 600 V</t>
        </is>
      </c>
      <c r="J5165" s="12" t="inlineStr">
        <is>
          <t>Type TC-ER 600 V 3/C Cu XHHW-2 + ground, PVC jacket</t>
        </is>
      </c>
      <c r="K5165" s="12" t="inlineStr">
        <is>
          <t>LV|3/C+G|6</t>
        </is>
      </c>
      <c r="L5165" s="12" t="inlineStr">
        <is>
          <t>3/C+G</t>
        </is>
      </c>
      <c r="M5165" s="12" t="inlineStr">
        <is>
          <t>6</t>
        </is>
      </c>
      <c r="N5165" s="12" t="n">
        <v>1</v>
      </c>
      <c r="O5165" s="12" t="n">
        <v>1</v>
      </c>
      <c r="P5165" s="12" t="n">
        <v>480</v>
      </c>
      <c r="Q5165" s="12" t="n">
        <v>15</v>
      </c>
      <c r="R5165" s="12" t="n">
        <v>21.2</v>
      </c>
      <c r="S5165" s="12" t="inlineStr">
        <is>
          <t>Duct bank</t>
        </is>
      </c>
      <c r="T5165" s="15" t="n">
        <v>528</v>
      </c>
      <c r="U5165" s="15" t="n">
        <v>64</v>
      </c>
      <c r="V5165" s="15">
        <f>ROUNDUP((T5165+U5165+2*'Read Me'!$B$13)*(1+'Read Me'!$B$12),-1)</f>
        <v/>
      </c>
      <c r="W5165" s="15">
        <f>V5165*N5165*O5165</f>
        <v/>
      </c>
      <c r="X5165" s="12">
        <f>IF(LEFT(I5165,2)="MV",2*N5165*IF(L5165="1/C",O5165,1),0)</f>
        <v/>
      </c>
      <c r="Y5165" s="12">
        <f>IF(OR(LEFT(K5165,4)="LVAX",LEFT(K5165,6)="MV15AX",LEFT(K5165,4)="CTAX",LEFT(K5165,2)="W|"),2*N5165*O5165,0)</f>
        <v/>
      </c>
      <c r="Z5165" s="12" t="inlineStr">
        <is>
          <t>VD 2.5 %</t>
        </is>
      </c>
      <c r="AA5165" s="12">
        <f>N5165*O5165</f>
        <v/>
      </c>
    </row>
    <row r="5166">
      <c r="A5166" s="12" t="inlineStr">
        <is>
          <t>I-P-0007</t>
        </is>
      </c>
      <c r="B5166" s="12" t="inlineStr">
        <is>
          <t>I</t>
        </is>
      </c>
      <c r="C5166" s="12" t="inlineStr">
        <is>
          <t>Modular / portable power</t>
        </is>
      </c>
      <c r="D5166" s="12" t="inlineStr">
        <is>
          <t>CGE-1 cooling container: radiator fans, jacket-water pumps (deck)</t>
        </is>
      </c>
      <c r="E5166" s="12" t="inlineStr">
        <is>
          <t>CGE-AUX</t>
        </is>
      </c>
      <c r="F5166" s="12" t="inlineStr">
        <is>
          <t>CGE-AUX: 13.8 / 0.48 kV auxiliary transformer (cooling containers, rad</t>
        </is>
      </c>
      <c r="G5166" s="12" t="inlineStr">
        <is>
          <t>CGE-DECK</t>
        </is>
      </c>
      <c r="H5166" s="12" t="inlineStr">
        <is>
          <t>CGE-1..4 upper deck: stacked cooling containers, radiators, silencers,</t>
        </is>
      </c>
      <c r="I5166" s="12" t="inlineStr">
        <is>
          <t>LV 600 V</t>
        </is>
      </c>
      <c r="J5166" s="12" t="inlineStr">
        <is>
          <t>Type TC-ER 600 V 3/C Cu XHHW-2 + ground, PVC jacket</t>
        </is>
      </c>
      <c r="K5166" s="12" t="inlineStr">
        <is>
          <t>LV|3/C+G|3/0</t>
        </is>
      </c>
      <c r="L5166" s="12" t="inlineStr">
        <is>
          <t>3/C+G</t>
        </is>
      </c>
      <c r="M5166" s="12" t="inlineStr">
        <is>
          <t>3/0</t>
        </is>
      </c>
      <c r="N5166" s="12" t="n">
        <v>1</v>
      </c>
      <c r="O5166" s="12" t="n">
        <v>1</v>
      </c>
      <c r="P5166" s="12" t="n">
        <v>480</v>
      </c>
      <c r="Q5166" s="12" t="n">
        <v>110</v>
      </c>
      <c r="R5166" s="12" t="n">
        <v>155.7</v>
      </c>
      <c r="S5166" s="12" t="inlineStr">
        <is>
          <t>Duct bank</t>
        </is>
      </c>
      <c r="T5166" s="15" t="n">
        <v>59</v>
      </c>
      <c r="U5166" s="15" t="n">
        <v>32</v>
      </c>
      <c r="V5166" s="15">
        <f>ROUNDUP((T5166+U5166+2*'Read Me'!$B$13)*(1+'Read Me'!$B$12),-1)</f>
        <v/>
      </c>
      <c r="W5166" s="15">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I-P-0008</t>
        </is>
      </c>
      <c r="B5167" s="12" t="inlineStr">
        <is>
          <t>I</t>
        </is>
      </c>
      <c r="C5167" s="12" t="inlineStr">
        <is>
          <t>Modular / portable power</t>
        </is>
      </c>
      <c r="D5167" s="12" t="inlineStr">
        <is>
          <t>CGE-2 cooling container: radiator fans, jacket-water pumps (deck)</t>
        </is>
      </c>
      <c r="E5167" s="12" t="inlineStr">
        <is>
          <t>CGE-AUX</t>
        </is>
      </c>
      <c r="F5167" s="12" t="inlineStr">
        <is>
          <t>CGE-AUX: 13.8 / 0.48 kV auxiliary transformer (cooling containers, rad</t>
        </is>
      </c>
      <c r="G5167" s="12" t="inlineStr">
        <is>
          <t>CGE-DECK</t>
        </is>
      </c>
      <c r="H5167" s="12" t="inlineStr">
        <is>
          <t>CGE-1..4 upper deck: stacked cooling containers, radiators, silencers,</t>
        </is>
      </c>
      <c r="I5167" s="12" t="inlineStr">
        <is>
          <t>LV 600 V</t>
        </is>
      </c>
      <c r="J5167" s="12" t="inlineStr">
        <is>
          <t>Type TC-ER 600 V 3/C Cu XHHW-2 + ground, PVC jacket</t>
        </is>
      </c>
      <c r="K5167" s="12" t="inlineStr">
        <is>
          <t>LV|3/C+G|3/0</t>
        </is>
      </c>
      <c r="L5167" s="12" t="inlineStr">
        <is>
          <t>3/C+G</t>
        </is>
      </c>
      <c r="M5167" s="12" t="inlineStr">
        <is>
          <t>3/0</t>
        </is>
      </c>
      <c r="N5167" s="12" t="n">
        <v>1</v>
      </c>
      <c r="O5167" s="12" t="n">
        <v>1</v>
      </c>
      <c r="P5167" s="12" t="n">
        <v>480</v>
      </c>
      <c r="Q5167" s="12" t="n">
        <v>110</v>
      </c>
      <c r="R5167" s="12" t="n">
        <v>155.7</v>
      </c>
      <c r="S5167" s="12" t="inlineStr">
        <is>
          <t>Duct bank</t>
        </is>
      </c>
      <c r="T5167" s="15" t="n">
        <v>59</v>
      </c>
      <c r="U5167" s="15" t="n">
        <v>32</v>
      </c>
      <c r="V5167" s="15">
        <f>ROUNDUP((T5167+U5167+2*'Read Me'!$B$13)*(1+'Read Me'!$B$12),-1)</f>
        <v/>
      </c>
      <c r="W5167" s="15">
        <f>V5167*N5167*O5167</f>
        <v/>
      </c>
      <c r="X5167" s="12">
        <f>IF(LEFT(I5167,2)="MV",2*N5167*IF(L5167="1/C",O5167,1),0)</f>
        <v/>
      </c>
      <c r="Y5167" s="12">
        <f>IF(OR(LEFT(K5167,4)="LVAX",LEFT(K5167,6)="MV15AX",LEFT(K5167,4)="CTAX",LEFT(K5167,2)="W|"),2*N5167*O5167,0)</f>
        <v/>
      </c>
      <c r="Z5167" s="12" t="inlineStr">
        <is>
          <t>VD 0.4 %</t>
        </is>
      </c>
      <c r="AA5167" s="12">
        <f>N5167*O5167</f>
        <v/>
      </c>
    </row>
    <row r="5168">
      <c r="A5168" s="12" t="inlineStr">
        <is>
          <t>I-P-0009</t>
        </is>
      </c>
      <c r="B5168" s="12" t="inlineStr">
        <is>
          <t>I</t>
        </is>
      </c>
      <c r="C5168" s="12" t="inlineStr">
        <is>
          <t>Modular / portable power</t>
        </is>
      </c>
      <c r="D5168" s="12" t="inlineStr">
        <is>
          <t>CGE-3 cooling container: radiator fans, jacket-water pumps (deck)</t>
        </is>
      </c>
      <c r="E5168" s="12" t="inlineStr">
        <is>
          <t>CGE-AUX</t>
        </is>
      </c>
      <c r="F5168" s="12" t="inlineStr">
        <is>
          <t>CGE-AUX: 13.8 / 0.48 kV auxiliary transformer (cooling containers, rad</t>
        </is>
      </c>
      <c r="G5168" s="12" t="inlineStr">
        <is>
          <t>CGE-DECK</t>
        </is>
      </c>
      <c r="H5168" s="12" t="inlineStr">
        <is>
          <t>CGE-1..4 upper deck: stacked cooling containers, radiators, silencers,</t>
        </is>
      </c>
      <c r="I5168" s="12" t="inlineStr">
        <is>
          <t>LV 600 V</t>
        </is>
      </c>
      <c r="J5168" s="12" t="inlineStr">
        <is>
          <t>Type TC-ER 600 V 3/C Cu XHHW-2 + ground, PVC jacket</t>
        </is>
      </c>
      <c r="K5168" s="12" t="inlineStr">
        <is>
          <t>LV|3/C+G|3/0</t>
        </is>
      </c>
      <c r="L5168" s="12" t="inlineStr">
        <is>
          <t>3/C+G</t>
        </is>
      </c>
      <c r="M5168" s="12" t="inlineStr">
        <is>
          <t>3/0</t>
        </is>
      </c>
      <c r="N5168" s="12" t="n">
        <v>1</v>
      </c>
      <c r="O5168" s="12" t="n">
        <v>1</v>
      </c>
      <c r="P5168" s="12" t="n">
        <v>480</v>
      </c>
      <c r="Q5168" s="12" t="n">
        <v>110</v>
      </c>
      <c r="R5168" s="12" t="n">
        <v>155.7</v>
      </c>
      <c r="S5168" s="12" t="inlineStr">
        <is>
          <t>Duct bank</t>
        </is>
      </c>
      <c r="T5168" s="15" t="n">
        <v>59</v>
      </c>
      <c r="U5168" s="15" t="n">
        <v>32</v>
      </c>
      <c r="V5168" s="15">
        <f>ROUNDUP((T5168+U5168+2*'Read Me'!$B$13)*(1+'Read Me'!$B$12),-1)</f>
        <v/>
      </c>
      <c r="W5168" s="15">
        <f>V5168*N5168*O5168</f>
        <v/>
      </c>
      <c r="X5168" s="12">
        <f>IF(LEFT(I5168,2)="MV",2*N5168*IF(L5168="1/C",O5168,1),0)</f>
        <v/>
      </c>
      <c r="Y5168" s="12">
        <f>IF(OR(LEFT(K5168,4)="LVAX",LEFT(K5168,6)="MV15AX",LEFT(K5168,4)="CTAX",LEFT(K5168,2)="W|"),2*N5168*O5168,0)</f>
        <v/>
      </c>
      <c r="Z5168" s="12" t="inlineStr">
        <is>
          <t>VD 0.4 %</t>
        </is>
      </c>
      <c r="AA5168" s="12">
        <f>N5168*O5168</f>
        <v/>
      </c>
    </row>
    <row r="5169">
      <c r="A5169" s="12" t="inlineStr">
        <is>
          <t>I-P-0010</t>
        </is>
      </c>
      <c r="B5169" s="12" t="inlineStr">
        <is>
          <t>I</t>
        </is>
      </c>
      <c r="C5169" s="12" t="inlineStr">
        <is>
          <t>Modular / portable power</t>
        </is>
      </c>
      <c r="D5169" s="12" t="inlineStr">
        <is>
          <t>CGE-4 cooling container: radiator fans, jacket-water pumps (deck)</t>
        </is>
      </c>
      <c r="E5169" s="12" t="inlineStr">
        <is>
          <t>CGE-AUX</t>
        </is>
      </c>
      <c r="F5169" s="12" t="inlineStr">
        <is>
          <t>CGE-AUX: 13.8 / 0.48 kV auxiliary transformer (cooling containers, rad</t>
        </is>
      </c>
      <c r="G5169" s="12" t="inlineStr">
        <is>
          <t>CGE-DECK</t>
        </is>
      </c>
      <c r="H5169" s="12" t="inlineStr">
        <is>
          <t>CGE-1..4 upper deck: stacked cooling containers, radiators, silencers,</t>
        </is>
      </c>
      <c r="I5169" s="12" t="inlineStr">
        <is>
          <t>LV 600 V</t>
        </is>
      </c>
      <c r="J5169" s="12" t="inlineStr">
        <is>
          <t>Type TC-ER 600 V 3/C Cu XHHW-2 + ground, PVC jacket</t>
        </is>
      </c>
      <c r="K5169" s="12" t="inlineStr">
        <is>
          <t>LV|3/C+G|3/0</t>
        </is>
      </c>
      <c r="L5169" s="12" t="inlineStr">
        <is>
          <t>3/C+G</t>
        </is>
      </c>
      <c r="M5169" s="12" t="inlineStr">
        <is>
          <t>3/0</t>
        </is>
      </c>
      <c r="N5169" s="12" t="n">
        <v>1</v>
      </c>
      <c r="O5169" s="12" t="n">
        <v>1</v>
      </c>
      <c r="P5169" s="12" t="n">
        <v>480</v>
      </c>
      <c r="Q5169" s="12" t="n">
        <v>110</v>
      </c>
      <c r="R5169" s="12" t="n">
        <v>155.7</v>
      </c>
      <c r="S5169" s="12" t="inlineStr">
        <is>
          <t>Duct bank</t>
        </is>
      </c>
      <c r="T5169" s="15" t="n">
        <v>59</v>
      </c>
      <c r="U5169" s="15" t="n">
        <v>32</v>
      </c>
      <c r="V5169" s="15">
        <f>ROUNDUP((T5169+U5169+2*'Read Me'!$B$13)*(1+'Read Me'!$B$12),-1)</f>
        <v/>
      </c>
      <c r="W5169" s="15">
        <f>V5169*N5169*O5169</f>
        <v/>
      </c>
      <c r="X5169" s="12">
        <f>IF(LEFT(I5169,2)="MV",2*N5169*IF(L5169="1/C",O5169,1),0)</f>
        <v/>
      </c>
      <c r="Y5169" s="12">
        <f>IF(OR(LEFT(K5169,4)="LVAX",LEFT(K5169,6)="MV15AX",LEFT(K5169,4)="CTAX",LEFT(K5169,2)="W|"),2*N5169*O5169,0)</f>
        <v/>
      </c>
      <c r="Z5169" s="12" t="inlineStr">
        <is>
          <t>VD 0.4 %</t>
        </is>
      </c>
      <c r="AA5169" s="12">
        <f>N5169*O5169</f>
        <v/>
      </c>
    </row>
    <row r="5170">
      <c r="A5170" s="12" t="inlineStr">
        <is>
          <t>I-P-0011</t>
        </is>
      </c>
      <c r="B5170" s="12" t="inlineStr">
        <is>
          <t>I</t>
        </is>
      </c>
      <c r="C5170" s="12" t="inlineStr">
        <is>
          <t>Modular / portable power</t>
        </is>
      </c>
      <c r="D5170" s="12" t="inlineStr">
        <is>
          <t>CGE-SWG station service: DC charger, heaters, HVAC, lighting</t>
        </is>
      </c>
      <c r="E5170" s="12" t="inlineStr">
        <is>
          <t>CGE-AUX</t>
        </is>
      </c>
      <c r="F5170" s="12" t="inlineStr">
        <is>
          <t>CGE-AUX: 13.8 / 0.48 kV auxiliary transformer (cooling containers, rad</t>
        </is>
      </c>
      <c r="G5170" s="12" t="inlineStr">
        <is>
          <t>CGE-SWG</t>
        </is>
      </c>
      <c r="H5170" s="12" t="inlineStr">
        <is>
          <t>CGE-SWG: 13.8 kV switchgear container (engine breakers, site feeder)</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45</v>
      </c>
      <c r="R5170" s="12" t="n">
        <v>57</v>
      </c>
      <c r="S5170" s="12" t="inlineStr">
        <is>
          <t>Duct bank</t>
        </is>
      </c>
      <c r="T5170" s="15" t="n">
        <v>12</v>
      </c>
      <c r="U5170" s="15" t="n">
        <v>32</v>
      </c>
      <c r="V5170" s="15">
        <f>ROUNDUP((T5170+U5170+2*'Read Me'!$B$13)*(1+'Read Me'!$B$12),-1)</f>
        <v/>
      </c>
      <c r="W5170" s="15">
        <f>V5170*N5170*O5170</f>
        <v/>
      </c>
      <c r="X5170" s="12">
        <f>IF(LEFT(I5170,2)="MV",2*N5170*IF(L5170="1/C",O5170,1),0)</f>
        <v/>
      </c>
      <c r="Y5170" s="12">
        <f>IF(OR(LEFT(K5170,4)="LVAX",LEFT(K5170,6)="MV15AX",LEFT(K5170,4)="CTAX",LEFT(K5170,2)="W|"),2*N5170*O5170,0)</f>
        <v/>
      </c>
      <c r="Z5170" s="12" t="inlineStr">
        <is>
          <t>VD 0.3 %</t>
        </is>
      </c>
      <c r="AA5170" s="12">
        <f>N5170*O5170</f>
        <v/>
      </c>
    </row>
    <row r="5171">
      <c r="A5171" s="12" t="inlineStr">
        <is>
          <t>I-P-0012</t>
        </is>
      </c>
      <c r="B5171" s="12" t="inlineStr">
        <is>
          <t>I</t>
        </is>
      </c>
      <c r="C5171" s="12" t="inlineStr">
        <is>
          <t>Modular / portable power</t>
        </is>
      </c>
      <c r="D5171" s="12" t="inlineStr">
        <is>
          <t>CHP-1 auxiliaries (jacket-water pump, enclosure ventilation)</t>
        </is>
      </c>
      <c r="E5171" s="12" t="inlineStr">
        <is>
          <t>CHP-AUX</t>
        </is>
      </c>
      <c r="F5171" s="12" t="inlineStr">
        <is>
          <t>CHP-AUX: 13.8 / 0.48 kV, 750 kVA auxiliary pad-mount (engine auxiliari</t>
        </is>
      </c>
      <c r="G5171" s="12" t="inlineStr">
        <is>
          <t>CHP-1</t>
        </is>
      </c>
      <c r="H5171" s="12" t="inlineStr">
        <is>
          <t>CHP-1: gas-engine generator ~2.5 MW with exhaust heat recovery, 13.8 k</t>
        </is>
      </c>
      <c r="I5171" s="12" t="inlineStr">
        <is>
          <t>LV 600 V</t>
        </is>
      </c>
      <c r="J5171" s="12" t="inlineStr">
        <is>
          <t>Type TC-ER 600 V 3/C Cu XHHW-2 + ground, PVC jacket</t>
        </is>
      </c>
      <c r="K5171" s="12" t="inlineStr">
        <is>
          <t>LV|3/C+G|2</t>
        </is>
      </c>
      <c r="L5171" s="12" t="inlineStr">
        <is>
          <t>3/C+G</t>
        </is>
      </c>
      <c r="M5171" s="12" t="inlineStr">
        <is>
          <t>2</t>
        </is>
      </c>
      <c r="N5171" s="12" t="n">
        <v>1</v>
      </c>
      <c r="O5171" s="12" t="n">
        <v>1</v>
      </c>
      <c r="P5171" s="12" t="n">
        <v>480</v>
      </c>
      <c r="Q5171" s="12" t="n">
        <v>60</v>
      </c>
      <c r="R5171" s="12" t="n">
        <v>84.90000000000001</v>
      </c>
      <c r="S5171" s="12" t="inlineStr">
        <is>
          <t>Duct bank</t>
        </is>
      </c>
      <c r="T5171" s="15" t="n">
        <v>87</v>
      </c>
      <c r="U5171" s="15" t="n">
        <v>46</v>
      </c>
      <c r="V5171" s="15">
        <f>ROUNDUP((T5171+U5171+2*'Read Me'!$B$13)*(1+'Read Me'!$B$12),-1)</f>
        <v/>
      </c>
      <c r="W5171" s="15">
        <f>V5171*N5171*O5171</f>
        <v/>
      </c>
      <c r="X5171" s="12">
        <f>IF(LEFT(I5171,2)="MV",2*N5171*IF(L5171="1/C",O5171,1),0)</f>
        <v/>
      </c>
      <c r="Y5171" s="12">
        <f>IF(OR(LEFT(K5171,4)="LVAX",LEFT(K5171,6)="MV15AX",LEFT(K5171,4)="CTAX",LEFT(K5171,2)="W|"),2*N5171*O5171,0)</f>
        <v/>
      </c>
      <c r="Z5171" s="12" t="inlineStr">
        <is>
          <t>VD 0.9 %</t>
        </is>
      </c>
      <c r="AA5171" s="12">
        <f>N5171*O5171</f>
        <v/>
      </c>
    </row>
    <row r="5172">
      <c r="A5172" s="12" t="inlineStr">
        <is>
          <t>I-P-0013</t>
        </is>
      </c>
      <c r="B5172" s="12" t="inlineStr">
        <is>
          <t>I</t>
        </is>
      </c>
      <c r="C5172" s="12" t="inlineStr">
        <is>
          <t>Modular / portable power</t>
        </is>
      </c>
      <c r="D5172" s="12" t="inlineStr">
        <is>
          <t>CHP-2 auxiliaries (jacket-water pump, enclosure ventilation)</t>
        </is>
      </c>
      <c r="E5172" s="12" t="inlineStr">
        <is>
          <t>CHP-AUX</t>
        </is>
      </c>
      <c r="F5172" s="12" t="inlineStr">
        <is>
          <t>CHP-AUX: 13.8 / 0.48 kV, 750 kVA auxiliary pad-mount (engine auxiliari</t>
        </is>
      </c>
      <c r="G5172" s="12" t="inlineStr">
        <is>
          <t>CHP-2</t>
        </is>
      </c>
      <c r="H5172" s="12" t="inlineStr">
        <is>
          <t>CHP-2: gas-engine generator ~2.5 MW with exhaust heat recovery, 13.8 k</t>
        </is>
      </c>
      <c r="I5172" s="12" t="inlineStr">
        <is>
          <t>LV 600 V</t>
        </is>
      </c>
      <c r="J5172" s="12" t="inlineStr">
        <is>
          <t>Type TC-ER 600 V 3/C Cu XHHW-2 + ground, PVC jacket</t>
        </is>
      </c>
      <c r="K5172" s="12" t="inlineStr">
        <is>
          <t>LV|3/C+G|2</t>
        </is>
      </c>
      <c r="L5172" s="12" t="inlineStr">
        <is>
          <t>3/C+G</t>
        </is>
      </c>
      <c r="M5172" s="12" t="inlineStr">
        <is>
          <t>2</t>
        </is>
      </c>
      <c r="N5172" s="12" t="n">
        <v>1</v>
      </c>
      <c r="O5172" s="12" t="n">
        <v>1</v>
      </c>
      <c r="P5172" s="12" t="n">
        <v>480</v>
      </c>
      <c r="Q5172" s="12" t="n">
        <v>60</v>
      </c>
      <c r="R5172" s="12" t="n">
        <v>84.90000000000001</v>
      </c>
      <c r="S5172" s="12" t="inlineStr">
        <is>
          <t>Duct bank</t>
        </is>
      </c>
      <c r="T5172" s="15" t="n">
        <v>87</v>
      </c>
      <c r="U5172" s="15" t="n">
        <v>32</v>
      </c>
      <c r="V5172" s="15">
        <f>ROUNDUP((T5172+U5172+2*'Read Me'!$B$13)*(1+'Read Me'!$B$12),-1)</f>
        <v/>
      </c>
      <c r="W5172" s="15">
        <f>V5172*N5172*O5172</f>
        <v/>
      </c>
      <c r="X5172" s="12">
        <f>IF(LEFT(I5172,2)="MV",2*N5172*IF(L5172="1/C",O5172,1),0)</f>
        <v/>
      </c>
      <c r="Y5172" s="12">
        <f>IF(OR(LEFT(K5172,4)="LVAX",LEFT(K5172,6)="MV15AX",LEFT(K5172,4)="CTAX",LEFT(K5172,2)="W|"),2*N5172*O5172,0)</f>
        <v/>
      </c>
      <c r="Z5172" s="12" t="inlineStr">
        <is>
          <t>VD 0.8 %</t>
        </is>
      </c>
      <c r="AA5172" s="12">
        <f>N5172*O5172</f>
        <v/>
      </c>
    </row>
    <row r="5173">
      <c r="A5173" s="12" t="inlineStr">
        <is>
          <t>I-P-0014</t>
        </is>
      </c>
      <c r="B5173" s="12" t="inlineStr">
        <is>
          <t>I</t>
        </is>
      </c>
      <c r="C5173" s="12" t="inlineStr">
        <is>
          <t>Modular / portable power</t>
        </is>
      </c>
      <c r="D5173" s="12" t="inlineStr">
        <is>
          <t>CHP-3 auxiliaries (jacket-water pump, enclosure ventilation)</t>
        </is>
      </c>
      <c r="E5173" s="12" t="inlineStr">
        <is>
          <t>CHP-AUX</t>
        </is>
      </c>
      <c r="F5173" s="12" t="inlineStr">
        <is>
          <t>CHP-AUX: 13.8 / 0.48 kV, 750 kVA auxiliary pad-mount (engine auxiliari</t>
        </is>
      </c>
      <c r="G5173" s="12" t="inlineStr">
        <is>
          <t>CHP-3</t>
        </is>
      </c>
      <c r="H5173" s="12" t="inlineStr">
        <is>
          <t>CHP-3: gas-engine generator ~2.5 MW with exhaust heat recovery, 13.8 k</t>
        </is>
      </c>
      <c r="I5173" s="12" t="inlineStr">
        <is>
          <t>LV 600 V</t>
        </is>
      </c>
      <c r="J5173" s="12" t="inlineStr">
        <is>
          <t>Type TC-ER 600 V 3/C Cu XHHW-2 + ground, PVC jacket</t>
        </is>
      </c>
      <c r="K5173" s="12" t="inlineStr">
        <is>
          <t>LV|3/C+G|2</t>
        </is>
      </c>
      <c r="L5173" s="12" t="inlineStr">
        <is>
          <t>3/C+G</t>
        </is>
      </c>
      <c r="M5173" s="12" t="inlineStr">
        <is>
          <t>2</t>
        </is>
      </c>
      <c r="N5173" s="12" t="n">
        <v>1</v>
      </c>
      <c r="O5173" s="12" t="n">
        <v>1</v>
      </c>
      <c r="P5173" s="12" t="n">
        <v>480</v>
      </c>
      <c r="Q5173" s="12" t="n">
        <v>60</v>
      </c>
      <c r="R5173" s="12" t="n">
        <v>84.90000000000001</v>
      </c>
      <c r="S5173" s="12" t="inlineStr">
        <is>
          <t>Duct bank</t>
        </is>
      </c>
      <c r="T5173" s="15" t="n">
        <v>62</v>
      </c>
      <c r="U5173" s="15" t="n">
        <v>33</v>
      </c>
      <c r="V5173" s="15">
        <f>ROUNDUP((T5173+U5173+2*'Read Me'!$B$13)*(1+'Read Me'!$B$12),-1)</f>
        <v/>
      </c>
      <c r="W5173" s="15">
        <f>V5173*N5173*O5173</f>
        <v/>
      </c>
      <c r="X5173" s="12">
        <f>IF(LEFT(I5173,2)="MV",2*N5173*IF(L5173="1/C",O5173,1),0)</f>
        <v/>
      </c>
      <c r="Y5173" s="12">
        <f>IF(OR(LEFT(K5173,4)="LVAX",LEFT(K5173,6)="MV15AX",LEFT(K5173,4)="CTAX",LEFT(K5173,2)="W|"),2*N5173*O5173,0)</f>
        <v/>
      </c>
      <c r="Z5173" s="12" t="inlineStr">
        <is>
          <t>VD 0.6 %</t>
        </is>
      </c>
      <c r="AA5173" s="12">
        <f>N5173*O5173</f>
        <v/>
      </c>
    </row>
    <row r="5174">
      <c r="A5174" s="12" t="inlineStr">
        <is>
          <t>I-P-0015</t>
        </is>
      </c>
      <c r="B5174" s="12" t="inlineStr">
        <is>
          <t>I</t>
        </is>
      </c>
      <c r="C5174" s="12" t="inlineStr">
        <is>
          <t>Modular / portable power</t>
        </is>
      </c>
      <c r="D5174" s="12" t="inlineStr">
        <is>
          <t>CHP-4 auxiliaries (jacket-water pump, enclosure ventilation)</t>
        </is>
      </c>
      <c r="E5174" s="12" t="inlineStr">
        <is>
          <t>CHP-AUX</t>
        </is>
      </c>
      <c r="F5174" s="12" t="inlineStr">
        <is>
          <t>CHP-AUX: 13.8 / 0.48 kV, 750 kVA auxiliary pad-mount (engine auxiliari</t>
        </is>
      </c>
      <c r="G5174" s="12" t="inlineStr">
        <is>
          <t>CHP-4</t>
        </is>
      </c>
      <c r="H5174" s="12" t="inlineStr">
        <is>
          <t>CHP-4: gas-engine generator ~2.5 MW with exhaust heat recovery, 13.8 k</t>
        </is>
      </c>
      <c r="I5174" s="12" t="inlineStr">
        <is>
          <t>LV 600 V</t>
        </is>
      </c>
      <c r="J5174" s="12" t="inlineStr">
        <is>
          <t>Type TC-ER 600 V 3/C Cu XHHW-2 + ground, PVC jacket</t>
        </is>
      </c>
      <c r="K5174" s="12" t="inlineStr">
        <is>
          <t>LV|3/C+G|2</t>
        </is>
      </c>
      <c r="L5174" s="12" t="inlineStr">
        <is>
          <t>3/C+G</t>
        </is>
      </c>
      <c r="M5174" s="12" t="inlineStr">
        <is>
          <t>2</t>
        </is>
      </c>
      <c r="N5174" s="12" t="n">
        <v>1</v>
      </c>
      <c r="O5174" s="12" t="n">
        <v>1</v>
      </c>
      <c r="P5174" s="12" t="n">
        <v>480</v>
      </c>
      <c r="Q5174" s="12" t="n">
        <v>60</v>
      </c>
      <c r="R5174" s="12" t="n">
        <v>84.90000000000001</v>
      </c>
      <c r="S5174" s="12" t="inlineStr">
        <is>
          <t>Duct bank</t>
        </is>
      </c>
      <c r="T5174" s="15" t="n">
        <v>49</v>
      </c>
      <c r="U5174" s="15" t="n">
        <v>32</v>
      </c>
      <c r="V5174" s="15">
        <f>ROUNDUP((T5174+U5174+2*'Read Me'!$B$13)*(1+'Read Me'!$B$12),-1)</f>
        <v/>
      </c>
      <c r="W5174" s="15">
        <f>V5174*N5174*O5174</f>
        <v/>
      </c>
      <c r="X5174" s="12">
        <f>IF(LEFT(I5174,2)="MV",2*N5174*IF(L5174="1/C",O5174,1),0)</f>
        <v/>
      </c>
      <c r="Y5174" s="12">
        <f>IF(OR(LEFT(K5174,4)="LVAX",LEFT(K5174,6)="MV15AX",LEFT(K5174,4)="CTAX",LEFT(K5174,2)="W|"),2*N5174*O5174,0)</f>
        <v/>
      </c>
      <c r="Z5174" s="12" t="inlineStr">
        <is>
          <t>VD 0.5 %</t>
        </is>
      </c>
      <c r="AA5174" s="12">
        <f>N5174*O5174</f>
        <v/>
      </c>
    </row>
    <row r="5175">
      <c r="A5175" s="12" t="inlineStr">
        <is>
          <t>I-P-0016</t>
        </is>
      </c>
      <c r="B5175" s="12" t="inlineStr">
        <is>
          <t>I</t>
        </is>
      </c>
      <c r="C5175" s="12" t="inlineStr">
        <is>
          <t>Modular / portable power</t>
        </is>
      </c>
      <c r="D5175" s="12" t="inlineStr">
        <is>
          <t>CHP-HR dump-cooler fans and hot-water circulation pumps</t>
        </is>
      </c>
      <c r="E5175" s="12" t="inlineStr">
        <is>
          <t>CHP-AUX</t>
        </is>
      </c>
      <c r="F5175" s="12" t="inlineStr">
        <is>
          <t>CHP-AUX: 13.8 / 0.48 kV, 750 kVA auxiliary pad-mount (engine auxiliari</t>
        </is>
      </c>
      <c r="G5175" s="12" t="inlineStr">
        <is>
          <t>CHP-HR</t>
        </is>
      </c>
      <c r="H5175" s="12" t="inlineStr">
        <is>
          <t>CHP-HR: exhaust heat-recovery rack (4 exhaust heat exchangers and stac</t>
        </is>
      </c>
      <c r="I5175" s="12" t="inlineStr">
        <is>
          <t>LV 600 V</t>
        </is>
      </c>
      <c r="J5175" s="12" t="inlineStr">
        <is>
          <t>Type TC-ER 600 V 3/C Cu XHHW-2 + ground, PVC jacket</t>
        </is>
      </c>
      <c r="K5175" s="12" t="inlineStr">
        <is>
          <t>LV|3/C+G|350</t>
        </is>
      </c>
      <c r="L5175" s="12" t="inlineStr">
        <is>
          <t>3/C+G</t>
        </is>
      </c>
      <c r="M5175" s="12" t="inlineStr">
        <is>
          <t>350 kcmil</t>
        </is>
      </c>
      <c r="N5175" s="12" t="n">
        <v>1</v>
      </c>
      <c r="O5175" s="12" t="n">
        <v>1</v>
      </c>
      <c r="P5175" s="12" t="n">
        <v>480</v>
      </c>
      <c r="Q5175" s="12" t="n">
        <v>160</v>
      </c>
      <c r="R5175" s="12" t="n">
        <v>226.4</v>
      </c>
      <c r="S5175" s="12" t="inlineStr">
        <is>
          <t>Duct bank</t>
        </is>
      </c>
      <c r="T5175" s="15" t="n">
        <v>69</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0.3 %</t>
        </is>
      </c>
      <c r="AA5175" s="12">
        <f>N5175*O5175</f>
        <v/>
      </c>
    </row>
    <row r="5176">
      <c r="A5176" s="12" t="inlineStr">
        <is>
          <t>I-P-0017</t>
        </is>
      </c>
      <c r="B5176" s="12" t="inlineStr">
        <is>
          <t>I</t>
        </is>
      </c>
      <c r="C5176" s="12" t="inlineStr">
        <is>
          <t>Modular / portable power</t>
        </is>
      </c>
      <c r="D5176" s="12" t="inlineStr">
        <is>
          <t>CHP-SWG station service: DC charger, heaters, HVAC, lighting</t>
        </is>
      </c>
      <c r="E5176" s="12" t="inlineStr">
        <is>
          <t>CHP-AUX</t>
        </is>
      </c>
      <c r="F5176" s="12" t="inlineStr">
        <is>
          <t>CHP-AUX: 13.8 / 0.48 kV, 750 kVA auxiliary pad-mount (engine auxiliari</t>
        </is>
      </c>
      <c r="G5176" s="12" t="inlineStr">
        <is>
          <t>CHP-SWG</t>
        </is>
      </c>
      <c r="H5176" s="12" t="inlineStr">
        <is>
          <t>CHP-SWG: 13.8 kV switchgear container (4 engine breakers, site feeder)</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45</v>
      </c>
      <c r="R5176" s="12" t="n">
        <v>57</v>
      </c>
      <c r="S5176" s="12" t="inlineStr">
        <is>
          <t>Riser</t>
        </is>
      </c>
      <c r="T5176" s="15" t="n">
        <v>4</v>
      </c>
      <c r="U5176" s="15" t="n">
        <v>32</v>
      </c>
      <c r="V5176" s="15">
        <f>ROUNDUP((T5176+U5176+2*'Read Me'!$B$13)*(1+'Read Me'!$B$12),-1)</f>
        <v/>
      </c>
      <c r="W5176" s="15">
        <f>V5176*N5176*O5176</f>
        <v/>
      </c>
      <c r="X5176" s="12">
        <f>IF(LEFT(I5176,2)="MV",2*N5176*IF(L5176="1/C",O5176,1),0)</f>
        <v/>
      </c>
      <c r="Y5176" s="12">
        <f>IF(OR(LEFT(K5176,4)="LVAX",LEFT(K5176,6)="MV15AX",LEFT(K5176,4)="CTAX",LEFT(K5176,2)="W|"),2*N5176*O5176,0)</f>
        <v/>
      </c>
      <c r="Z5176" s="12" t="inlineStr">
        <is>
          <t>VD 0.3 %</t>
        </is>
      </c>
      <c r="AA5176" s="12">
        <f>N5176*O5176</f>
        <v/>
      </c>
    </row>
    <row r="5177">
      <c r="A5177" s="12" t="inlineStr">
        <is>
          <t>I-P-0018</t>
        </is>
      </c>
      <c r="B5177" s="12" t="inlineStr">
        <is>
          <t>I</t>
        </is>
      </c>
      <c r="C5177" s="12" t="inlineStr">
        <is>
          <t>Modular / portable power</t>
        </is>
      </c>
      <c r="D5177" s="12" t="inlineStr">
        <is>
          <t>LV power feeder</t>
        </is>
      </c>
      <c r="E5177" s="12" t="inlineStr"/>
      <c r="F5177" s="12" t="inlineStr">
        <is>
          <t>PCM: power control module</t>
        </is>
      </c>
      <c r="G5177" s="12" t="inlineStr"/>
      <c r="H5177" s="12" t="inlineStr">
        <is>
          <t>CONDITIONAL: BESS black-start alternative</t>
        </is>
      </c>
      <c r="I5177" s="12" t="inlineStr">
        <is>
          <t>LV 600 V</t>
        </is>
      </c>
      <c r="J5177" s="12" t="inlineStr">
        <is>
          <t>Type TC-ER 600 V 3/C Cu XHHW-2 + ground, PVC jacket</t>
        </is>
      </c>
      <c r="K5177" s="12" t="inlineStr">
        <is>
          <t>LV|3/C+G|6</t>
        </is>
      </c>
      <c r="L5177" s="12" t="inlineStr">
        <is>
          <t>3/C+G</t>
        </is>
      </c>
      <c r="M5177" s="12" t="inlineStr">
        <is>
          <t>6</t>
        </is>
      </c>
      <c r="N5177" s="12" t="n">
        <v>1</v>
      </c>
      <c r="O5177" s="12" t="n">
        <v>1</v>
      </c>
      <c r="P5177" s="12" t="n">
        <v>480</v>
      </c>
      <c r="Q5177" s="12" t="n">
        <v>15</v>
      </c>
      <c r="R5177" s="12" t="n">
        <v>21.2</v>
      </c>
      <c r="S5177" s="12" t="inlineStr">
        <is>
          <t>Duct bank</t>
        </is>
      </c>
      <c r="T5177" s="15" t="n">
        <v>516</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2.3 %</t>
        </is>
      </c>
      <c r="AA5177" s="12">
        <f>N5177*O5177</f>
        <v/>
      </c>
    </row>
    <row r="5178">
      <c r="A5178" s="12" t="inlineStr">
        <is>
          <t>I-P-0019</t>
        </is>
      </c>
      <c r="B5178" s="12" t="inlineStr">
        <is>
          <t>I</t>
        </is>
      </c>
      <c r="C5178" s="12" t="inlineStr">
        <is>
          <t>Modular / portable power</t>
        </is>
      </c>
      <c r="D5178" s="12" t="inlineStr">
        <is>
          <t>LV power feeder</t>
        </is>
      </c>
      <c r="E5178" s="12" t="inlineStr"/>
      <c r="F5178" s="12" t="inlineStr">
        <is>
          <t>SC-1 PCM + 15 kV GCB</t>
        </is>
      </c>
      <c r="G5178" s="12" t="inlineStr"/>
      <c r="H5178" s="12" t="inlineStr">
        <is>
          <t>CONDITIONAL: SC-1 inlet chiller / evaporative cooler</t>
        </is>
      </c>
      <c r="I5178" s="12" t="inlineStr">
        <is>
          <t>LV 600 V</t>
        </is>
      </c>
      <c r="J5178" s="12" t="inlineStr">
        <is>
          <t>Type TC-ER 600 V 3/C Cu XHHW-2 + ground, PVC jacket</t>
        </is>
      </c>
      <c r="K5178" s="12" t="inlineStr">
        <is>
          <t>LV|3/C+G|350</t>
        </is>
      </c>
      <c r="L5178" s="12" t="inlineStr">
        <is>
          <t>3/C+G</t>
        </is>
      </c>
      <c r="M5178" s="12" t="inlineStr">
        <is>
          <t>350 kcmil</t>
        </is>
      </c>
      <c r="N5178" s="12" t="n">
        <v>3</v>
      </c>
      <c r="O5178" s="12" t="n">
        <v>1</v>
      </c>
      <c r="P5178" s="12" t="n">
        <v>480</v>
      </c>
      <c r="Q5178" s="12" t="n">
        <v>500</v>
      </c>
      <c r="R5178" s="12" t="n">
        <v>707.6</v>
      </c>
      <c r="S5178" s="12" t="inlineStr">
        <is>
          <t>Duct bank</t>
        </is>
      </c>
      <c r="T5178" s="15" t="n">
        <v>270</v>
      </c>
      <c r="U5178" s="15" t="n">
        <v>78</v>
      </c>
      <c r="V5178" s="15">
        <f>ROUNDUP((T5178+U5178+2*'Read Me'!$B$13)*(1+'Read Me'!$B$12),-1)</f>
        <v/>
      </c>
      <c r="W5178" s="15">
        <f>V5178*N5178*O5178</f>
        <v/>
      </c>
      <c r="X5178" s="12">
        <f>IF(LEFT(I5178,2)="MV",2*N5178*IF(L5178="1/C",O5178,1),0)</f>
        <v/>
      </c>
      <c r="Y5178" s="12">
        <f>IF(OR(LEFT(K5178,4)="LVAX",LEFT(K5178,6)="MV15AX",LEFT(K5178,4)="CTAX",LEFT(K5178,2)="W|"),2*N5178*O5178,0)</f>
        <v/>
      </c>
      <c r="Z5178" s="12" t="inlineStr">
        <is>
          <t>VD 1.2 %</t>
        </is>
      </c>
      <c r="AA5178" s="12">
        <f>N5178*O5178</f>
        <v/>
      </c>
    </row>
    <row r="5179">
      <c r="A5179" s="12" t="inlineStr">
        <is>
          <t>I-P-0020</t>
        </is>
      </c>
      <c r="B5179" s="12" t="inlineStr">
        <is>
          <t>I</t>
        </is>
      </c>
      <c r="C5179" s="12" t="inlineStr">
        <is>
          <t>Modular / portable power</t>
        </is>
      </c>
      <c r="D5179" s="12" t="inlineStr">
        <is>
          <t>LV power feeder</t>
        </is>
      </c>
      <c r="E5179" s="12" t="inlineStr"/>
      <c r="F5179" s="12" t="inlineStr">
        <is>
          <t>SC-2 PCM + 15 kV GCB</t>
        </is>
      </c>
      <c r="G5179" s="12" t="inlineStr"/>
      <c r="H5179" s="12" t="inlineStr">
        <is>
          <t>CONDITIONAL: SC-2 inlet chiller / evaporative cooler</t>
        </is>
      </c>
      <c r="I5179" s="12" t="inlineStr">
        <is>
          <t>LV 600 V</t>
        </is>
      </c>
      <c r="J5179" s="12" t="inlineStr">
        <is>
          <t>Type TC-ER 600 V 3/C Cu XHHW-2 + ground, PVC jacket</t>
        </is>
      </c>
      <c r="K5179" s="12" t="inlineStr">
        <is>
          <t>LV|3/C+G|350</t>
        </is>
      </c>
      <c r="L5179" s="12" t="inlineStr">
        <is>
          <t>3/C+G</t>
        </is>
      </c>
      <c r="M5179" s="12" t="inlineStr">
        <is>
          <t>350 kcmil</t>
        </is>
      </c>
      <c r="N5179" s="12" t="n">
        <v>3</v>
      </c>
      <c r="O5179" s="12" t="n">
        <v>1</v>
      </c>
      <c r="P5179" s="12" t="n">
        <v>480</v>
      </c>
      <c r="Q5179" s="12" t="n">
        <v>500</v>
      </c>
      <c r="R5179" s="12" t="n">
        <v>707.6</v>
      </c>
      <c r="S5179" s="12" t="inlineStr">
        <is>
          <t>Duct bank</t>
        </is>
      </c>
      <c r="T5179" s="15" t="n">
        <v>10</v>
      </c>
      <c r="U5179" s="15" t="n">
        <v>106</v>
      </c>
      <c r="V5179" s="15">
        <f>ROUNDUP((T5179+U5179+2*'Read Me'!$B$13)*(1+'Read Me'!$B$12),-1)</f>
        <v/>
      </c>
      <c r="W5179" s="15">
        <f>V5179*N5179*O5179</f>
        <v/>
      </c>
      <c r="X5179" s="12">
        <f>IF(LEFT(I5179,2)="MV",2*N5179*IF(L5179="1/C",O5179,1),0)</f>
        <v/>
      </c>
      <c r="Y5179" s="12">
        <f>IF(OR(LEFT(K5179,4)="LVAX",LEFT(K5179,6)="MV15AX",LEFT(K5179,4)="CTAX",LEFT(K5179,2)="W|"),2*N5179*O5179,0)</f>
        <v/>
      </c>
      <c r="Z5179" s="12" t="inlineStr">
        <is>
          <t>VD 0.4 %</t>
        </is>
      </c>
      <c r="AA5179" s="12">
        <f>N5179*O5179</f>
        <v/>
      </c>
    </row>
    <row r="5180">
      <c r="A5180" s="12" t="inlineStr">
        <is>
          <t>I-P-0021</t>
        </is>
      </c>
      <c r="B5180" s="12" t="inlineStr">
        <is>
          <t>I</t>
        </is>
      </c>
      <c r="C5180" s="12" t="inlineStr">
        <is>
          <t>Modular / portable power</t>
        </is>
      </c>
      <c r="D5180" s="12" t="inlineStr">
        <is>
          <t>FC-5 SOFC output to inverter / AC cabinet</t>
        </is>
      </c>
      <c r="E5180" s="12" t="inlineStr">
        <is>
          <t>FC-5</t>
        </is>
      </c>
      <c r="F5180" s="12" t="inlineStr">
        <is>
          <t>FC-5: SOFC module (200-300 kW class)</t>
        </is>
      </c>
      <c r="G5180" s="12" t="inlineStr"/>
      <c r="H5180" s="12" t="inlineStr">
        <is>
          <t>FC-5..8 inverter / AC cabinet / desulfurizer</t>
        </is>
      </c>
      <c r="I5180" s="12" t="inlineStr">
        <is>
          <t>LV 600 V</t>
        </is>
      </c>
      <c r="J5180" s="12" t="inlineStr">
        <is>
          <t>Type TC-ER 600 V 3/C Cu XHHW-2 + ground, PVC jacket</t>
        </is>
      </c>
      <c r="K5180" s="12" t="inlineStr">
        <is>
          <t>LV|3/C+G|3/0</t>
        </is>
      </c>
      <c r="L5180" s="12" t="inlineStr">
        <is>
          <t>3/C+G</t>
        </is>
      </c>
      <c r="M5180" s="12" t="inlineStr">
        <is>
          <t>3/0</t>
        </is>
      </c>
      <c r="N5180" s="12" t="n">
        <v>2</v>
      </c>
      <c r="O5180" s="12" t="n">
        <v>1</v>
      </c>
      <c r="P5180" s="12" t="n">
        <v>480</v>
      </c>
      <c r="Q5180" s="12" t="n">
        <v>250</v>
      </c>
      <c r="R5180" s="12" t="n">
        <v>316.5</v>
      </c>
      <c r="S5180" s="12" t="inlineStr">
        <is>
          <t>Surface</t>
        </is>
      </c>
      <c r="T5180" s="15" t="n">
        <v>48</v>
      </c>
      <c r="U5180" s="15" t="n">
        <v>27</v>
      </c>
      <c r="V5180" s="15">
        <f>ROUNDUP((T5180+U5180+2*'Read Me'!$B$13)*(1+'Read Me'!$B$12),-1)</f>
        <v/>
      </c>
      <c r="W5180" s="15">
        <f>V5180*N5180*O5180</f>
        <v/>
      </c>
      <c r="X5180" s="12">
        <f>IF(LEFT(I5180,2)="MV",2*N5180*IF(L5180="1/C",O5180,1),0)</f>
        <v/>
      </c>
      <c r="Y5180" s="12">
        <f>IF(OR(LEFT(K5180,4)="LVAX",LEFT(K5180,6)="MV15AX",LEFT(K5180,4)="CTAX",LEFT(K5180,2)="W|"),2*N5180*O5180,0)</f>
        <v/>
      </c>
      <c r="Z5180" s="12" t="inlineStr">
        <is>
          <t>VD 0.4 %</t>
        </is>
      </c>
      <c r="AA5180" s="12">
        <f>N5180*O5180</f>
        <v/>
      </c>
    </row>
    <row r="5181">
      <c r="A5181" s="12" t="inlineStr">
        <is>
          <t>I-P-0022</t>
        </is>
      </c>
      <c r="B5181" s="12" t="inlineStr">
        <is>
          <t>I</t>
        </is>
      </c>
      <c r="C5181" s="12" t="inlineStr">
        <is>
          <t>Modular / portable power</t>
        </is>
      </c>
      <c r="D5181" s="12" t="inlineStr">
        <is>
          <t>FC-6 SOFC output to inverter / AC cabinet</t>
        </is>
      </c>
      <c r="E5181" s="12" t="inlineStr">
        <is>
          <t>FC-6</t>
        </is>
      </c>
      <c r="F5181" s="12" t="inlineStr">
        <is>
          <t>FC-6: SOFC module (200-300 kW class)</t>
        </is>
      </c>
      <c r="G5181" s="12" t="inlineStr"/>
      <c r="H5181" s="12" t="inlineStr">
        <is>
          <t>FC-5..8 inverter / AC cabinet / desulfurizer</t>
        </is>
      </c>
      <c r="I5181" s="12" t="inlineStr">
        <is>
          <t>LV 600 V</t>
        </is>
      </c>
      <c r="J5181" s="12" t="inlineStr">
        <is>
          <t>Type TC-ER 600 V 3/C Cu XHHW-2 + ground, PVC jacket</t>
        </is>
      </c>
      <c r="K5181" s="12" t="inlineStr">
        <is>
          <t>LV|3/C+G|3/0</t>
        </is>
      </c>
      <c r="L5181" s="12" t="inlineStr">
        <is>
          <t>3/C+G</t>
        </is>
      </c>
      <c r="M5181" s="12" t="inlineStr">
        <is>
          <t>3/0</t>
        </is>
      </c>
      <c r="N5181" s="12" t="n">
        <v>2</v>
      </c>
      <c r="O5181" s="12" t="n">
        <v>1</v>
      </c>
      <c r="P5181" s="12" t="n">
        <v>480</v>
      </c>
      <c r="Q5181" s="12" t="n">
        <v>250</v>
      </c>
      <c r="R5181" s="12" t="n">
        <v>316.5</v>
      </c>
      <c r="S5181" s="12" t="inlineStr">
        <is>
          <t>Surface</t>
        </is>
      </c>
      <c r="T5181" s="15" t="n">
        <v>40</v>
      </c>
      <c r="U5181" s="15" t="n">
        <v>27</v>
      </c>
      <c r="V5181" s="15">
        <f>ROUNDUP((T5181+U5181+2*'Read Me'!$B$13)*(1+'Read Me'!$B$12),-1)</f>
        <v/>
      </c>
      <c r="W5181" s="15">
        <f>V5181*N5181*O5181</f>
        <v/>
      </c>
      <c r="X5181" s="12">
        <f>IF(LEFT(I5181,2)="MV",2*N5181*IF(L5181="1/C",O5181,1),0)</f>
        <v/>
      </c>
      <c r="Y5181" s="12">
        <f>IF(OR(LEFT(K5181,4)="LVAX",LEFT(K5181,6)="MV15AX",LEFT(K5181,4)="CTAX",LEFT(K5181,2)="W|"),2*N5181*O5181,0)</f>
        <v/>
      </c>
      <c r="Z5181" s="12" t="inlineStr">
        <is>
          <t>VD 0.3 %</t>
        </is>
      </c>
      <c r="AA5181" s="12">
        <f>N5181*O5181</f>
        <v/>
      </c>
    </row>
    <row r="5182">
      <c r="A5182" s="12" t="inlineStr">
        <is>
          <t>I-P-0023</t>
        </is>
      </c>
      <c r="B5182" s="12" t="inlineStr">
        <is>
          <t>I</t>
        </is>
      </c>
      <c r="C5182" s="12" t="inlineStr">
        <is>
          <t>Modular / portable power</t>
        </is>
      </c>
      <c r="D5182" s="12" t="inlineStr">
        <is>
          <t>FC-7 SOFC output to inverter / AC cabinet</t>
        </is>
      </c>
      <c r="E5182" s="12" t="inlineStr">
        <is>
          <t>FC-7</t>
        </is>
      </c>
      <c r="F5182" s="12" t="inlineStr">
        <is>
          <t>FC-7: SOFC module (200-300 kW class)</t>
        </is>
      </c>
      <c r="G5182" s="12" t="inlineStr"/>
      <c r="H5182" s="12" t="inlineStr">
        <is>
          <t>FC-5..8 inverter / AC cabinet / desulfurizer</t>
        </is>
      </c>
      <c r="I5182" s="12" t="inlineStr">
        <is>
          <t>LV 600 V</t>
        </is>
      </c>
      <c r="J5182" s="12" t="inlineStr">
        <is>
          <t>Type TC-ER 600 V 3/C Cu XHHW-2 + ground, PVC jacket</t>
        </is>
      </c>
      <c r="K5182" s="12" t="inlineStr">
        <is>
          <t>LV|3/C+G|3/0</t>
        </is>
      </c>
      <c r="L5182" s="12" t="inlineStr">
        <is>
          <t>3/C+G</t>
        </is>
      </c>
      <c r="M5182" s="12" t="inlineStr">
        <is>
          <t>3/0</t>
        </is>
      </c>
      <c r="N5182" s="12" t="n">
        <v>2</v>
      </c>
      <c r="O5182" s="12" t="n">
        <v>1</v>
      </c>
      <c r="P5182" s="12" t="n">
        <v>480</v>
      </c>
      <c r="Q5182" s="12" t="n">
        <v>250</v>
      </c>
      <c r="R5182" s="12" t="n">
        <v>316.5</v>
      </c>
      <c r="S5182" s="12" t="inlineStr">
        <is>
          <t>Surface</t>
        </is>
      </c>
      <c r="T5182" s="15" t="n">
        <v>29</v>
      </c>
      <c r="U5182" s="15" t="n">
        <v>27</v>
      </c>
      <c r="V5182" s="15">
        <f>ROUNDUP((T5182+U5182+2*'Read Me'!$B$13)*(1+'Read Me'!$B$12),-1)</f>
        <v/>
      </c>
      <c r="W5182" s="15">
        <f>V5182*N5182*O5182</f>
        <v/>
      </c>
      <c r="X5182" s="12">
        <f>IF(LEFT(I5182,2)="MV",2*N5182*IF(L5182="1/C",O5182,1),0)</f>
        <v/>
      </c>
      <c r="Y5182" s="12">
        <f>IF(OR(LEFT(K5182,4)="LVAX",LEFT(K5182,6)="MV15AX",LEFT(K5182,4)="CTAX",LEFT(K5182,2)="W|"),2*N5182*O5182,0)</f>
        <v/>
      </c>
      <c r="Z5182" s="12" t="inlineStr">
        <is>
          <t>VD 0.3 %</t>
        </is>
      </c>
      <c r="AA5182" s="12">
        <f>N5182*O5182</f>
        <v/>
      </c>
    </row>
    <row r="5183">
      <c r="A5183" s="12" t="inlineStr">
        <is>
          <t>I-P-0024</t>
        </is>
      </c>
      <c r="B5183" s="12" t="inlineStr">
        <is>
          <t>I</t>
        </is>
      </c>
      <c r="C5183" s="12" t="inlineStr">
        <is>
          <t>Modular / portable power</t>
        </is>
      </c>
      <c r="D5183" s="12" t="inlineStr">
        <is>
          <t>FC-8 SOFC output to inverter / AC cabinet</t>
        </is>
      </c>
      <c r="E5183" s="12" t="inlineStr">
        <is>
          <t>FC-8</t>
        </is>
      </c>
      <c r="F5183" s="12" t="inlineStr">
        <is>
          <t>FC-8: SOFC module (200-300 kW class)</t>
        </is>
      </c>
      <c r="G5183" s="12" t="inlineStr"/>
      <c r="H5183" s="12" t="inlineStr">
        <is>
          <t>FC-5..8 inverter / AC cabinet / desulfurizer</t>
        </is>
      </c>
      <c r="I5183" s="12" t="inlineStr">
        <is>
          <t>LV 600 V</t>
        </is>
      </c>
      <c r="J5183" s="12" t="inlineStr">
        <is>
          <t>Type TC-ER 600 V 3/C Cu XHHW-2 + ground, PVC jacket</t>
        </is>
      </c>
      <c r="K5183" s="12" t="inlineStr">
        <is>
          <t>LV|3/C+G|3/0</t>
        </is>
      </c>
      <c r="L5183" s="12" t="inlineStr">
        <is>
          <t>3/C+G</t>
        </is>
      </c>
      <c r="M5183" s="12" t="inlineStr">
        <is>
          <t>3/0</t>
        </is>
      </c>
      <c r="N5183" s="12" t="n">
        <v>2</v>
      </c>
      <c r="O5183" s="12" t="n">
        <v>1</v>
      </c>
      <c r="P5183" s="12" t="n">
        <v>480</v>
      </c>
      <c r="Q5183" s="12" t="n">
        <v>250</v>
      </c>
      <c r="R5183" s="12" t="n">
        <v>316.5</v>
      </c>
      <c r="S5183" s="12" t="inlineStr">
        <is>
          <t>Tray</t>
        </is>
      </c>
      <c r="T5183" s="15" t="n">
        <v>2</v>
      </c>
      <c r="U5183" s="15" t="n">
        <v>27</v>
      </c>
      <c r="V5183" s="15">
        <f>ROUNDUP((T5183+U5183+2*'Read Me'!$B$13)*(1+'Read Me'!$B$12),-1)</f>
        <v/>
      </c>
      <c r="W5183" s="15">
        <f>V5183*N5183*O5183</f>
        <v/>
      </c>
      <c r="X5183" s="12">
        <f>IF(LEFT(I5183,2)="MV",2*N5183*IF(L5183="1/C",O5183,1),0)</f>
        <v/>
      </c>
      <c r="Y5183" s="12">
        <f>IF(OR(LEFT(K5183,4)="LVAX",LEFT(K5183,6)="MV15AX",LEFT(K5183,4)="CTAX",LEFT(K5183,2)="W|"),2*N5183*O5183,0)</f>
        <v/>
      </c>
      <c r="Z5183" s="12" t="inlineStr">
        <is>
          <t>VD 0.1 %</t>
        </is>
      </c>
      <c r="AA5183" s="12">
        <f>N5183*O5183</f>
        <v/>
      </c>
    </row>
    <row r="5184">
      <c r="A5184" s="12" t="inlineStr">
        <is>
          <t>I-P-0025</t>
        </is>
      </c>
      <c r="B5184" s="12" t="inlineStr">
        <is>
          <t>I</t>
        </is>
      </c>
      <c r="C5184" s="12" t="inlineStr">
        <is>
          <t>Modular / portable power</t>
        </is>
      </c>
      <c r="D5184" s="12" t="inlineStr">
        <is>
          <t>Motor 1 of 6, 15 kW</t>
        </is>
      </c>
      <c r="E5184" s="12" t="inlineStr"/>
      <c r="F5184" s="12" t="inlineStr">
        <is>
          <t>SC-2 PCM + 15 kV GCB</t>
        </is>
      </c>
      <c r="G5184" s="12" t="inlineStr"/>
      <c r="H5184" s="12" t="inlineStr">
        <is>
          <t>Fuel-gas compressors 3 x 100% electric</t>
        </is>
      </c>
      <c r="I5184" s="12" t="inlineStr">
        <is>
          <t>LV 600 V</t>
        </is>
      </c>
      <c r="J5184" s="12" t="inlineStr">
        <is>
          <t>ARMOR-X MC-HL 600 V 3/C Cu XHHW-2 + ground, CWA, black PVC (Class I Div 2)</t>
        </is>
      </c>
      <c r="K5184" s="12" t="inlineStr">
        <is>
          <t>LVAX|3/C+G|10</t>
        </is>
      </c>
      <c r="L5184" s="12" t="inlineStr">
        <is>
          <t>3/C+G</t>
        </is>
      </c>
      <c r="M5184" s="12" t="inlineStr">
        <is>
          <t>10</t>
        </is>
      </c>
      <c r="N5184" s="12" t="n">
        <v>1</v>
      </c>
      <c r="O5184" s="12" t="n">
        <v>1</v>
      </c>
      <c r="P5184" s="12" t="n">
        <v>480</v>
      </c>
      <c r="Q5184" s="12" t="n">
        <v>15</v>
      </c>
      <c r="R5184" s="12" t="n">
        <v>21.2</v>
      </c>
      <c r="S5184" s="12" t="inlineStr">
        <is>
          <t>Duct bank</t>
        </is>
      </c>
      <c r="T5184" s="15" t="n">
        <v>8</v>
      </c>
      <c r="U5184" s="15" t="n">
        <v>108</v>
      </c>
      <c r="V5184" s="15">
        <f>ROUNDUP((T5184+U5184+2*'Read Me'!$B$13)*(1+'Read Me'!$B$12),-1)</f>
        <v/>
      </c>
      <c r="W5184" s="15">
        <f>V5184*N5184*O5184</f>
        <v/>
      </c>
      <c r="X5184" s="12">
        <f>IF(LEFT(I5184,2)="MV",2*N5184*IF(L5184="1/C",O5184,1),0)</f>
        <v/>
      </c>
      <c r="Y5184" s="12">
        <f>IF(OR(LEFT(K5184,4)="LVAX",LEFT(K5184,6)="MV15AX",LEFT(K5184,4)="CTAX",LEFT(K5184,2)="W|"),2*N5184*O5184,0)</f>
        <v/>
      </c>
      <c r="Z5184" s="12" t="inlineStr">
        <is>
          <t>VD 1.2 %</t>
        </is>
      </c>
      <c r="AA5184" s="12">
        <f>N5184*O5184</f>
        <v/>
      </c>
    </row>
    <row r="5185">
      <c r="A5185" s="12" t="inlineStr">
        <is>
          <t>I-P-0026</t>
        </is>
      </c>
      <c r="B5185" s="12" t="inlineStr">
        <is>
          <t>I</t>
        </is>
      </c>
      <c r="C5185" s="12" t="inlineStr">
        <is>
          <t>Modular / portable power</t>
        </is>
      </c>
      <c r="D5185" s="12" t="inlineStr">
        <is>
          <t>Motor 2 of 6, 15 kW</t>
        </is>
      </c>
      <c r="E5185" s="12" t="inlineStr"/>
      <c r="F5185" s="12" t="inlineStr">
        <is>
          <t>SC-2 PCM + 15 kV GCB</t>
        </is>
      </c>
      <c r="G5185" s="12" t="inlineStr"/>
      <c r="H5185" s="12" t="inlineStr">
        <is>
          <t>Fuel-gas compressors 3 x 100% electric</t>
        </is>
      </c>
      <c r="I5185" s="12" t="inlineStr">
        <is>
          <t>LV 600 V</t>
        </is>
      </c>
      <c r="J5185" s="12" t="inlineStr">
        <is>
          <t>ARMOR-X MC-HL 600 V 3/C Cu XHHW-2 + ground, CWA, black PVC (Class I Div 2)</t>
        </is>
      </c>
      <c r="K5185" s="12" t="inlineStr">
        <is>
          <t>LVAX|3/C+G|10</t>
        </is>
      </c>
      <c r="L5185" s="12" t="inlineStr">
        <is>
          <t>3/C+G</t>
        </is>
      </c>
      <c r="M5185" s="12" t="inlineStr">
        <is>
          <t>10</t>
        </is>
      </c>
      <c r="N5185" s="12" t="n">
        <v>1</v>
      </c>
      <c r="O5185" s="12" t="n">
        <v>1</v>
      </c>
      <c r="P5185" s="12" t="n">
        <v>480</v>
      </c>
      <c r="Q5185" s="12" t="n">
        <v>15</v>
      </c>
      <c r="R5185" s="12" t="n">
        <v>21.2</v>
      </c>
      <c r="S5185" s="12" t="inlineStr">
        <is>
          <t>Duct bank</t>
        </is>
      </c>
      <c r="T5185" s="15" t="n">
        <v>8</v>
      </c>
      <c r="U5185" s="15" t="n">
        <v>108</v>
      </c>
      <c r="V5185" s="15">
        <f>ROUNDUP((T5185+U5185+2*'Read Me'!$B$13)*(1+'Read Me'!$B$12),-1)</f>
        <v/>
      </c>
      <c r="W5185" s="15">
        <f>V5185*N5185*O5185</f>
        <v/>
      </c>
      <c r="X5185" s="12">
        <f>IF(LEFT(I5185,2)="MV",2*N5185*IF(L5185="1/C",O5185,1),0)</f>
        <v/>
      </c>
      <c r="Y5185" s="12">
        <f>IF(OR(LEFT(K5185,4)="LVAX",LEFT(K5185,6)="MV15AX",LEFT(K5185,4)="CTAX",LEFT(K5185,2)="W|"),2*N5185*O5185,0)</f>
        <v/>
      </c>
      <c r="Z5185" s="12" t="inlineStr">
        <is>
          <t>VD 1.2 %</t>
        </is>
      </c>
      <c r="AA5185" s="12">
        <f>N5185*O5185</f>
        <v/>
      </c>
    </row>
    <row r="5186">
      <c r="A5186" s="12" t="inlineStr">
        <is>
          <t>I-P-0027</t>
        </is>
      </c>
      <c r="B5186" s="12" t="inlineStr">
        <is>
          <t>I</t>
        </is>
      </c>
      <c r="C5186" s="12" t="inlineStr">
        <is>
          <t>Modular / portable power</t>
        </is>
      </c>
      <c r="D5186" s="12" t="inlineStr">
        <is>
          <t>Motor 3 of 6, 15 kW</t>
        </is>
      </c>
      <c r="E5186" s="12" t="inlineStr"/>
      <c r="F5186" s="12" t="inlineStr">
        <is>
          <t>SC-2 PCM + 15 kV GCB</t>
        </is>
      </c>
      <c r="G5186" s="12" t="inlineStr"/>
      <c r="H5186" s="12" t="inlineStr">
        <is>
          <t>Fuel-gas compressors 3 x 100% electric</t>
        </is>
      </c>
      <c r="I5186" s="12" t="inlineStr">
        <is>
          <t>LV 600 V</t>
        </is>
      </c>
      <c r="J5186" s="12" t="inlineStr">
        <is>
          <t>ARMOR-X MC-HL 600 V 3/C Cu XHHW-2 + ground, CWA, black PVC (Class I Div 2)</t>
        </is>
      </c>
      <c r="K5186" s="12" t="inlineStr">
        <is>
          <t>LVAX|3/C+G|10</t>
        </is>
      </c>
      <c r="L5186" s="12" t="inlineStr">
        <is>
          <t>3/C+G</t>
        </is>
      </c>
      <c r="M5186" s="12" t="inlineStr">
        <is>
          <t>10</t>
        </is>
      </c>
      <c r="N5186" s="12" t="n">
        <v>1</v>
      </c>
      <c r="O5186" s="12" t="n">
        <v>1</v>
      </c>
      <c r="P5186" s="12" t="n">
        <v>480</v>
      </c>
      <c r="Q5186" s="12" t="n">
        <v>15</v>
      </c>
      <c r="R5186" s="12" t="n">
        <v>21.2</v>
      </c>
      <c r="S5186" s="12" t="inlineStr">
        <is>
          <t>Duct bank</t>
        </is>
      </c>
      <c r="T5186" s="15" t="n">
        <v>8</v>
      </c>
      <c r="U5186" s="15" t="n">
        <v>108</v>
      </c>
      <c r="V5186" s="15">
        <f>ROUNDUP((T5186+U5186+2*'Read Me'!$B$13)*(1+'Read Me'!$B$12),-1)</f>
        <v/>
      </c>
      <c r="W5186" s="15">
        <f>V5186*N5186*O5186</f>
        <v/>
      </c>
      <c r="X5186" s="12">
        <f>IF(LEFT(I5186,2)="MV",2*N5186*IF(L5186="1/C",O5186,1),0)</f>
        <v/>
      </c>
      <c r="Y5186" s="12">
        <f>IF(OR(LEFT(K5186,4)="LVAX",LEFT(K5186,6)="MV15AX",LEFT(K5186,4)="CTAX",LEFT(K5186,2)="W|"),2*N5186*O5186,0)</f>
        <v/>
      </c>
      <c r="Z5186" s="12" t="inlineStr">
        <is>
          <t>VD 1.2 %</t>
        </is>
      </c>
      <c r="AA5186" s="12">
        <f>N5186*O5186</f>
        <v/>
      </c>
    </row>
    <row r="5187">
      <c r="A5187" s="12" t="inlineStr">
        <is>
          <t>I-P-0028</t>
        </is>
      </c>
      <c r="B5187" s="12" t="inlineStr">
        <is>
          <t>I</t>
        </is>
      </c>
      <c r="C5187" s="12" t="inlineStr">
        <is>
          <t>Modular / portable power</t>
        </is>
      </c>
      <c r="D5187" s="12" t="inlineStr">
        <is>
          <t>Motor 4 of 6, 15 kW</t>
        </is>
      </c>
      <c r="E5187" s="12" t="inlineStr"/>
      <c r="F5187" s="12" t="inlineStr">
        <is>
          <t>SC-2 PCM + 15 kV GCB</t>
        </is>
      </c>
      <c r="G5187" s="12" t="inlineStr"/>
      <c r="H5187" s="12" t="inlineStr">
        <is>
          <t>Fuel-gas compressors 3 x 100% electric</t>
        </is>
      </c>
      <c r="I5187" s="12" t="inlineStr">
        <is>
          <t>LV 600 V</t>
        </is>
      </c>
      <c r="J5187" s="12" t="inlineStr">
        <is>
          <t>ARMOR-X MC-HL 600 V 3/C Cu XHHW-2 + ground, CWA, black PVC (Class I Div 2)</t>
        </is>
      </c>
      <c r="K5187" s="12" t="inlineStr">
        <is>
          <t>LVAX|3/C+G|10</t>
        </is>
      </c>
      <c r="L5187" s="12" t="inlineStr">
        <is>
          <t>3/C+G</t>
        </is>
      </c>
      <c r="M5187" s="12" t="inlineStr">
        <is>
          <t>10</t>
        </is>
      </c>
      <c r="N5187" s="12" t="n">
        <v>1</v>
      </c>
      <c r="O5187" s="12" t="n">
        <v>1</v>
      </c>
      <c r="P5187" s="12" t="n">
        <v>480</v>
      </c>
      <c r="Q5187" s="12" t="n">
        <v>15</v>
      </c>
      <c r="R5187" s="12" t="n">
        <v>21.2</v>
      </c>
      <c r="S5187" s="12" t="inlineStr">
        <is>
          <t>Duct bank</t>
        </is>
      </c>
      <c r="T5187" s="15" t="n">
        <v>8</v>
      </c>
      <c r="U5187" s="15" t="n">
        <v>108</v>
      </c>
      <c r="V5187" s="15">
        <f>ROUNDUP((T5187+U5187+2*'Read Me'!$B$13)*(1+'Read Me'!$B$12),-1)</f>
        <v/>
      </c>
      <c r="W5187" s="15">
        <f>V5187*N5187*O5187</f>
        <v/>
      </c>
      <c r="X5187" s="12">
        <f>IF(LEFT(I5187,2)="MV",2*N5187*IF(L5187="1/C",O5187,1),0)</f>
        <v/>
      </c>
      <c r="Y5187" s="12">
        <f>IF(OR(LEFT(K5187,4)="LVAX",LEFT(K5187,6)="MV15AX",LEFT(K5187,4)="CTAX",LEFT(K5187,2)="W|"),2*N5187*O5187,0)</f>
        <v/>
      </c>
      <c r="Z5187" s="12" t="inlineStr">
        <is>
          <t>VD 1.2 %</t>
        </is>
      </c>
      <c r="AA5187" s="12">
        <f>N5187*O5187</f>
        <v/>
      </c>
    </row>
    <row r="5188">
      <c r="A5188" s="12" t="inlineStr">
        <is>
          <t>I-P-0029</t>
        </is>
      </c>
      <c r="B5188" s="12" t="inlineStr">
        <is>
          <t>I</t>
        </is>
      </c>
      <c r="C5188" s="12" t="inlineStr">
        <is>
          <t>Modular / portable power</t>
        </is>
      </c>
      <c r="D5188" s="12" t="inlineStr">
        <is>
          <t>Motor 5 of 6, 15 kW</t>
        </is>
      </c>
      <c r="E5188" s="12" t="inlineStr"/>
      <c r="F5188" s="12" t="inlineStr">
        <is>
          <t>SC-2 PCM + 15 kV GCB</t>
        </is>
      </c>
      <c r="G5188" s="12" t="inlineStr"/>
      <c r="H5188" s="12" t="inlineStr">
        <is>
          <t>Fuel-gas compressors 3 x 100% electric</t>
        </is>
      </c>
      <c r="I5188" s="12" t="inlineStr">
        <is>
          <t>LV 600 V</t>
        </is>
      </c>
      <c r="J5188" s="12" t="inlineStr">
        <is>
          <t>ARMOR-X MC-HL 600 V 3/C Cu XHHW-2 + ground, CWA, black PVC (Class I Div 2)</t>
        </is>
      </c>
      <c r="K5188" s="12" t="inlineStr">
        <is>
          <t>LVAX|3/C+G|10</t>
        </is>
      </c>
      <c r="L5188" s="12" t="inlineStr">
        <is>
          <t>3/C+G</t>
        </is>
      </c>
      <c r="M5188" s="12" t="inlineStr">
        <is>
          <t>10</t>
        </is>
      </c>
      <c r="N5188" s="12" t="n">
        <v>1</v>
      </c>
      <c r="O5188" s="12" t="n">
        <v>1</v>
      </c>
      <c r="P5188" s="12" t="n">
        <v>480</v>
      </c>
      <c r="Q5188" s="12" t="n">
        <v>15</v>
      </c>
      <c r="R5188" s="12" t="n">
        <v>21.2</v>
      </c>
      <c r="S5188" s="12" t="inlineStr">
        <is>
          <t>Duct bank</t>
        </is>
      </c>
      <c r="T5188" s="15" t="n">
        <v>8</v>
      </c>
      <c r="U5188" s="15" t="n">
        <v>108</v>
      </c>
      <c r="V5188" s="15">
        <f>ROUNDUP((T5188+U5188+2*'Read Me'!$B$13)*(1+'Read Me'!$B$12),-1)</f>
        <v/>
      </c>
      <c r="W5188" s="15">
        <f>V5188*N5188*O5188</f>
        <v/>
      </c>
      <c r="X5188" s="12">
        <f>IF(LEFT(I5188,2)="MV",2*N5188*IF(L5188="1/C",O5188,1),0)</f>
        <v/>
      </c>
      <c r="Y5188" s="12">
        <f>IF(OR(LEFT(K5188,4)="LVAX",LEFT(K5188,6)="MV15AX",LEFT(K5188,4)="CTAX",LEFT(K5188,2)="W|"),2*N5188*O5188,0)</f>
        <v/>
      </c>
      <c r="Z5188" s="12" t="inlineStr">
        <is>
          <t>VD 1.2 %</t>
        </is>
      </c>
      <c r="AA5188" s="12">
        <f>N5188*O5188</f>
        <v/>
      </c>
    </row>
    <row r="5189">
      <c r="A5189" s="12" t="inlineStr">
        <is>
          <t>I-P-0030</t>
        </is>
      </c>
      <c r="B5189" s="12" t="inlineStr">
        <is>
          <t>I</t>
        </is>
      </c>
      <c r="C5189" s="12" t="inlineStr">
        <is>
          <t>Modular / portable power</t>
        </is>
      </c>
      <c r="D5189" s="12" t="inlineStr">
        <is>
          <t>Motor 6 of 6, 15 kW</t>
        </is>
      </c>
      <c r="E5189" s="12" t="inlineStr"/>
      <c r="F5189" s="12" t="inlineStr">
        <is>
          <t>SC-2 PCM + 15 kV GCB</t>
        </is>
      </c>
      <c r="G5189" s="12" t="inlineStr"/>
      <c r="H5189" s="12" t="inlineStr">
        <is>
          <t>Fuel-gas compressors 3 x 100% electric</t>
        </is>
      </c>
      <c r="I5189" s="12" t="inlineStr">
        <is>
          <t>LV 600 V</t>
        </is>
      </c>
      <c r="J5189" s="12" t="inlineStr">
        <is>
          <t>ARMOR-X MC-HL 600 V 3/C Cu XHHW-2 + ground, CWA, black PVC (Class I Div 2)</t>
        </is>
      </c>
      <c r="K5189" s="12" t="inlineStr">
        <is>
          <t>LVAX|3/C+G|10</t>
        </is>
      </c>
      <c r="L5189" s="12" t="inlineStr">
        <is>
          <t>3/C+G</t>
        </is>
      </c>
      <c r="M5189" s="12" t="inlineStr">
        <is>
          <t>10</t>
        </is>
      </c>
      <c r="N5189" s="12" t="n">
        <v>1</v>
      </c>
      <c r="O5189" s="12" t="n">
        <v>1</v>
      </c>
      <c r="P5189" s="12" t="n">
        <v>480</v>
      </c>
      <c r="Q5189" s="12" t="n">
        <v>15</v>
      </c>
      <c r="R5189" s="12" t="n">
        <v>21.2</v>
      </c>
      <c r="S5189" s="12" t="inlineStr">
        <is>
          <t>Duct bank</t>
        </is>
      </c>
      <c r="T5189" s="15" t="n">
        <v>8</v>
      </c>
      <c r="U5189" s="15" t="n">
        <v>108</v>
      </c>
      <c r="V5189" s="15">
        <f>ROUNDUP((T5189+U5189+2*'Read Me'!$B$13)*(1+'Read Me'!$B$12),-1)</f>
        <v/>
      </c>
      <c r="W5189" s="15">
        <f>V5189*N5189*O5189</f>
        <v/>
      </c>
      <c r="X5189" s="12">
        <f>IF(LEFT(I5189,2)="MV",2*N5189*IF(L5189="1/C",O5189,1),0)</f>
        <v/>
      </c>
      <c r="Y5189" s="12">
        <f>IF(OR(LEFT(K5189,4)="LVAX",LEFT(K5189,6)="MV15AX",LEFT(K5189,4)="CTAX",LEFT(K5189,2)="W|"),2*N5189*O5189,0)</f>
        <v/>
      </c>
      <c r="Z5189" s="12" t="inlineStr">
        <is>
          <t>VD 1.2 %</t>
        </is>
      </c>
      <c r="AA5189" s="12">
        <f>N5189*O5189</f>
        <v/>
      </c>
    </row>
    <row r="5190">
      <c r="A5190" s="12" t="inlineStr">
        <is>
          <t>I-P-0031</t>
        </is>
      </c>
      <c r="B5190" s="12" t="inlineStr">
        <is>
          <t>I</t>
        </is>
      </c>
      <c r="C5190" s="12" t="inlineStr">
        <is>
          <t>Modular / portable power</t>
        </is>
      </c>
      <c r="D5190" s="12" t="inlineStr">
        <is>
          <t>GB-1.1 aux power: jacket-water heater, battery charger, enclosure</t>
        </is>
      </c>
      <c r="E5190" s="12" t="inlineStr">
        <is>
          <t>GBC-1</t>
        </is>
      </c>
      <c r="F5190" s="12" t="inlineStr">
        <is>
          <t xml:space="preserve">GBC-1: block GB-1 generator collector box, 480 V outdoor switchboard, </t>
        </is>
      </c>
      <c r="G5190" s="12" t="inlineStr">
        <is>
          <t>GB-1.1</t>
        </is>
      </c>
      <c r="H5190" s="12" t="inlineStr">
        <is>
          <t>GB-1.1: modular gas genset 500 kW, 480 V (block GB-1, unit 1 of 5)</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15</v>
      </c>
      <c r="R5190" s="12" t="n">
        <v>19</v>
      </c>
      <c r="S5190" s="12" t="inlineStr">
        <is>
          <t>Surface</t>
        </is>
      </c>
      <c r="T5190" s="15" t="n">
        <v>44</v>
      </c>
      <c r="U5190" s="15" t="n">
        <v>28</v>
      </c>
      <c r="V5190" s="15">
        <f>ROUNDUP((T5190+U5190+2*'Read Me'!$B$13)*(1+'Read Me'!$B$12),-1)</f>
        <v/>
      </c>
      <c r="W5190" s="15">
        <f>V5190*N5190*O5190</f>
        <v/>
      </c>
      <c r="X5190" s="12">
        <f>IF(LEFT(I5190,2)="MV",2*N5190*IF(L5190="1/C",O5190,1),0)</f>
        <v/>
      </c>
      <c r="Y5190" s="12">
        <f>IF(OR(LEFT(K5190,4)="LVAX",LEFT(K5190,6)="MV15AX",LEFT(K5190,4)="CTAX",LEFT(K5190,2)="W|"),2*N5190*O5190,0)</f>
        <v/>
      </c>
      <c r="Z5190" s="12" t="inlineStr">
        <is>
          <t>VD 0.7 %</t>
        </is>
      </c>
      <c r="AA5190" s="12">
        <f>N5190*O5190</f>
        <v/>
      </c>
    </row>
    <row r="5191">
      <c r="A5191" s="12" t="inlineStr">
        <is>
          <t>I-P-0032</t>
        </is>
      </c>
      <c r="B5191" s="12" t="inlineStr">
        <is>
          <t>I</t>
        </is>
      </c>
      <c r="C5191" s="12" t="inlineStr">
        <is>
          <t>Modular / portable power</t>
        </is>
      </c>
      <c r="D5191" s="12" t="inlineStr">
        <is>
          <t>GB-1.2 aux power: jacket-water heater, battery charger, enclosure</t>
        </is>
      </c>
      <c r="E5191" s="12" t="inlineStr">
        <is>
          <t>GBC-1</t>
        </is>
      </c>
      <c r="F5191" s="12" t="inlineStr">
        <is>
          <t xml:space="preserve">GBC-1: block GB-1 generator collector box, 480 V outdoor switchboard, </t>
        </is>
      </c>
      <c r="G5191" s="12" t="inlineStr">
        <is>
          <t>GB-1.2</t>
        </is>
      </c>
      <c r="H5191" s="12" t="inlineStr">
        <is>
          <t>GB-1.2: modular gas genset 500 kW, 480 V (block GB-1, unit 2 of 5)</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15</v>
      </c>
      <c r="R5191" s="12" t="n">
        <v>19</v>
      </c>
      <c r="S5191" s="12" t="inlineStr">
        <is>
          <t>Surface</t>
        </is>
      </c>
      <c r="T5191" s="15" t="n">
        <v>34</v>
      </c>
      <c r="U5191" s="15" t="n">
        <v>28</v>
      </c>
      <c r="V5191" s="15">
        <f>ROUNDUP((T5191+U5191+2*'Read Me'!$B$13)*(1+'Read Me'!$B$12),-1)</f>
        <v/>
      </c>
      <c r="W5191" s="15">
        <f>V5191*N5191*O5191</f>
        <v/>
      </c>
      <c r="X5191" s="12">
        <f>IF(LEFT(I5191,2)="MV",2*N5191*IF(L5191="1/C",O5191,1),0)</f>
        <v/>
      </c>
      <c r="Y5191" s="12">
        <f>IF(OR(LEFT(K5191,4)="LVAX",LEFT(K5191,6)="MV15AX",LEFT(K5191,4)="CTAX",LEFT(K5191,2)="W|"),2*N5191*O5191,0)</f>
        <v/>
      </c>
      <c r="Z5191" s="12" t="inlineStr">
        <is>
          <t>VD 0.6 %</t>
        </is>
      </c>
      <c r="AA5191" s="12">
        <f>N5191*O5191</f>
        <v/>
      </c>
    </row>
    <row r="5192">
      <c r="A5192" s="12" t="inlineStr">
        <is>
          <t>I-P-0033</t>
        </is>
      </c>
      <c r="B5192" s="12" t="inlineStr">
        <is>
          <t>I</t>
        </is>
      </c>
      <c r="C5192" s="12" t="inlineStr">
        <is>
          <t>Modular / portable power</t>
        </is>
      </c>
      <c r="D5192" s="12" t="inlineStr">
        <is>
          <t>GB-1.3 aux power: jacket-water heater, battery charger, enclosure</t>
        </is>
      </c>
      <c r="E5192" s="12" t="inlineStr">
        <is>
          <t>GBC-1</t>
        </is>
      </c>
      <c r="F5192" s="12" t="inlineStr">
        <is>
          <t xml:space="preserve">GBC-1: block GB-1 generator collector box, 480 V outdoor switchboard, </t>
        </is>
      </c>
      <c r="G5192" s="12" t="inlineStr">
        <is>
          <t>GB-1.3</t>
        </is>
      </c>
      <c r="H5192" s="12" t="inlineStr">
        <is>
          <t>GB-1.3: modular gas genset 500 kW, 480 V (block GB-1, unit 3 of 5)</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15</v>
      </c>
      <c r="R5192" s="12" t="n">
        <v>19</v>
      </c>
      <c r="S5192" s="12" t="inlineStr">
        <is>
          <t>Surface</t>
        </is>
      </c>
      <c r="T5192" s="15" t="n">
        <v>24</v>
      </c>
      <c r="U5192" s="15" t="n">
        <v>28</v>
      </c>
      <c r="V5192" s="15">
        <f>ROUNDUP((T5192+U5192+2*'Read Me'!$B$13)*(1+'Read Me'!$B$12),-1)</f>
        <v/>
      </c>
      <c r="W5192" s="15">
        <f>V5192*N5192*O5192</f>
        <v/>
      </c>
      <c r="X5192" s="12">
        <f>IF(LEFT(I5192,2)="MV",2*N5192*IF(L5192="1/C",O5192,1),0)</f>
        <v/>
      </c>
      <c r="Y5192" s="12">
        <f>IF(OR(LEFT(K5192,4)="LVAX",LEFT(K5192,6)="MV15AX",LEFT(K5192,4)="CTAX",LEFT(K5192,2)="W|"),2*N5192*O5192,0)</f>
        <v/>
      </c>
      <c r="Z5192" s="12" t="inlineStr">
        <is>
          <t>VD 0.5 %</t>
        </is>
      </c>
      <c r="AA5192" s="12">
        <f>N5192*O5192</f>
        <v/>
      </c>
    </row>
    <row r="5193">
      <c r="A5193" s="12" t="inlineStr">
        <is>
          <t>I-P-0034</t>
        </is>
      </c>
      <c r="B5193" s="12" t="inlineStr">
        <is>
          <t>I</t>
        </is>
      </c>
      <c r="C5193" s="12" t="inlineStr">
        <is>
          <t>Modular / portable power</t>
        </is>
      </c>
      <c r="D5193" s="12" t="inlineStr">
        <is>
          <t>GB-1.4 aux power: jacket-water heater, battery charger, enclosure</t>
        </is>
      </c>
      <c r="E5193" s="12" t="inlineStr">
        <is>
          <t>GBC-1</t>
        </is>
      </c>
      <c r="F5193" s="12" t="inlineStr">
        <is>
          <t xml:space="preserve">GBC-1: block GB-1 generator collector box, 480 V outdoor switchboard, </t>
        </is>
      </c>
      <c r="G5193" s="12" t="inlineStr">
        <is>
          <t>GB-1.4</t>
        </is>
      </c>
      <c r="H5193" s="12" t="inlineStr">
        <is>
          <t>GB-1.4: modular gas genset 500 kW, 480 V (block GB-1, unit 4 of 5)</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15</v>
      </c>
      <c r="R5193" s="12" t="n">
        <v>19</v>
      </c>
      <c r="S5193" s="12" t="inlineStr">
        <is>
          <t>Surface</t>
        </is>
      </c>
      <c r="T5193" s="15" t="n">
        <v>14</v>
      </c>
      <c r="U5193" s="15" t="n">
        <v>28</v>
      </c>
      <c r="V5193" s="15">
        <f>ROUNDUP((T5193+U5193+2*'Read Me'!$B$13)*(1+'Read Me'!$B$12),-1)</f>
        <v/>
      </c>
      <c r="W5193" s="15">
        <f>V5193*N5193*O5193</f>
        <v/>
      </c>
      <c r="X5193" s="12">
        <f>IF(LEFT(I5193,2)="MV",2*N5193*IF(L5193="1/C",O5193,1),0)</f>
        <v/>
      </c>
      <c r="Y5193" s="12">
        <f>IF(OR(LEFT(K5193,4)="LVAX",LEFT(K5193,6)="MV15AX",LEFT(K5193,4)="CTAX",LEFT(K5193,2)="W|"),2*N5193*O5193,0)</f>
        <v/>
      </c>
      <c r="Z5193" s="12" t="inlineStr">
        <is>
          <t>VD 0.4 %</t>
        </is>
      </c>
      <c r="AA5193" s="12">
        <f>N5193*O5193</f>
        <v/>
      </c>
    </row>
    <row r="5194">
      <c r="A5194" s="12" t="inlineStr">
        <is>
          <t>I-P-0035</t>
        </is>
      </c>
      <c r="B5194" s="12" t="inlineStr">
        <is>
          <t>I</t>
        </is>
      </c>
      <c r="C5194" s="12" t="inlineStr">
        <is>
          <t>Modular / portable power</t>
        </is>
      </c>
      <c r="D5194" s="12" t="inlineStr">
        <is>
          <t>GB-1.5 aux power: jacket-water heater, battery charger, enclosure</t>
        </is>
      </c>
      <c r="E5194" s="12" t="inlineStr">
        <is>
          <t>GBC-1</t>
        </is>
      </c>
      <c r="F5194" s="12" t="inlineStr">
        <is>
          <t xml:space="preserve">GBC-1: block GB-1 generator collector box, 480 V outdoor switchboard, </t>
        </is>
      </c>
      <c r="G5194" s="12" t="inlineStr">
        <is>
          <t>GB-1.5</t>
        </is>
      </c>
      <c r="H5194" s="12" t="inlineStr">
        <is>
          <t>GB-1.5: modular gas genset 500 kW, 480 V (block GB-1, unit 5 of 5)</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15</v>
      </c>
      <c r="R5194" s="12" t="n">
        <v>19</v>
      </c>
      <c r="S5194" s="12" t="inlineStr">
        <is>
          <t>Tray</t>
        </is>
      </c>
      <c r="T5194" s="15" t="n">
        <v>0</v>
      </c>
      <c r="U5194" s="15" t="n">
        <v>30</v>
      </c>
      <c r="V5194" s="15">
        <f>ROUNDUP((T5194+U5194+2*'Read Me'!$B$13)*(1+'Read Me'!$B$12),-1)</f>
        <v/>
      </c>
      <c r="W5194" s="15">
        <f>V5194*N5194*O5194</f>
        <v/>
      </c>
      <c r="X5194" s="12">
        <f>IF(LEFT(I5194,2)="MV",2*N5194*IF(L5194="1/C",O5194,1),0)</f>
        <v/>
      </c>
      <c r="Y5194" s="12">
        <f>IF(OR(LEFT(K5194,4)="LVAX",LEFT(K5194,6)="MV15AX",LEFT(K5194,4)="CTAX",LEFT(K5194,2)="W|"),2*N5194*O5194,0)</f>
        <v/>
      </c>
      <c r="Z5194" s="12" t="inlineStr">
        <is>
          <t>VD 0.3 %</t>
        </is>
      </c>
      <c r="AA5194" s="12">
        <f>N5194*O5194</f>
        <v/>
      </c>
    </row>
    <row r="5195">
      <c r="A5195" s="12" t="inlineStr">
        <is>
          <t>I-P-0036</t>
        </is>
      </c>
      <c r="B5195" s="12" t="inlineStr">
        <is>
          <t>I</t>
        </is>
      </c>
      <c r="C5195" s="12" t="inlineStr">
        <is>
          <t>Modular / portable power</t>
        </is>
      </c>
      <c r="D5195" s="12" t="inlineStr">
        <is>
          <t>GB-2.1 aux power: jacket-water heater, battery charger, enclosure</t>
        </is>
      </c>
      <c r="E5195" s="12" t="inlineStr">
        <is>
          <t>GBC-2</t>
        </is>
      </c>
      <c r="F5195" s="12" t="inlineStr">
        <is>
          <t xml:space="preserve">GBC-2: block GB-2 generator collector box, 480 V outdoor switchboard, </t>
        </is>
      </c>
      <c r="G5195" s="12" t="inlineStr">
        <is>
          <t>GB-2.1</t>
        </is>
      </c>
      <c r="H5195" s="12" t="inlineStr">
        <is>
          <t>GB-2.1: modular gas genset 500 kW, 480 V (block GB-2, unit 1 of 5)</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15</v>
      </c>
      <c r="R5195" s="12" t="n">
        <v>19</v>
      </c>
      <c r="S5195" s="12" t="inlineStr">
        <is>
          <t>Surface</t>
        </is>
      </c>
      <c r="T5195" s="15" t="n">
        <v>44</v>
      </c>
      <c r="U5195" s="15" t="n">
        <v>28</v>
      </c>
      <c r="V5195" s="15">
        <f>ROUNDUP((T5195+U5195+2*'Read Me'!$B$13)*(1+'Read Me'!$B$12),-1)</f>
        <v/>
      </c>
      <c r="W5195" s="15">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I-P-0037</t>
        </is>
      </c>
      <c r="B5196" s="12" t="inlineStr">
        <is>
          <t>I</t>
        </is>
      </c>
      <c r="C5196" s="12" t="inlineStr">
        <is>
          <t>Modular / portable power</t>
        </is>
      </c>
      <c r="D5196" s="12" t="inlineStr">
        <is>
          <t>GB-2.2 aux power: jacket-water heater, battery charger, enclosure</t>
        </is>
      </c>
      <c r="E5196" s="12" t="inlineStr">
        <is>
          <t>GBC-2</t>
        </is>
      </c>
      <c r="F5196" s="12" t="inlineStr">
        <is>
          <t xml:space="preserve">GBC-2: block GB-2 generator collector box, 480 V outdoor switchboard, </t>
        </is>
      </c>
      <c r="G5196" s="12" t="inlineStr">
        <is>
          <t>GB-2.2</t>
        </is>
      </c>
      <c r="H5196" s="12" t="inlineStr">
        <is>
          <t>GB-2.2: modular gas genset 500 kW, 480 V (block GB-2, unit 2 of 5)</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15</v>
      </c>
      <c r="R5196" s="12" t="n">
        <v>19</v>
      </c>
      <c r="S5196" s="12" t="inlineStr">
        <is>
          <t>Surface</t>
        </is>
      </c>
      <c r="T5196" s="15" t="n">
        <v>34</v>
      </c>
      <c r="U5196" s="15" t="n">
        <v>28</v>
      </c>
      <c r="V5196" s="15">
        <f>ROUNDUP((T5196+U5196+2*'Read Me'!$B$13)*(1+'Read Me'!$B$12),-1)</f>
        <v/>
      </c>
      <c r="W5196" s="15">
        <f>V5196*N5196*O5196</f>
        <v/>
      </c>
      <c r="X5196" s="12">
        <f>IF(LEFT(I5196,2)="MV",2*N5196*IF(L5196="1/C",O5196,1),0)</f>
        <v/>
      </c>
      <c r="Y5196" s="12">
        <f>IF(OR(LEFT(K5196,4)="LVAX",LEFT(K5196,6)="MV15AX",LEFT(K5196,4)="CTAX",LEFT(K5196,2)="W|"),2*N5196*O5196,0)</f>
        <v/>
      </c>
      <c r="Z5196" s="12" t="inlineStr">
        <is>
          <t>VD 0.6 %</t>
        </is>
      </c>
      <c r="AA5196" s="12">
        <f>N5196*O5196</f>
        <v/>
      </c>
    </row>
    <row r="5197">
      <c r="A5197" s="12" t="inlineStr">
        <is>
          <t>I-P-0038</t>
        </is>
      </c>
      <c r="B5197" s="12" t="inlineStr">
        <is>
          <t>I</t>
        </is>
      </c>
      <c r="C5197" s="12" t="inlineStr">
        <is>
          <t>Modular / portable power</t>
        </is>
      </c>
      <c r="D5197" s="12" t="inlineStr">
        <is>
          <t>GB-2.3 aux power: jacket-water heater, battery charger, enclosure</t>
        </is>
      </c>
      <c r="E5197" s="12" t="inlineStr">
        <is>
          <t>GBC-2</t>
        </is>
      </c>
      <c r="F5197" s="12" t="inlineStr">
        <is>
          <t xml:space="preserve">GBC-2: block GB-2 generator collector box, 480 V outdoor switchboard, </t>
        </is>
      </c>
      <c r="G5197" s="12" t="inlineStr">
        <is>
          <t>GB-2.3</t>
        </is>
      </c>
      <c r="H5197" s="12" t="inlineStr">
        <is>
          <t>GB-2.3: modular gas genset 500 kW, 480 V (block GB-2, unit 3 of 5)</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15</v>
      </c>
      <c r="R5197" s="12" t="n">
        <v>19</v>
      </c>
      <c r="S5197" s="12" t="inlineStr">
        <is>
          <t>Surface</t>
        </is>
      </c>
      <c r="T5197" s="15" t="n">
        <v>24</v>
      </c>
      <c r="U5197" s="15" t="n">
        <v>28</v>
      </c>
      <c r="V5197" s="15">
        <f>ROUNDUP((T5197+U5197+2*'Read Me'!$B$13)*(1+'Read Me'!$B$12),-1)</f>
        <v/>
      </c>
      <c r="W5197" s="15">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I-P-0039</t>
        </is>
      </c>
      <c r="B5198" s="12" t="inlineStr">
        <is>
          <t>I</t>
        </is>
      </c>
      <c r="C5198" s="12" t="inlineStr">
        <is>
          <t>Modular / portable power</t>
        </is>
      </c>
      <c r="D5198" s="12" t="inlineStr">
        <is>
          <t>GB-2.4 aux power: jacket-water heater, battery charger, enclosure</t>
        </is>
      </c>
      <c r="E5198" s="12" t="inlineStr">
        <is>
          <t>GBC-2</t>
        </is>
      </c>
      <c r="F5198" s="12" t="inlineStr">
        <is>
          <t xml:space="preserve">GBC-2: block GB-2 generator collector box, 480 V outdoor switchboard, </t>
        </is>
      </c>
      <c r="G5198" s="12" t="inlineStr">
        <is>
          <t>GB-2.4</t>
        </is>
      </c>
      <c r="H5198" s="12" t="inlineStr">
        <is>
          <t>GB-2.4: modular gas genset 500 kW, 480 V (block GB-2, unit 4 of 5)</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15</v>
      </c>
      <c r="R5198" s="12" t="n">
        <v>19</v>
      </c>
      <c r="S5198" s="12" t="inlineStr">
        <is>
          <t>Surface</t>
        </is>
      </c>
      <c r="T5198" s="15" t="n">
        <v>14</v>
      </c>
      <c r="U5198" s="15" t="n">
        <v>28</v>
      </c>
      <c r="V5198" s="15">
        <f>ROUNDUP((T5198+U5198+2*'Read Me'!$B$13)*(1+'Read Me'!$B$12),-1)</f>
        <v/>
      </c>
      <c r="W5198" s="15">
        <f>V5198*N5198*O5198</f>
        <v/>
      </c>
      <c r="X5198" s="12">
        <f>IF(LEFT(I5198,2)="MV",2*N5198*IF(L5198="1/C",O5198,1),0)</f>
        <v/>
      </c>
      <c r="Y5198" s="12">
        <f>IF(OR(LEFT(K5198,4)="LVAX",LEFT(K5198,6)="MV15AX",LEFT(K5198,4)="CTAX",LEFT(K5198,2)="W|"),2*N5198*O5198,0)</f>
        <v/>
      </c>
      <c r="Z5198" s="12" t="inlineStr">
        <is>
          <t>VD 0.4 %</t>
        </is>
      </c>
      <c r="AA5198" s="12">
        <f>N5198*O5198</f>
        <v/>
      </c>
    </row>
    <row r="5199">
      <c r="A5199" s="12" t="inlineStr">
        <is>
          <t>I-P-0040</t>
        </is>
      </c>
      <c r="B5199" s="12" t="inlineStr">
        <is>
          <t>I</t>
        </is>
      </c>
      <c r="C5199" s="12" t="inlineStr">
        <is>
          <t>Modular / portable power</t>
        </is>
      </c>
      <c r="D5199" s="12" t="inlineStr">
        <is>
          <t>GB-2.5 aux power: jacket-water heater, battery charger, enclosure</t>
        </is>
      </c>
      <c r="E5199" s="12" t="inlineStr">
        <is>
          <t>GBC-2</t>
        </is>
      </c>
      <c r="F5199" s="12" t="inlineStr">
        <is>
          <t xml:space="preserve">GBC-2: block GB-2 generator collector box, 480 V outdoor switchboard, </t>
        </is>
      </c>
      <c r="G5199" s="12" t="inlineStr">
        <is>
          <t>GB-2.5</t>
        </is>
      </c>
      <c r="H5199" s="12" t="inlineStr">
        <is>
          <t>GB-2.5: modular gas genset 500 kW, 480 V (block GB-2, unit 5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Tray</t>
        </is>
      </c>
      <c r="T5199" s="15" t="n">
        <v>0</v>
      </c>
      <c r="U5199" s="15" t="n">
        <v>30</v>
      </c>
      <c r="V5199" s="15">
        <f>ROUNDUP((T5199+U5199+2*'Read Me'!$B$13)*(1+'Read Me'!$B$12),-1)</f>
        <v/>
      </c>
      <c r="W5199" s="15">
        <f>V5199*N5199*O5199</f>
        <v/>
      </c>
      <c r="X5199" s="12">
        <f>IF(LEFT(I5199,2)="MV",2*N5199*IF(L5199="1/C",O5199,1),0)</f>
        <v/>
      </c>
      <c r="Y5199" s="12">
        <f>IF(OR(LEFT(K5199,4)="LVAX",LEFT(K5199,6)="MV15AX",LEFT(K5199,4)="CTAX",LEFT(K5199,2)="W|"),2*N5199*O5199,0)</f>
        <v/>
      </c>
      <c r="Z5199" s="12" t="inlineStr">
        <is>
          <t>VD 0.3 %</t>
        </is>
      </c>
      <c r="AA5199" s="12">
        <f>N5199*O5199</f>
        <v/>
      </c>
    </row>
    <row r="5200">
      <c r="A5200" s="12" t="inlineStr">
        <is>
          <t>I-P-0041</t>
        </is>
      </c>
      <c r="B5200" s="12" t="inlineStr">
        <is>
          <t>I</t>
        </is>
      </c>
      <c r="C5200" s="12" t="inlineStr">
        <is>
          <t>Modular / portable power</t>
        </is>
      </c>
      <c r="D5200" s="12" t="inlineStr">
        <is>
          <t>GB-3.1 aux power: jacket-water heater, battery charger, enclosure</t>
        </is>
      </c>
      <c r="E5200" s="12" t="inlineStr">
        <is>
          <t>GBC-3</t>
        </is>
      </c>
      <c r="F5200" s="12" t="inlineStr">
        <is>
          <t xml:space="preserve">GBC-3: block GB-3 generator collector box, 480 V outdoor switchboard, </t>
        </is>
      </c>
      <c r="G5200" s="12" t="inlineStr">
        <is>
          <t>GB-3.1</t>
        </is>
      </c>
      <c r="H5200" s="12" t="inlineStr">
        <is>
          <t>GB-3.1: modular gas genset 500 kW, 480 V (block GB-3, unit 1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44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I-P-0042</t>
        </is>
      </c>
      <c r="B5201" s="12" t="inlineStr">
        <is>
          <t>I</t>
        </is>
      </c>
      <c r="C5201" s="12" t="inlineStr">
        <is>
          <t>Modular / portable power</t>
        </is>
      </c>
      <c r="D5201" s="12" t="inlineStr">
        <is>
          <t>GB-3.2 aux power: jacket-water heater, battery charger, enclosure</t>
        </is>
      </c>
      <c r="E5201" s="12" t="inlineStr">
        <is>
          <t>GBC-3</t>
        </is>
      </c>
      <c r="F5201" s="12" t="inlineStr">
        <is>
          <t xml:space="preserve">GBC-3: block GB-3 generator collector box, 480 V outdoor switchboard, </t>
        </is>
      </c>
      <c r="G5201" s="12" t="inlineStr">
        <is>
          <t>GB-3.2</t>
        </is>
      </c>
      <c r="H5201" s="12" t="inlineStr">
        <is>
          <t>GB-3.2: modular gas genset 500 kW, 480 V (block GB-3, unit 2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34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0.6 %</t>
        </is>
      </c>
      <c r="AA5201" s="12">
        <f>N5201*O5201</f>
        <v/>
      </c>
    </row>
    <row r="5202">
      <c r="A5202" s="12" t="inlineStr">
        <is>
          <t>I-P-0043</t>
        </is>
      </c>
      <c r="B5202" s="12" t="inlineStr">
        <is>
          <t>I</t>
        </is>
      </c>
      <c r="C5202" s="12" t="inlineStr">
        <is>
          <t>Modular / portable power</t>
        </is>
      </c>
      <c r="D5202" s="12" t="inlineStr">
        <is>
          <t>GB-3.3 aux power: jacket-water heater, battery charger, enclosure</t>
        </is>
      </c>
      <c r="E5202" s="12" t="inlineStr">
        <is>
          <t>GBC-3</t>
        </is>
      </c>
      <c r="F5202" s="12" t="inlineStr">
        <is>
          <t xml:space="preserve">GBC-3: block GB-3 generator collector box, 480 V outdoor switchboard, </t>
        </is>
      </c>
      <c r="G5202" s="12" t="inlineStr">
        <is>
          <t>GB-3.3</t>
        </is>
      </c>
      <c r="H5202" s="12" t="inlineStr">
        <is>
          <t>GB-3.3: modular gas genset 500 kW, 480 V (block GB-3, unit 3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24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I-P-0044</t>
        </is>
      </c>
      <c r="B5203" s="12" t="inlineStr">
        <is>
          <t>I</t>
        </is>
      </c>
      <c r="C5203" s="12" t="inlineStr">
        <is>
          <t>Modular / portable power</t>
        </is>
      </c>
      <c r="D5203" s="12" t="inlineStr">
        <is>
          <t>GB-3.4 aux power: jacket-water heater, battery charger, enclosure</t>
        </is>
      </c>
      <c r="E5203" s="12" t="inlineStr">
        <is>
          <t>GBC-3</t>
        </is>
      </c>
      <c r="F5203" s="12" t="inlineStr">
        <is>
          <t xml:space="preserve">GBC-3: block GB-3 generator collector box, 480 V outdoor switchboard, </t>
        </is>
      </c>
      <c r="G5203" s="12" t="inlineStr">
        <is>
          <t>GB-3.4</t>
        </is>
      </c>
      <c r="H5203" s="12" t="inlineStr">
        <is>
          <t>GB-3.4: modular gas genset 500 kW, 480 V (block GB-3, unit 4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Surface</t>
        </is>
      </c>
      <c r="T5203" s="15" t="n">
        <v>14</v>
      </c>
      <c r="U5203" s="15" t="n">
        <v>28</v>
      </c>
      <c r="V5203" s="15">
        <f>ROUNDUP((T5203+U5203+2*'Read Me'!$B$13)*(1+'Read Me'!$B$12),-1)</f>
        <v/>
      </c>
      <c r="W5203" s="15">
        <f>V5203*N5203*O5203</f>
        <v/>
      </c>
      <c r="X5203" s="12">
        <f>IF(LEFT(I5203,2)="MV",2*N5203*IF(L5203="1/C",O5203,1),0)</f>
        <v/>
      </c>
      <c r="Y5203" s="12">
        <f>IF(OR(LEFT(K5203,4)="LVAX",LEFT(K5203,6)="MV15AX",LEFT(K5203,4)="CTAX",LEFT(K5203,2)="W|"),2*N5203*O5203,0)</f>
        <v/>
      </c>
      <c r="Z5203" s="12" t="inlineStr">
        <is>
          <t>VD 0.4 %</t>
        </is>
      </c>
      <c r="AA5203" s="12">
        <f>N5203*O5203</f>
        <v/>
      </c>
    </row>
    <row r="5204">
      <c r="A5204" s="12" t="inlineStr">
        <is>
          <t>I-P-0045</t>
        </is>
      </c>
      <c r="B5204" s="12" t="inlineStr">
        <is>
          <t>I</t>
        </is>
      </c>
      <c r="C5204" s="12" t="inlineStr">
        <is>
          <t>Modular / portable power</t>
        </is>
      </c>
      <c r="D5204" s="12" t="inlineStr">
        <is>
          <t>GB-3.5 aux power: jacket-water heater, battery charger, enclosure</t>
        </is>
      </c>
      <c r="E5204" s="12" t="inlineStr">
        <is>
          <t>GBC-3</t>
        </is>
      </c>
      <c r="F5204" s="12" t="inlineStr">
        <is>
          <t xml:space="preserve">GBC-3: block GB-3 generator collector box, 480 V outdoor switchboard, </t>
        </is>
      </c>
      <c r="G5204" s="12" t="inlineStr">
        <is>
          <t>GB-3.5</t>
        </is>
      </c>
      <c r="H5204" s="12" t="inlineStr">
        <is>
          <t>GB-3.5: modular gas genset 500 kW, 480 V (block GB-3, unit 5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Tray</t>
        </is>
      </c>
      <c r="T5204" s="15" t="n">
        <v>0</v>
      </c>
      <c r="U5204" s="15" t="n">
        <v>30</v>
      </c>
      <c r="V5204" s="15">
        <f>ROUNDUP((T5204+U5204+2*'Read Me'!$B$13)*(1+'Read Me'!$B$12),-1)</f>
        <v/>
      </c>
      <c r="W5204" s="15">
        <f>V5204*N5204*O5204</f>
        <v/>
      </c>
      <c r="X5204" s="12">
        <f>IF(LEFT(I5204,2)="MV",2*N5204*IF(L5204="1/C",O5204,1),0)</f>
        <v/>
      </c>
      <c r="Y5204" s="12">
        <f>IF(OR(LEFT(K5204,4)="LVAX",LEFT(K5204,6)="MV15AX",LEFT(K5204,4)="CTAX",LEFT(K5204,2)="W|"),2*N5204*O5204,0)</f>
        <v/>
      </c>
      <c r="Z5204" s="12" t="inlineStr">
        <is>
          <t>VD 0.3 %</t>
        </is>
      </c>
      <c r="AA5204" s="12">
        <f>N5204*O5204</f>
        <v/>
      </c>
    </row>
    <row r="5205">
      <c r="A5205" s="12" t="inlineStr">
        <is>
          <t>I-P-0046</t>
        </is>
      </c>
      <c r="B5205" s="12" t="inlineStr">
        <is>
          <t>I</t>
        </is>
      </c>
      <c r="C5205" s="12" t="inlineStr">
        <is>
          <t>Modular / portable power</t>
        </is>
      </c>
      <c r="D5205" s="12" t="inlineStr">
        <is>
          <t>GB-4.1 aux power: jacket-water heater, battery charger, enclosure</t>
        </is>
      </c>
      <c r="E5205" s="12" t="inlineStr">
        <is>
          <t>GBC-4</t>
        </is>
      </c>
      <c r="F5205" s="12" t="inlineStr">
        <is>
          <t xml:space="preserve">GBC-4: block GB-4 generator collector box, 480 V outdoor switchboard, </t>
        </is>
      </c>
      <c r="G5205" s="12" t="inlineStr">
        <is>
          <t>GB-4.1</t>
        </is>
      </c>
      <c r="H5205" s="12" t="inlineStr">
        <is>
          <t>GB-4.1: modular gas genset 500 kW, 480 V (block GB-4, unit 1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34</v>
      </c>
      <c r="U5205" s="15" t="n">
        <v>36</v>
      </c>
      <c r="V5205" s="15">
        <f>ROUNDUP((T5205+U5205+2*'Read Me'!$B$13)*(1+'Read Me'!$B$12),-1)</f>
        <v/>
      </c>
      <c r="W5205" s="15">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I-P-0047</t>
        </is>
      </c>
      <c r="B5206" s="12" t="inlineStr">
        <is>
          <t>I</t>
        </is>
      </c>
      <c r="C5206" s="12" t="inlineStr">
        <is>
          <t>Modular / portable power</t>
        </is>
      </c>
      <c r="D5206" s="12" t="inlineStr">
        <is>
          <t>GB-4.2 aux power: jacket-water heater, battery charger, enclosure</t>
        </is>
      </c>
      <c r="E5206" s="12" t="inlineStr">
        <is>
          <t>GBC-4</t>
        </is>
      </c>
      <c r="F5206" s="12" t="inlineStr">
        <is>
          <t xml:space="preserve">GBC-4: block GB-4 generator collector box, 480 V outdoor switchboard, </t>
        </is>
      </c>
      <c r="G5206" s="12" t="inlineStr">
        <is>
          <t>GB-4.2</t>
        </is>
      </c>
      <c r="H5206" s="12" t="inlineStr">
        <is>
          <t>GB-4.2: modular gas genset 500 kW, 480 V (block GB-4, unit 2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34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I-P-0048</t>
        </is>
      </c>
      <c r="B5207" s="12" t="inlineStr">
        <is>
          <t>I</t>
        </is>
      </c>
      <c r="C5207" s="12" t="inlineStr">
        <is>
          <t>Modular / portable power</t>
        </is>
      </c>
      <c r="D5207" s="12" t="inlineStr">
        <is>
          <t>GB-4.3 aux power: jacket-water heater, battery charger, enclosure</t>
        </is>
      </c>
      <c r="E5207" s="12" t="inlineStr">
        <is>
          <t>GBC-4</t>
        </is>
      </c>
      <c r="F5207" s="12" t="inlineStr">
        <is>
          <t xml:space="preserve">GBC-4: block GB-4 generator collector box, 480 V outdoor switchboard, </t>
        </is>
      </c>
      <c r="G5207" s="12" t="inlineStr">
        <is>
          <t>GB-4.3</t>
        </is>
      </c>
      <c r="H5207" s="12" t="inlineStr">
        <is>
          <t>GB-4.3: modular gas genset 500 kW, 480 V (block GB-4, unit 3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24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0.5 %</t>
        </is>
      </c>
      <c r="AA5207" s="12">
        <f>N5207*O5207</f>
        <v/>
      </c>
    </row>
    <row r="5208">
      <c r="A5208" s="12" t="inlineStr">
        <is>
          <t>I-P-0049</t>
        </is>
      </c>
      <c r="B5208" s="12" t="inlineStr">
        <is>
          <t>I</t>
        </is>
      </c>
      <c r="C5208" s="12" t="inlineStr">
        <is>
          <t>Modular / portable power</t>
        </is>
      </c>
      <c r="D5208" s="12" t="inlineStr">
        <is>
          <t>GB-4.4 aux power: jacket-water heater, battery charger, enclosure</t>
        </is>
      </c>
      <c r="E5208" s="12" t="inlineStr">
        <is>
          <t>GBC-4</t>
        </is>
      </c>
      <c r="F5208" s="12" t="inlineStr">
        <is>
          <t xml:space="preserve">GBC-4: block GB-4 generator collector box, 480 V outdoor switchboard, </t>
        </is>
      </c>
      <c r="G5208" s="12" t="inlineStr">
        <is>
          <t>GB-4.4</t>
        </is>
      </c>
      <c r="H5208" s="12" t="inlineStr">
        <is>
          <t>GB-4.4: modular gas genset 500 kW, 480 V (block GB-4, unit 4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Surface</t>
        </is>
      </c>
      <c r="T5208" s="15" t="n">
        <v>14</v>
      </c>
      <c r="U5208" s="15" t="n">
        <v>28</v>
      </c>
      <c r="V5208" s="15">
        <f>ROUNDUP((T5208+U5208+2*'Read Me'!$B$13)*(1+'Read Me'!$B$12),-1)</f>
        <v/>
      </c>
      <c r="W5208" s="15">
        <f>V5208*N5208*O5208</f>
        <v/>
      </c>
      <c r="X5208" s="12">
        <f>IF(LEFT(I5208,2)="MV",2*N5208*IF(L5208="1/C",O5208,1),0)</f>
        <v/>
      </c>
      <c r="Y5208" s="12">
        <f>IF(OR(LEFT(K5208,4)="LVAX",LEFT(K5208,6)="MV15AX",LEFT(K5208,4)="CTAX",LEFT(K5208,2)="W|"),2*N5208*O5208,0)</f>
        <v/>
      </c>
      <c r="Z5208" s="12" t="inlineStr">
        <is>
          <t>VD 0.4 %</t>
        </is>
      </c>
      <c r="AA5208" s="12">
        <f>N5208*O5208</f>
        <v/>
      </c>
    </row>
    <row r="5209">
      <c r="A5209" s="12" t="inlineStr">
        <is>
          <t>I-P-0050</t>
        </is>
      </c>
      <c r="B5209" s="12" t="inlineStr">
        <is>
          <t>I</t>
        </is>
      </c>
      <c r="C5209" s="12" t="inlineStr">
        <is>
          <t>Modular / portable power</t>
        </is>
      </c>
      <c r="D5209" s="12" t="inlineStr">
        <is>
          <t>GB-4.5 aux power: jacket-water heater, battery charger, enclosure</t>
        </is>
      </c>
      <c r="E5209" s="12" t="inlineStr">
        <is>
          <t>GBC-4</t>
        </is>
      </c>
      <c r="F5209" s="12" t="inlineStr">
        <is>
          <t xml:space="preserve">GBC-4: block GB-4 generator collector box, 480 V outdoor switchboard, </t>
        </is>
      </c>
      <c r="G5209" s="12" t="inlineStr">
        <is>
          <t>GB-4.5</t>
        </is>
      </c>
      <c r="H5209" s="12" t="inlineStr">
        <is>
          <t>GB-4.5: modular gas genset 500 kW, 480 V (block GB-4, unit 5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Tray</t>
        </is>
      </c>
      <c r="T5209" s="15" t="n">
        <v>0</v>
      </c>
      <c r="U5209" s="15" t="n">
        <v>30</v>
      </c>
      <c r="V5209" s="15">
        <f>ROUNDUP((T5209+U5209+2*'Read Me'!$B$13)*(1+'Read Me'!$B$12),-1)</f>
        <v/>
      </c>
      <c r="W5209" s="15">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I-P-0051</t>
        </is>
      </c>
      <c r="B5210" s="12" t="inlineStr">
        <is>
          <t>I</t>
        </is>
      </c>
      <c r="C5210" s="12" t="inlineStr">
        <is>
          <t>Modular / portable power</t>
        </is>
      </c>
      <c r="D5210" s="12" t="inlineStr">
        <is>
          <t>L1 GB-1.1 480 V generator leads to GBC-1</t>
        </is>
      </c>
      <c r="E5210" s="12" t="inlineStr">
        <is>
          <t>GB-1.1</t>
        </is>
      </c>
      <c r="F5210" s="12" t="inlineStr">
        <is>
          <t>GB-1.1: modular gas genset 500 kW, 480 V (block GB-1, unit 1 of 5)</t>
        </is>
      </c>
      <c r="G5210" s="12" t="inlineStr">
        <is>
          <t>GBC-1</t>
        </is>
      </c>
      <c r="H5210" s="12" t="inlineStr">
        <is>
          <t xml:space="preserve">GBC-1: block GB-1 generator collector box, 480 V outdoor switchboard, </t>
        </is>
      </c>
      <c r="I5210" s="12" t="inlineStr">
        <is>
          <t>LV 600 V</t>
        </is>
      </c>
      <c r="J5210" s="12" t="inlineStr">
        <is>
          <t>XHHW-2 600 V 1/C Cu (feeder sets in tray / duct)</t>
        </is>
      </c>
      <c r="K5210" s="12" t="inlineStr">
        <is>
          <t>LV1C|1/C|500</t>
        </is>
      </c>
      <c r="L5210" s="12" t="inlineStr">
        <is>
          <t>1/C</t>
        </is>
      </c>
      <c r="M5210" s="12" t="inlineStr">
        <is>
          <t>500 kcmil</t>
        </is>
      </c>
      <c r="N5210" s="12" t="n">
        <v>2</v>
      </c>
      <c r="O5210" s="12" t="n">
        <v>4</v>
      </c>
      <c r="P5210" s="12" t="n">
        <v>480</v>
      </c>
      <c r="Q5210" s="12" t="n">
        <v>500</v>
      </c>
      <c r="R5210" s="12" t="n">
        <v>601</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2 sets of 3 x 500 kcmil + ground (count TO VERIFY)</t>
        </is>
      </c>
      <c r="AA5210" s="12">
        <f>N5210*O5210</f>
        <v/>
      </c>
    </row>
    <row r="5211">
      <c r="A5211" s="12" t="inlineStr">
        <is>
          <t>I-P-0052</t>
        </is>
      </c>
      <c r="B5211" s="12" t="inlineStr">
        <is>
          <t>I</t>
        </is>
      </c>
      <c r="C5211" s="12" t="inlineStr">
        <is>
          <t>Modular / portable power</t>
        </is>
      </c>
      <c r="D5211" s="12" t="inlineStr">
        <is>
          <t>L1 GB-1.2 480 V generator leads to GBC-1</t>
        </is>
      </c>
      <c r="E5211" s="12" t="inlineStr">
        <is>
          <t>GB-1.2</t>
        </is>
      </c>
      <c r="F5211" s="12" t="inlineStr">
        <is>
          <t>GB-1.2: modular gas genset 500 kW, 480 V (block GB-1, unit 2 of 5)</t>
        </is>
      </c>
      <c r="G5211" s="12" t="inlineStr">
        <is>
          <t>GBC-1</t>
        </is>
      </c>
      <c r="H5211" s="12" t="inlineStr">
        <is>
          <t xml:space="preserve">GBC-1: block GB-1 generator collector box, 480 V outdoor switchboard, </t>
        </is>
      </c>
      <c r="I5211" s="12" t="inlineStr">
        <is>
          <t>LV 600 V</t>
        </is>
      </c>
      <c r="J5211" s="12" t="inlineStr">
        <is>
          <t>XHHW-2 600 V 1/C Cu (feeder sets in tray / duct)</t>
        </is>
      </c>
      <c r="K5211" s="12" t="inlineStr">
        <is>
          <t>LV1C|1/C|500</t>
        </is>
      </c>
      <c r="L5211" s="12" t="inlineStr">
        <is>
          <t>1/C</t>
        </is>
      </c>
      <c r="M5211" s="12" t="inlineStr">
        <is>
          <t>500 kcmil</t>
        </is>
      </c>
      <c r="N5211" s="12" t="n">
        <v>2</v>
      </c>
      <c r="O5211" s="12" t="n">
        <v>4</v>
      </c>
      <c r="P5211" s="12" t="n">
        <v>480</v>
      </c>
      <c r="Q5211" s="12" t="n">
        <v>500</v>
      </c>
      <c r="R5211" s="12" t="n">
        <v>601</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2 sets of 3 x 500 kcmil + ground (count TO VERIFY)</t>
        </is>
      </c>
      <c r="AA5211" s="12">
        <f>N5211*O5211</f>
        <v/>
      </c>
    </row>
    <row r="5212">
      <c r="A5212" s="12" t="inlineStr">
        <is>
          <t>I-P-0053</t>
        </is>
      </c>
      <c r="B5212" s="12" t="inlineStr">
        <is>
          <t>I</t>
        </is>
      </c>
      <c r="C5212" s="12" t="inlineStr">
        <is>
          <t>Modular / portable power</t>
        </is>
      </c>
      <c r="D5212" s="12" t="inlineStr">
        <is>
          <t>L1 GB-1.3 480 V generator leads to GBC-1</t>
        </is>
      </c>
      <c r="E5212" s="12" t="inlineStr">
        <is>
          <t>GB-1.3</t>
        </is>
      </c>
      <c r="F5212" s="12" t="inlineStr">
        <is>
          <t>GB-1.3: modular gas genset 500 kW, 480 V (block GB-1, unit 3 of 5)</t>
        </is>
      </c>
      <c r="G5212" s="12" t="inlineStr">
        <is>
          <t>GBC-1</t>
        </is>
      </c>
      <c r="H5212" s="12" t="inlineStr">
        <is>
          <t xml:space="preserve">GBC-1: block GB-1 generator collector box, 480 V outdoor switchboard, </t>
        </is>
      </c>
      <c r="I5212" s="12" t="inlineStr">
        <is>
          <t>LV 600 V</t>
        </is>
      </c>
      <c r="J5212" s="12" t="inlineStr">
        <is>
          <t>XHHW-2 600 V 1/C Cu (feeder sets in tray / duct)</t>
        </is>
      </c>
      <c r="K5212" s="12" t="inlineStr">
        <is>
          <t>LV1C|1/C|500</t>
        </is>
      </c>
      <c r="L5212" s="12" t="inlineStr">
        <is>
          <t>1/C</t>
        </is>
      </c>
      <c r="M5212" s="12" t="inlineStr">
        <is>
          <t>500 kcmil</t>
        </is>
      </c>
      <c r="N5212" s="12" t="n">
        <v>2</v>
      </c>
      <c r="O5212" s="12" t="n">
        <v>4</v>
      </c>
      <c r="P5212" s="12" t="n">
        <v>480</v>
      </c>
      <c r="Q5212" s="12" t="n">
        <v>500</v>
      </c>
      <c r="R5212" s="12" t="n">
        <v>601</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2 sets of 3 x 500 kcmil + ground (count TO VERIFY)</t>
        </is>
      </c>
      <c r="AA5212" s="12">
        <f>N5212*O5212</f>
        <v/>
      </c>
    </row>
    <row r="5213">
      <c r="A5213" s="12" t="inlineStr">
        <is>
          <t>I-P-0054</t>
        </is>
      </c>
      <c r="B5213" s="12" t="inlineStr">
        <is>
          <t>I</t>
        </is>
      </c>
      <c r="C5213" s="12" t="inlineStr">
        <is>
          <t>Modular / portable power</t>
        </is>
      </c>
      <c r="D5213" s="12" t="inlineStr">
        <is>
          <t>L1 GB-1.4 480 V generator leads to GBC-1</t>
        </is>
      </c>
      <c r="E5213" s="12" t="inlineStr">
        <is>
          <t>GB-1.4</t>
        </is>
      </c>
      <c r="F5213" s="12" t="inlineStr">
        <is>
          <t>GB-1.4: modular gas genset 500 kW, 480 V (block GB-1, unit 4 of 5)</t>
        </is>
      </c>
      <c r="G5213" s="12" t="inlineStr">
        <is>
          <t>GBC-1</t>
        </is>
      </c>
      <c r="H5213" s="12" t="inlineStr">
        <is>
          <t xml:space="preserve">GBC-1: block GB-1 generator collector box, 480 V outdoor switchboard, </t>
        </is>
      </c>
      <c r="I5213" s="12" t="inlineStr">
        <is>
          <t>LV 600 V</t>
        </is>
      </c>
      <c r="J5213" s="12" t="inlineStr">
        <is>
          <t>XHHW-2 600 V 1/C Cu (feeder sets in tray / duct)</t>
        </is>
      </c>
      <c r="K5213" s="12" t="inlineStr">
        <is>
          <t>LV1C|1/C|500</t>
        </is>
      </c>
      <c r="L5213" s="12" t="inlineStr">
        <is>
          <t>1/C</t>
        </is>
      </c>
      <c r="M5213" s="12" t="inlineStr">
        <is>
          <t>500 kcmil</t>
        </is>
      </c>
      <c r="N5213" s="12" t="n">
        <v>2</v>
      </c>
      <c r="O5213" s="12" t="n">
        <v>4</v>
      </c>
      <c r="P5213" s="12" t="n">
        <v>480</v>
      </c>
      <c r="Q5213" s="12" t="n">
        <v>500</v>
      </c>
      <c r="R5213" s="12" t="n">
        <v>601</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2 sets of 3 x 500 kcmil + ground (count TO VERIFY)</t>
        </is>
      </c>
      <c r="AA5213" s="12">
        <f>N5213*O5213</f>
        <v/>
      </c>
    </row>
    <row r="5214">
      <c r="A5214" s="12" t="inlineStr">
        <is>
          <t>I-P-0055</t>
        </is>
      </c>
      <c r="B5214" s="12" t="inlineStr">
        <is>
          <t>I</t>
        </is>
      </c>
      <c r="C5214" s="12" t="inlineStr">
        <is>
          <t>Modular / portable power</t>
        </is>
      </c>
      <c r="D5214" s="12" t="inlineStr">
        <is>
          <t>L1 GB-1.5 480 V generator leads to GBC-1</t>
        </is>
      </c>
      <c r="E5214" s="12" t="inlineStr">
        <is>
          <t>GB-1.5</t>
        </is>
      </c>
      <c r="F5214" s="12" t="inlineStr">
        <is>
          <t>GB-1.5: modular gas genset 500 kW, 480 V (block GB-1, unit 5 of 5)</t>
        </is>
      </c>
      <c r="G5214" s="12" t="inlineStr">
        <is>
          <t>GBC-1</t>
        </is>
      </c>
      <c r="H5214" s="12" t="inlineStr">
        <is>
          <t xml:space="preserve">GBC-1: block GB-1 generator collector box, 480 V outdoor switchboard, </t>
        </is>
      </c>
      <c r="I5214" s="12" t="inlineStr">
        <is>
          <t>LV 600 V</t>
        </is>
      </c>
      <c r="J5214" s="12" t="inlineStr">
        <is>
          <t>XHHW-2 600 V 1/C Cu (feeder sets in tray / duct)</t>
        </is>
      </c>
      <c r="K5214" s="12" t="inlineStr">
        <is>
          <t>LV1C|1/C|500</t>
        </is>
      </c>
      <c r="L5214" s="12" t="inlineStr">
        <is>
          <t>1/C</t>
        </is>
      </c>
      <c r="M5214" s="12" t="inlineStr">
        <is>
          <t>500 kcmil</t>
        </is>
      </c>
      <c r="N5214" s="12" t="n">
        <v>2</v>
      </c>
      <c r="O5214" s="12" t="n">
        <v>4</v>
      </c>
      <c r="P5214" s="12" t="n">
        <v>480</v>
      </c>
      <c r="Q5214" s="12" t="n">
        <v>500</v>
      </c>
      <c r="R5214" s="12" t="n">
        <v>601</v>
      </c>
      <c r="S5214" s="12" t="inlineStr">
        <is>
          <t>Riser</t>
        </is>
      </c>
      <c r="T5214" s="15" t="n">
        <v>2</v>
      </c>
      <c r="U5214" s="15" t="n">
        <v>28</v>
      </c>
      <c r="V5214" s="15">
        <f>ROUNDUP((T5214+U5214+2*'Read Me'!$B$13)*(1+'Read Me'!$B$12),-1)</f>
        <v/>
      </c>
      <c r="W5214" s="15">
        <f>V5214*N5214*O5214</f>
        <v/>
      </c>
      <c r="X5214" s="12">
        <f>IF(LEFT(I5214,2)="MV",2*N5214*IF(L5214="1/C",O5214,1),0)</f>
        <v/>
      </c>
      <c r="Y5214" s="12">
        <f>IF(OR(LEFT(K5214,4)="LVAX",LEFT(K5214,6)="MV15AX",LEFT(K5214,4)="CTAX",LEFT(K5214,2)="W|"),2*N5214*O5214,0)</f>
        <v/>
      </c>
      <c r="Z5214" s="12" t="inlineStr">
        <is>
          <t>2 sets of 3 x 500 kcmil + ground (count TO VERIFY)</t>
        </is>
      </c>
      <c r="AA5214" s="12">
        <f>N5214*O5214</f>
        <v/>
      </c>
    </row>
    <row r="5215">
      <c r="A5215" s="12" t="inlineStr">
        <is>
          <t>I-P-0056</t>
        </is>
      </c>
      <c r="B5215" s="12" t="inlineStr">
        <is>
          <t>I</t>
        </is>
      </c>
      <c r="C5215" s="12" t="inlineStr">
        <is>
          <t>Modular / portable power</t>
        </is>
      </c>
      <c r="D5215" s="12" t="inlineStr">
        <is>
          <t>L1 GB-2.1 480 V generator leads to GBC-2</t>
        </is>
      </c>
      <c r="E5215" s="12" t="inlineStr">
        <is>
          <t>GB-2.1</t>
        </is>
      </c>
      <c r="F5215" s="12" t="inlineStr">
        <is>
          <t>GB-2.1: modular gas genset 500 kW, 480 V (block GB-2, unit 1 of 5)</t>
        </is>
      </c>
      <c r="G5215" s="12" t="inlineStr">
        <is>
          <t>GBC-2</t>
        </is>
      </c>
      <c r="H5215" s="12" t="inlineStr">
        <is>
          <t xml:space="preserve">GBC-2: block GB-2 generator collector box, 480 V outdoor switchboard, </t>
        </is>
      </c>
      <c r="I5215" s="12" t="inlineStr">
        <is>
          <t>LV 600 V</t>
        </is>
      </c>
      <c r="J5215" s="12" t="inlineStr">
        <is>
          <t>XHHW-2 600 V 1/C Cu (feeder sets in tray / duct)</t>
        </is>
      </c>
      <c r="K5215" s="12" t="inlineStr">
        <is>
          <t>LV1C|1/C|500</t>
        </is>
      </c>
      <c r="L5215" s="12" t="inlineStr">
        <is>
          <t>1/C</t>
        </is>
      </c>
      <c r="M5215" s="12" t="inlineStr">
        <is>
          <t>500 kcmil</t>
        </is>
      </c>
      <c r="N5215" s="12" t="n">
        <v>2</v>
      </c>
      <c r="O5215" s="12" t="n">
        <v>4</v>
      </c>
      <c r="P5215" s="12" t="n">
        <v>480</v>
      </c>
      <c r="Q5215" s="12" t="n">
        <v>500</v>
      </c>
      <c r="R5215" s="12" t="n">
        <v>601</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2 sets of 3 x 500 kcmil + ground (count TO VERIFY)</t>
        </is>
      </c>
      <c r="AA5215" s="12">
        <f>N5215*O5215</f>
        <v/>
      </c>
    </row>
    <row r="5216">
      <c r="A5216" s="12" t="inlineStr">
        <is>
          <t>I-P-0057</t>
        </is>
      </c>
      <c r="B5216" s="12" t="inlineStr">
        <is>
          <t>I</t>
        </is>
      </c>
      <c r="C5216" s="12" t="inlineStr">
        <is>
          <t>Modular / portable power</t>
        </is>
      </c>
      <c r="D5216" s="12" t="inlineStr">
        <is>
          <t>L1 GB-2.2 480 V generator leads to GBC-2</t>
        </is>
      </c>
      <c r="E5216" s="12" t="inlineStr">
        <is>
          <t>GB-2.2</t>
        </is>
      </c>
      <c r="F5216" s="12" t="inlineStr">
        <is>
          <t>GB-2.2: modular gas genset 500 kW, 480 V (block GB-2, unit 2 of 5)</t>
        </is>
      </c>
      <c r="G5216" s="12" t="inlineStr">
        <is>
          <t>GBC-2</t>
        </is>
      </c>
      <c r="H5216" s="12" t="inlineStr">
        <is>
          <t xml:space="preserve">GBC-2: block GB-2 generator collector box, 480 V outdoor switchboard, </t>
        </is>
      </c>
      <c r="I5216" s="12" t="inlineStr">
        <is>
          <t>LV 600 V</t>
        </is>
      </c>
      <c r="J5216" s="12" t="inlineStr">
        <is>
          <t>XHHW-2 600 V 1/C Cu (feeder sets in tray / duct)</t>
        </is>
      </c>
      <c r="K5216" s="12" t="inlineStr">
        <is>
          <t>LV1C|1/C|500</t>
        </is>
      </c>
      <c r="L5216" s="12" t="inlineStr">
        <is>
          <t>1/C</t>
        </is>
      </c>
      <c r="M5216" s="12" t="inlineStr">
        <is>
          <t>500 kcmil</t>
        </is>
      </c>
      <c r="N5216" s="12" t="n">
        <v>2</v>
      </c>
      <c r="O5216" s="12" t="n">
        <v>4</v>
      </c>
      <c r="P5216" s="12" t="n">
        <v>480</v>
      </c>
      <c r="Q5216" s="12" t="n">
        <v>500</v>
      </c>
      <c r="R5216" s="12" t="n">
        <v>601</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2 sets of 3 x 500 kcmil + ground (count TO VERIFY)</t>
        </is>
      </c>
      <c r="AA5216" s="12">
        <f>N5216*O5216</f>
        <v/>
      </c>
    </row>
    <row r="5217">
      <c r="A5217" s="12" t="inlineStr">
        <is>
          <t>I-P-0058</t>
        </is>
      </c>
      <c r="B5217" s="12" t="inlineStr">
        <is>
          <t>I</t>
        </is>
      </c>
      <c r="C5217" s="12" t="inlineStr">
        <is>
          <t>Modular / portable power</t>
        </is>
      </c>
      <c r="D5217" s="12" t="inlineStr">
        <is>
          <t>L1 GB-2.3 480 V generator leads to GBC-2</t>
        </is>
      </c>
      <c r="E5217" s="12" t="inlineStr">
        <is>
          <t>GB-2.3</t>
        </is>
      </c>
      <c r="F5217" s="12" t="inlineStr">
        <is>
          <t>GB-2.3: modular gas genset 500 kW, 480 V (block GB-2, unit 3 of 5)</t>
        </is>
      </c>
      <c r="G5217" s="12" t="inlineStr">
        <is>
          <t>GBC-2</t>
        </is>
      </c>
      <c r="H5217" s="12" t="inlineStr">
        <is>
          <t xml:space="preserve">GBC-2: block GB-2 generator collector box, 480 V outdoor switchboard, </t>
        </is>
      </c>
      <c r="I5217" s="12" t="inlineStr">
        <is>
          <t>LV 600 V</t>
        </is>
      </c>
      <c r="J5217" s="12" t="inlineStr">
        <is>
          <t>XHHW-2 600 V 1/C Cu (feeder sets in tray / duct)</t>
        </is>
      </c>
      <c r="K5217" s="12" t="inlineStr">
        <is>
          <t>LV1C|1/C|500</t>
        </is>
      </c>
      <c r="L5217" s="12" t="inlineStr">
        <is>
          <t>1/C</t>
        </is>
      </c>
      <c r="M5217" s="12" t="inlineStr">
        <is>
          <t>500 kcmil</t>
        </is>
      </c>
      <c r="N5217" s="12" t="n">
        <v>2</v>
      </c>
      <c r="O5217" s="12" t="n">
        <v>4</v>
      </c>
      <c r="P5217" s="12" t="n">
        <v>480</v>
      </c>
      <c r="Q5217" s="12" t="n">
        <v>500</v>
      </c>
      <c r="R5217" s="12" t="n">
        <v>601</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2 sets of 3 x 500 kcmil + ground (count TO VERIFY)</t>
        </is>
      </c>
      <c r="AA5217" s="12">
        <f>N5217*O5217</f>
        <v/>
      </c>
    </row>
    <row r="5218">
      <c r="A5218" s="12" t="inlineStr">
        <is>
          <t>I-P-0059</t>
        </is>
      </c>
      <c r="B5218" s="12" t="inlineStr">
        <is>
          <t>I</t>
        </is>
      </c>
      <c r="C5218" s="12" t="inlineStr">
        <is>
          <t>Modular / portable power</t>
        </is>
      </c>
      <c r="D5218" s="12" t="inlineStr">
        <is>
          <t>L1 GB-2.4 480 V generator leads to GBC-2</t>
        </is>
      </c>
      <c r="E5218" s="12" t="inlineStr">
        <is>
          <t>GB-2.4</t>
        </is>
      </c>
      <c r="F5218" s="12" t="inlineStr">
        <is>
          <t>GB-2.4: modular gas genset 500 kW, 480 V (block GB-2, unit 4 of 5)</t>
        </is>
      </c>
      <c r="G5218" s="12" t="inlineStr">
        <is>
          <t>GBC-2</t>
        </is>
      </c>
      <c r="H5218" s="12" t="inlineStr">
        <is>
          <t xml:space="preserve">GBC-2: block GB-2 generator collector box, 480 V outdoor switchboard, </t>
        </is>
      </c>
      <c r="I5218" s="12" t="inlineStr">
        <is>
          <t>LV 600 V</t>
        </is>
      </c>
      <c r="J5218" s="12" t="inlineStr">
        <is>
          <t>XHHW-2 600 V 1/C Cu (feeder sets in tray / duct)</t>
        </is>
      </c>
      <c r="K5218" s="12" t="inlineStr">
        <is>
          <t>LV1C|1/C|500</t>
        </is>
      </c>
      <c r="L5218" s="12" t="inlineStr">
        <is>
          <t>1/C</t>
        </is>
      </c>
      <c r="M5218" s="12" t="inlineStr">
        <is>
          <t>500 kcmil</t>
        </is>
      </c>
      <c r="N5218" s="12" t="n">
        <v>2</v>
      </c>
      <c r="O5218" s="12" t="n">
        <v>4</v>
      </c>
      <c r="P5218" s="12" t="n">
        <v>480</v>
      </c>
      <c r="Q5218" s="12" t="n">
        <v>500</v>
      </c>
      <c r="R5218" s="12" t="n">
        <v>601</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2 sets of 3 x 500 kcmil + ground (count TO VERIFY)</t>
        </is>
      </c>
      <c r="AA5218" s="12">
        <f>N5218*O5218</f>
        <v/>
      </c>
    </row>
    <row r="5219">
      <c r="A5219" s="12" t="inlineStr">
        <is>
          <t>I-P-0060</t>
        </is>
      </c>
      <c r="B5219" s="12" t="inlineStr">
        <is>
          <t>I</t>
        </is>
      </c>
      <c r="C5219" s="12" t="inlineStr">
        <is>
          <t>Modular / portable power</t>
        </is>
      </c>
      <c r="D5219" s="12" t="inlineStr">
        <is>
          <t>L1 GB-2.5 480 V generator leads to GBC-2</t>
        </is>
      </c>
      <c r="E5219" s="12" t="inlineStr">
        <is>
          <t>GB-2.5</t>
        </is>
      </c>
      <c r="F5219" s="12" t="inlineStr">
        <is>
          <t>GB-2.5: modular gas genset 500 kW, 480 V (block GB-2, unit 5 of 5)</t>
        </is>
      </c>
      <c r="G5219" s="12" t="inlineStr">
        <is>
          <t>GBC-2</t>
        </is>
      </c>
      <c r="H5219" s="12" t="inlineStr">
        <is>
          <t xml:space="preserve">GBC-2: block GB-2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Riser</t>
        </is>
      </c>
      <c r="T5219" s="15" t="n">
        <v>2</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I-P-0061</t>
        </is>
      </c>
      <c r="B5220" s="12" t="inlineStr">
        <is>
          <t>I</t>
        </is>
      </c>
      <c r="C5220" s="12" t="inlineStr">
        <is>
          <t>Modular / portable power</t>
        </is>
      </c>
      <c r="D5220" s="12" t="inlineStr">
        <is>
          <t>L1 GB-3.1 480 V generator leads to GBC-3</t>
        </is>
      </c>
      <c r="E5220" s="12" t="inlineStr">
        <is>
          <t>GB-3.1</t>
        </is>
      </c>
      <c r="F5220" s="12" t="inlineStr">
        <is>
          <t>GB-3.1: modular gas genset 500 kW, 480 V (block GB-3, unit 1 of 5)</t>
        </is>
      </c>
      <c r="G5220" s="12" t="inlineStr">
        <is>
          <t>GBC-3</t>
        </is>
      </c>
      <c r="H5220" s="12" t="inlineStr">
        <is>
          <t xml:space="preserve">GBC-3: block GB-3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I-P-0062</t>
        </is>
      </c>
      <c r="B5221" s="12" t="inlineStr">
        <is>
          <t>I</t>
        </is>
      </c>
      <c r="C5221" s="12" t="inlineStr">
        <is>
          <t>Modular / portable power</t>
        </is>
      </c>
      <c r="D5221" s="12" t="inlineStr">
        <is>
          <t>L1 GB-3.2 480 V generator leads to GBC-3</t>
        </is>
      </c>
      <c r="E5221" s="12" t="inlineStr">
        <is>
          <t>GB-3.2</t>
        </is>
      </c>
      <c r="F5221" s="12" t="inlineStr">
        <is>
          <t>GB-3.2: modular gas genset 500 kW, 480 V (block GB-3, unit 2 of 5)</t>
        </is>
      </c>
      <c r="G5221" s="12" t="inlineStr">
        <is>
          <t>GBC-3</t>
        </is>
      </c>
      <c r="H5221" s="12" t="inlineStr">
        <is>
          <t xml:space="preserve">GBC-3: block GB-3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I-P-0063</t>
        </is>
      </c>
      <c r="B5222" s="12" t="inlineStr">
        <is>
          <t>I</t>
        </is>
      </c>
      <c r="C5222" s="12" t="inlineStr">
        <is>
          <t>Modular / portable power</t>
        </is>
      </c>
      <c r="D5222" s="12" t="inlineStr">
        <is>
          <t>L1 GB-3.3 480 V generator leads to GBC-3</t>
        </is>
      </c>
      <c r="E5222" s="12" t="inlineStr">
        <is>
          <t>GB-3.3</t>
        </is>
      </c>
      <c r="F5222" s="12" t="inlineStr">
        <is>
          <t>GB-3.3: modular gas genset 500 kW, 480 V (block GB-3, unit 3 of 5)</t>
        </is>
      </c>
      <c r="G5222" s="12" t="inlineStr">
        <is>
          <t>GBC-3</t>
        </is>
      </c>
      <c r="H5222" s="12" t="inlineStr">
        <is>
          <t xml:space="preserve">GBC-3: block GB-3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I-P-0064</t>
        </is>
      </c>
      <c r="B5223" s="12" t="inlineStr">
        <is>
          <t>I</t>
        </is>
      </c>
      <c r="C5223" s="12" t="inlineStr">
        <is>
          <t>Modular / portable power</t>
        </is>
      </c>
      <c r="D5223" s="12" t="inlineStr">
        <is>
          <t>L1 GB-3.4 480 V generator leads to GBC-3</t>
        </is>
      </c>
      <c r="E5223" s="12" t="inlineStr">
        <is>
          <t>GB-3.4</t>
        </is>
      </c>
      <c r="F5223" s="12" t="inlineStr">
        <is>
          <t>GB-3.4: modular gas genset 500 kW, 480 V (block GB-3, unit 4 of 5)</t>
        </is>
      </c>
      <c r="G5223" s="12" t="inlineStr">
        <is>
          <t>GBC-3</t>
        </is>
      </c>
      <c r="H5223" s="12" t="inlineStr">
        <is>
          <t xml:space="preserve">GBC-3: block GB-3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I-P-0065</t>
        </is>
      </c>
      <c r="B5224" s="12" t="inlineStr">
        <is>
          <t>I</t>
        </is>
      </c>
      <c r="C5224" s="12" t="inlineStr">
        <is>
          <t>Modular / portable power</t>
        </is>
      </c>
      <c r="D5224" s="12" t="inlineStr">
        <is>
          <t>L1 GB-3.5 480 V generator leads to GBC-3</t>
        </is>
      </c>
      <c r="E5224" s="12" t="inlineStr">
        <is>
          <t>GB-3.5</t>
        </is>
      </c>
      <c r="F5224" s="12" t="inlineStr">
        <is>
          <t>GB-3.5: modular gas genset 500 kW, 480 V (block GB-3, unit 5 of 5)</t>
        </is>
      </c>
      <c r="G5224" s="12" t="inlineStr">
        <is>
          <t>GBC-3</t>
        </is>
      </c>
      <c r="H5224" s="12" t="inlineStr">
        <is>
          <t xml:space="preserve">GBC-3: block GB-3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Riser</t>
        </is>
      </c>
      <c r="T5224" s="15" t="n">
        <v>2</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I-P-0066</t>
        </is>
      </c>
      <c r="B5225" s="12" t="inlineStr">
        <is>
          <t>I</t>
        </is>
      </c>
      <c r="C5225" s="12" t="inlineStr">
        <is>
          <t>Modular / portable power</t>
        </is>
      </c>
      <c r="D5225" s="12" t="inlineStr">
        <is>
          <t>L1 GB-4.1 480 V generator leads to GBC-4</t>
        </is>
      </c>
      <c r="E5225" s="12" t="inlineStr">
        <is>
          <t>GB-4.1</t>
        </is>
      </c>
      <c r="F5225" s="12" t="inlineStr">
        <is>
          <t>GB-4.1: modular gas genset 500 kW, 480 V (block GB-4, unit 1 of 5)</t>
        </is>
      </c>
      <c r="G5225" s="12" t="inlineStr">
        <is>
          <t>GBC-4</t>
        </is>
      </c>
      <c r="H5225" s="12" t="inlineStr">
        <is>
          <t xml:space="preserve">GBC-4: block GB-4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42</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I-P-0067</t>
        </is>
      </c>
      <c r="B5226" s="12" t="inlineStr">
        <is>
          <t>I</t>
        </is>
      </c>
      <c r="C5226" s="12" t="inlineStr">
        <is>
          <t>Modular / portable power</t>
        </is>
      </c>
      <c r="D5226" s="12" t="inlineStr">
        <is>
          <t>L1 GB-4.2 480 V generator leads to GBC-4</t>
        </is>
      </c>
      <c r="E5226" s="12" t="inlineStr">
        <is>
          <t>GB-4.2</t>
        </is>
      </c>
      <c r="F5226" s="12" t="inlineStr">
        <is>
          <t>GB-4.2: modular gas genset 500 kW, 480 V (block GB-4, unit 2 of 5)</t>
        </is>
      </c>
      <c r="G5226" s="12" t="inlineStr">
        <is>
          <t>GBC-4</t>
        </is>
      </c>
      <c r="H5226" s="12" t="inlineStr">
        <is>
          <t xml:space="preserve">GBC-4: block GB-4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I-P-0068</t>
        </is>
      </c>
      <c r="B5227" s="12" t="inlineStr">
        <is>
          <t>I</t>
        </is>
      </c>
      <c r="C5227" s="12" t="inlineStr">
        <is>
          <t>Modular / portable power</t>
        </is>
      </c>
      <c r="D5227" s="12" t="inlineStr">
        <is>
          <t>L1 GB-4.3 480 V generator leads to GBC-4</t>
        </is>
      </c>
      <c r="E5227" s="12" t="inlineStr">
        <is>
          <t>GB-4.3</t>
        </is>
      </c>
      <c r="F5227" s="12" t="inlineStr">
        <is>
          <t>GB-4.3: modular gas genset 500 kW, 480 V (block GB-4, unit 3 of 5)</t>
        </is>
      </c>
      <c r="G5227" s="12" t="inlineStr">
        <is>
          <t>GBC-4</t>
        </is>
      </c>
      <c r="H5227" s="12" t="inlineStr">
        <is>
          <t xml:space="preserve">GBC-4: block GB-4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I-P-0069</t>
        </is>
      </c>
      <c r="B5228" s="12" t="inlineStr">
        <is>
          <t>I</t>
        </is>
      </c>
      <c r="C5228" s="12" t="inlineStr">
        <is>
          <t>Modular / portable power</t>
        </is>
      </c>
      <c r="D5228" s="12" t="inlineStr">
        <is>
          <t>L1 GB-4.4 480 V generator leads to GBC-4</t>
        </is>
      </c>
      <c r="E5228" s="12" t="inlineStr">
        <is>
          <t>GB-4.4</t>
        </is>
      </c>
      <c r="F5228" s="12" t="inlineStr">
        <is>
          <t>GB-4.4: modular gas genset 500 kW, 480 V (block GB-4, unit 4 of 5)</t>
        </is>
      </c>
      <c r="G5228" s="12" t="inlineStr">
        <is>
          <t>GBC-4</t>
        </is>
      </c>
      <c r="H5228" s="12" t="inlineStr">
        <is>
          <t xml:space="preserve">GBC-4: block GB-4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I-P-0070</t>
        </is>
      </c>
      <c r="B5229" s="12" t="inlineStr">
        <is>
          <t>I</t>
        </is>
      </c>
      <c r="C5229" s="12" t="inlineStr">
        <is>
          <t>Modular / portable power</t>
        </is>
      </c>
      <c r="D5229" s="12" t="inlineStr">
        <is>
          <t>L1 GB-4.5 480 V generator leads to GBC-4</t>
        </is>
      </c>
      <c r="E5229" s="12" t="inlineStr">
        <is>
          <t>GB-4.5</t>
        </is>
      </c>
      <c r="F5229" s="12" t="inlineStr">
        <is>
          <t>GB-4.5: modular gas genset 500 kW, 480 V (block GB-4, unit 5 of 5)</t>
        </is>
      </c>
      <c r="G5229" s="12" t="inlineStr">
        <is>
          <t>GBC-4</t>
        </is>
      </c>
      <c r="H5229" s="12" t="inlineStr">
        <is>
          <t xml:space="preserve">GBC-4: block GB-4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Riser</t>
        </is>
      </c>
      <c r="T5229" s="15" t="n">
        <v>2</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I-P-0071</t>
        </is>
      </c>
      <c r="B5230" s="12" t="inlineStr">
        <is>
          <t>I</t>
        </is>
      </c>
      <c r="C5230" s="12" t="inlineStr">
        <is>
          <t>Modular / portable power</t>
        </is>
      </c>
      <c r="D5230" s="12" t="inlineStr">
        <is>
          <t>L2 GBC-1 to GBT-1 480 V block feed</t>
        </is>
      </c>
      <c r="E5230" s="12" t="inlineStr">
        <is>
          <t>GBC-1</t>
        </is>
      </c>
      <c r="F5230" s="12" t="inlineStr">
        <is>
          <t xml:space="preserve">GBC-1: block GB-1 generator collector box, 480 V outdoor switchboard, </t>
        </is>
      </c>
      <c r="G5230" s="12" t="inlineStr">
        <is>
          <t>GBT-1</t>
        </is>
      </c>
      <c r="H5230" s="12" t="inlineStr">
        <is>
          <t>GBT-1: block GB-1 step-up 480 V : 34.5 kV, ~3 MVA pad-mount (on the 35</t>
        </is>
      </c>
      <c r="I5230" s="12" t="inlineStr">
        <is>
          <t>LV 600 V</t>
        </is>
      </c>
      <c r="J5230" s="12" t="inlineStr">
        <is>
          <t>XHHW-2 600 V 1/C Cu (feeder sets in tray / duct)</t>
        </is>
      </c>
      <c r="K5230" s="12" t="inlineStr">
        <is>
          <t>LV1C|1/C|600</t>
        </is>
      </c>
      <c r="L5230" s="12" t="inlineStr">
        <is>
          <t>1/C</t>
        </is>
      </c>
      <c r="M5230" s="12" t="inlineStr">
        <is>
          <t>600 kcmil</t>
        </is>
      </c>
      <c r="N5230" s="12" t="n">
        <v>8</v>
      </c>
      <c r="O5230" s="12" t="n">
        <v>4</v>
      </c>
      <c r="P5230" s="12" t="n">
        <v>480</v>
      </c>
      <c r="Q5230" s="12" t="n">
        <v>2500</v>
      </c>
      <c r="R5230" s="12" t="n">
        <v>3007</v>
      </c>
      <c r="S5230" s="12" t="inlineStr">
        <is>
          <t>Riser</t>
        </is>
      </c>
      <c r="T5230" s="15" t="n">
        <v>2</v>
      </c>
      <c r="U5230" s="15" t="n">
        <v>27</v>
      </c>
      <c r="V5230" s="15">
        <f>ROUNDUP((T5230+U5230+2*'Read Me'!$B$13)*(1+'Read Me'!$B$12),-1)</f>
        <v/>
      </c>
      <c r="W5230" s="15">
        <f>V5230*N5230*O5230</f>
        <v/>
      </c>
      <c r="X5230" s="12">
        <f>IF(LEFT(I5230,2)="MV",2*N5230*IF(L5230="1/C",O5230,1),0)</f>
        <v/>
      </c>
      <c r="Y5230" s="12">
        <f>IF(OR(LEFT(K5230,4)="LVAX",LEFT(K5230,6)="MV15AX",LEFT(K5230,4)="CTAX",LEFT(K5230,2)="W|"),2*N5230*O5230,0)</f>
        <v/>
      </c>
      <c r="Z5230" s="12" t="inlineStr">
        <is>
          <t>8 sets of 4 x 1/C (or bus duct, TO VERIFY)</t>
        </is>
      </c>
      <c r="AA5230" s="12">
        <f>N5230*O5230</f>
        <v/>
      </c>
    </row>
    <row r="5231">
      <c r="A5231" s="12" t="inlineStr">
        <is>
          <t>I-P-0072</t>
        </is>
      </c>
      <c r="B5231" s="12" t="inlineStr">
        <is>
          <t>I</t>
        </is>
      </c>
      <c r="C5231" s="12" t="inlineStr">
        <is>
          <t>Modular / portable power</t>
        </is>
      </c>
      <c r="D5231" s="12" t="inlineStr">
        <is>
          <t>L2 GBC-2 to GBT-2 480 V block feed</t>
        </is>
      </c>
      <c r="E5231" s="12" t="inlineStr">
        <is>
          <t>GBC-2</t>
        </is>
      </c>
      <c r="F5231" s="12" t="inlineStr">
        <is>
          <t xml:space="preserve">GBC-2: block GB-2 generator collector box, 480 V outdoor switchboard, </t>
        </is>
      </c>
      <c r="G5231" s="12" t="inlineStr">
        <is>
          <t>GBT-2</t>
        </is>
      </c>
      <c r="H5231" s="12" t="inlineStr">
        <is>
          <t>GBT-2: block GB-2 step-up 480 V : 34.5 kV, ~3 MVA pad-mount (on the 35</t>
        </is>
      </c>
      <c r="I5231" s="12" t="inlineStr">
        <is>
          <t>LV 600 V</t>
        </is>
      </c>
      <c r="J5231" s="12" t="inlineStr">
        <is>
          <t>XHHW-2 600 V 1/C Cu (feeder sets in tray / duct)</t>
        </is>
      </c>
      <c r="K5231" s="12" t="inlineStr">
        <is>
          <t>LV1C|1/C|600</t>
        </is>
      </c>
      <c r="L5231" s="12" t="inlineStr">
        <is>
          <t>1/C</t>
        </is>
      </c>
      <c r="M5231" s="12" t="inlineStr">
        <is>
          <t>600 kcmil</t>
        </is>
      </c>
      <c r="N5231" s="12" t="n">
        <v>8</v>
      </c>
      <c r="O5231" s="12" t="n">
        <v>4</v>
      </c>
      <c r="P5231" s="12" t="n">
        <v>480</v>
      </c>
      <c r="Q5231" s="12" t="n">
        <v>2500</v>
      </c>
      <c r="R5231" s="12" t="n">
        <v>3007</v>
      </c>
      <c r="S5231" s="12" t="inlineStr">
        <is>
          <t>Riser</t>
        </is>
      </c>
      <c r="T5231" s="15" t="n">
        <v>2</v>
      </c>
      <c r="U5231" s="15" t="n">
        <v>27</v>
      </c>
      <c r="V5231" s="15">
        <f>ROUNDUP((T5231+U5231+2*'Read Me'!$B$13)*(1+'Read Me'!$B$12),-1)</f>
        <v/>
      </c>
      <c r="W5231" s="15">
        <f>V5231*N5231*O5231</f>
        <v/>
      </c>
      <c r="X5231" s="12">
        <f>IF(LEFT(I5231,2)="MV",2*N5231*IF(L5231="1/C",O5231,1),0)</f>
        <v/>
      </c>
      <c r="Y5231" s="12">
        <f>IF(OR(LEFT(K5231,4)="LVAX",LEFT(K5231,6)="MV15AX",LEFT(K5231,4)="CTAX",LEFT(K5231,2)="W|"),2*N5231*O5231,0)</f>
        <v/>
      </c>
      <c r="Z5231" s="12" t="inlineStr">
        <is>
          <t>8 sets of 4 x 1/C (or bus duct, TO VERIFY)</t>
        </is>
      </c>
      <c r="AA5231" s="12">
        <f>N5231*O5231</f>
        <v/>
      </c>
    </row>
    <row r="5232">
      <c r="A5232" s="12" t="inlineStr">
        <is>
          <t>I-P-0073</t>
        </is>
      </c>
      <c r="B5232" s="12" t="inlineStr">
        <is>
          <t>I</t>
        </is>
      </c>
      <c r="C5232" s="12" t="inlineStr">
        <is>
          <t>Modular / portable power</t>
        </is>
      </c>
      <c r="D5232" s="12" t="inlineStr">
        <is>
          <t>L2 GBC-3 to GBT-3 480 V block feed</t>
        </is>
      </c>
      <c r="E5232" s="12" t="inlineStr">
        <is>
          <t>GBC-3</t>
        </is>
      </c>
      <c r="F5232" s="12" t="inlineStr">
        <is>
          <t xml:space="preserve">GBC-3: block GB-3 generator collector box, 480 V outdoor switchboard, </t>
        </is>
      </c>
      <c r="G5232" s="12" t="inlineStr">
        <is>
          <t>GBT-3</t>
        </is>
      </c>
      <c r="H5232" s="12" t="inlineStr">
        <is>
          <t>GBT-3: block GB-3 step-up 480 V : 34.5 kV, ~3 MVA pad-mount (on the 35</t>
        </is>
      </c>
      <c r="I5232" s="12" t="inlineStr">
        <is>
          <t>LV 600 V</t>
        </is>
      </c>
      <c r="J5232" s="12" t="inlineStr">
        <is>
          <t>XHHW-2 600 V 1/C Cu (feeder sets in tray / duct)</t>
        </is>
      </c>
      <c r="K5232" s="12" t="inlineStr">
        <is>
          <t>LV1C|1/C|600</t>
        </is>
      </c>
      <c r="L5232" s="12" t="inlineStr">
        <is>
          <t>1/C</t>
        </is>
      </c>
      <c r="M5232" s="12" t="inlineStr">
        <is>
          <t>600 kcmil</t>
        </is>
      </c>
      <c r="N5232" s="12" t="n">
        <v>8</v>
      </c>
      <c r="O5232" s="12" t="n">
        <v>4</v>
      </c>
      <c r="P5232" s="12" t="n">
        <v>480</v>
      </c>
      <c r="Q5232" s="12" t="n">
        <v>2500</v>
      </c>
      <c r="R5232" s="12" t="n">
        <v>3007</v>
      </c>
      <c r="S5232" s="12" t="inlineStr">
        <is>
          <t>Riser</t>
        </is>
      </c>
      <c r="T5232" s="15" t="n">
        <v>2</v>
      </c>
      <c r="U5232" s="15" t="n">
        <v>27</v>
      </c>
      <c r="V5232" s="15">
        <f>ROUNDUP((T5232+U5232+2*'Read Me'!$B$13)*(1+'Read Me'!$B$12),-1)</f>
        <v/>
      </c>
      <c r="W5232" s="15">
        <f>V5232*N5232*O5232</f>
        <v/>
      </c>
      <c r="X5232" s="12">
        <f>IF(LEFT(I5232,2)="MV",2*N5232*IF(L5232="1/C",O5232,1),0)</f>
        <v/>
      </c>
      <c r="Y5232" s="12">
        <f>IF(OR(LEFT(K5232,4)="LVAX",LEFT(K5232,6)="MV15AX",LEFT(K5232,4)="CTAX",LEFT(K5232,2)="W|"),2*N5232*O5232,0)</f>
        <v/>
      </c>
      <c r="Z5232" s="12" t="inlineStr">
        <is>
          <t>8 sets of 4 x 1/C (or bus duct, TO VERIFY)</t>
        </is>
      </c>
      <c r="AA5232" s="12">
        <f>N5232*O5232</f>
        <v/>
      </c>
    </row>
    <row r="5233">
      <c r="A5233" s="12" t="inlineStr">
        <is>
          <t>I-P-0074</t>
        </is>
      </c>
      <c r="B5233" s="12" t="inlineStr">
        <is>
          <t>I</t>
        </is>
      </c>
      <c r="C5233" s="12" t="inlineStr">
        <is>
          <t>Modular / portable power</t>
        </is>
      </c>
      <c r="D5233" s="12" t="inlineStr">
        <is>
          <t>L2 GBC-4 to GBT-4 480 V block feed</t>
        </is>
      </c>
      <c r="E5233" s="12" t="inlineStr">
        <is>
          <t>GBC-4</t>
        </is>
      </c>
      <c r="F5233" s="12" t="inlineStr">
        <is>
          <t xml:space="preserve">GBC-4: block GB-4 generator collector box, 480 V outdoor switchboard, </t>
        </is>
      </c>
      <c r="G5233" s="12" t="inlineStr">
        <is>
          <t>GBT-4</t>
        </is>
      </c>
      <c r="H5233" s="12" t="inlineStr">
        <is>
          <t>GBT-4: block GB-4 step-up 480 V : 34.5 kV, ~3 MVA pad-mount (on the 35</t>
        </is>
      </c>
      <c r="I5233" s="12" t="inlineStr">
        <is>
          <t>LV 600 V</t>
        </is>
      </c>
      <c r="J5233" s="12" t="inlineStr">
        <is>
          <t>XHHW-2 600 V 1/C Cu (feeder sets in tray / duct)</t>
        </is>
      </c>
      <c r="K5233" s="12" t="inlineStr">
        <is>
          <t>LV1C|1/C|600</t>
        </is>
      </c>
      <c r="L5233" s="12" t="inlineStr">
        <is>
          <t>1/C</t>
        </is>
      </c>
      <c r="M5233" s="12" t="inlineStr">
        <is>
          <t>600 kcmil</t>
        </is>
      </c>
      <c r="N5233" s="12" t="n">
        <v>8</v>
      </c>
      <c r="O5233" s="12" t="n">
        <v>4</v>
      </c>
      <c r="P5233" s="12" t="n">
        <v>480</v>
      </c>
      <c r="Q5233" s="12" t="n">
        <v>2500</v>
      </c>
      <c r="R5233" s="12" t="n">
        <v>3007</v>
      </c>
      <c r="S5233" s="12" t="inlineStr">
        <is>
          <t>Riser</t>
        </is>
      </c>
      <c r="T5233" s="15" t="n">
        <v>2</v>
      </c>
      <c r="U5233" s="15" t="n">
        <v>27</v>
      </c>
      <c r="V5233" s="15">
        <f>ROUNDUP((T5233+U5233+2*'Read Me'!$B$13)*(1+'Read Me'!$B$12),-1)</f>
        <v/>
      </c>
      <c r="W5233" s="15">
        <f>V5233*N5233*O5233</f>
        <v/>
      </c>
      <c r="X5233" s="12">
        <f>IF(LEFT(I5233,2)="MV",2*N5233*IF(L5233="1/C",O5233,1),0)</f>
        <v/>
      </c>
      <c r="Y5233" s="12">
        <f>IF(OR(LEFT(K5233,4)="LVAX",LEFT(K5233,6)="MV15AX",LEFT(K5233,4)="CTAX",LEFT(K5233,2)="W|"),2*N5233*O5233,0)</f>
        <v/>
      </c>
      <c r="Z5233" s="12" t="inlineStr">
        <is>
          <t>8 sets of 4 x 1/C (or bus duct, TO VERIFY)</t>
        </is>
      </c>
      <c r="AA5233" s="12">
        <f>N5233*O5233</f>
        <v/>
      </c>
    </row>
    <row r="5234">
      <c r="A5234" s="12" t="inlineStr">
        <is>
          <t>I-P-0075</t>
        </is>
      </c>
      <c r="B5234" s="12" t="inlineStr">
        <is>
          <t>I</t>
        </is>
      </c>
      <c r="C5234" s="12" t="inlineStr">
        <is>
          <t>Modular / portable power</t>
        </is>
      </c>
      <c r="D5234" s="12" t="inlineStr">
        <is>
          <t>LV power feeder</t>
        </is>
      </c>
      <c r="E5234" s="12" t="inlineStr"/>
      <c r="F5234" s="12" t="inlineStr">
        <is>
          <t>PCM: power control module</t>
        </is>
      </c>
      <c r="G5234" s="12" t="inlineStr"/>
      <c r="H5234" s="12" t="inlineStr">
        <is>
          <t>Gas conditioning skid</t>
        </is>
      </c>
      <c r="I5234" s="12" t="inlineStr">
        <is>
          <t>LV 600 V</t>
        </is>
      </c>
      <c r="J5234" s="12" t="inlineStr">
        <is>
          <t>ARMOR-X MC-HL 600 V 3/C Cu XHHW-2 + ground, CWA, black PVC (Class I Div 2)</t>
        </is>
      </c>
      <c r="K5234" s="12" t="inlineStr">
        <is>
          <t>LVAX|3/C+G|4</t>
        </is>
      </c>
      <c r="L5234" s="12" t="inlineStr">
        <is>
          <t>3/C+G</t>
        </is>
      </c>
      <c r="M5234" s="12" t="inlineStr">
        <is>
          <t>4</t>
        </is>
      </c>
      <c r="N5234" s="12" t="n">
        <v>1</v>
      </c>
      <c r="O5234" s="12" t="n">
        <v>1</v>
      </c>
      <c r="P5234" s="12" t="n">
        <v>480</v>
      </c>
      <c r="Q5234" s="12" t="n">
        <v>30</v>
      </c>
      <c r="R5234" s="12" t="n">
        <v>42.5</v>
      </c>
      <c r="S5234" s="12" t="inlineStr">
        <is>
          <t>Duct bank</t>
        </is>
      </c>
      <c r="T5234" s="15" t="n">
        <v>258</v>
      </c>
      <c r="U5234" s="15" t="n">
        <v>172</v>
      </c>
      <c r="V5234" s="15">
        <f>ROUNDUP((T5234+U5234+2*'Read Me'!$B$13)*(1+'Read Me'!$B$12),-1)</f>
        <v/>
      </c>
      <c r="W5234" s="15">
        <f>V5234*N5234*O5234</f>
        <v/>
      </c>
      <c r="X5234" s="12">
        <f>IF(LEFT(I5234,2)="MV",2*N5234*IF(L5234="1/C",O5234,1),0)</f>
        <v/>
      </c>
      <c r="Y5234" s="12">
        <f>IF(OR(LEFT(K5234,4)="LVAX",LEFT(K5234,6)="MV15AX",LEFT(K5234,4)="CTAX",LEFT(K5234,2)="W|"),2*N5234*O5234,0)</f>
        <v/>
      </c>
      <c r="Z5234" s="12" t="inlineStr">
        <is>
          <t>VD 2.2 %</t>
        </is>
      </c>
      <c r="AA5234" s="12">
        <f>N5234*O5234</f>
        <v/>
      </c>
    </row>
    <row r="5235">
      <c r="A5235" s="12" t="inlineStr">
        <is>
          <t>I-P-0076</t>
        </is>
      </c>
      <c r="B5235" s="12" t="inlineStr">
        <is>
          <t>I</t>
        </is>
      </c>
      <c r="C5235" s="12" t="inlineStr">
        <is>
          <t>Modular / portable power</t>
        </is>
      </c>
      <c r="D5235" s="12" t="inlineStr">
        <is>
          <t>IG-1 package auxiliaries 480 V (from the unit auxiliary transformer in the control module)</t>
        </is>
      </c>
      <c r="E5235" s="12" t="inlineStr">
        <is>
          <t>IG-1</t>
        </is>
      </c>
      <c r="F5235" s="12" t="inlineStr">
        <is>
          <t>IG-1: industrial gas-turbine installation, SGT-800 / H-25 class (~50 M</t>
        </is>
      </c>
      <c r="G5235" s="12" t="inlineStr">
        <is>
          <t>IG-1</t>
        </is>
      </c>
      <c r="H5235" s="12" t="inlineStr">
        <is>
          <t>IG-1: industrial gas-turbine installation, SGT-800 / H-25 class (~50 M</t>
        </is>
      </c>
      <c r="I5235" s="12" t="inlineStr">
        <is>
          <t>LV 600 V</t>
        </is>
      </c>
      <c r="J5235" s="12" t="inlineStr">
        <is>
          <t>Type TC-ER 600 V 3/C Cu XHHW-2 + ground, PVC jacket</t>
        </is>
      </c>
      <c r="K5235" s="12" t="inlineStr">
        <is>
          <t>LV|3/C+G|500</t>
        </is>
      </c>
      <c r="L5235" s="12" t="inlineStr">
        <is>
          <t>3/C+G</t>
        </is>
      </c>
      <c r="M5235" s="12" t="inlineStr">
        <is>
          <t>500 kcmil</t>
        </is>
      </c>
      <c r="N5235" s="12" t="n">
        <v>2</v>
      </c>
      <c r="O5235" s="12" t="n">
        <v>1</v>
      </c>
      <c r="P5235" s="12" t="n">
        <v>480</v>
      </c>
      <c r="Q5235" s="12" t="n">
        <v>400</v>
      </c>
      <c r="R5235" s="12" t="n">
        <v>510</v>
      </c>
      <c r="S5235" s="12" t="inlineStr">
        <is>
          <t>Tray</t>
        </is>
      </c>
      <c r="T5235" s="15" t="n">
        <v>120</v>
      </c>
      <c r="U5235" s="15" t="n">
        <v>10</v>
      </c>
      <c r="V5235" s="15">
        <f>ROUNDUP((T5235+U5235+2*'Read Me'!$B$13)*(1+'Read Me'!$B$12),-1)</f>
        <v/>
      </c>
      <c r="W5235" s="15">
        <f>V5235*N5235*O5235</f>
        <v/>
      </c>
      <c r="X5235" s="12">
        <f>IF(LEFT(I5235,2)="MV",2*N5235*IF(L5235="1/C",O5235,1),0)</f>
        <v/>
      </c>
      <c r="Y5235" s="12">
        <f>IF(OR(LEFT(K5235,4)="LVAX",LEFT(K5235,6)="MV15AX",LEFT(K5235,4)="CTAX",LEFT(K5235,2)="W|"),2*N5235*O5235,0)</f>
        <v/>
      </c>
      <c r="Z5235" s="12" t="inlineStr">
        <is>
          <t>internal to the package</t>
        </is>
      </c>
      <c r="AA5235" s="12">
        <f>N5235*O5235</f>
        <v/>
      </c>
    </row>
    <row r="5236">
      <c r="A5236" s="12" t="inlineStr">
        <is>
          <t>I-P-0077</t>
        </is>
      </c>
      <c r="B5236" s="12" t="inlineStr">
        <is>
          <t>I</t>
        </is>
      </c>
      <c r="C5236" s="12" t="inlineStr">
        <is>
          <t>Modular / portable power</t>
        </is>
      </c>
      <c r="D5236" s="12" t="inlineStr">
        <is>
          <t>LGN-1 DC output to the inverter</t>
        </is>
      </c>
      <c r="E5236" s="12" t="inlineStr">
        <is>
          <t>LGN-1</t>
        </is>
      </c>
      <c r="F5236" s="12" t="inlineStr">
        <is>
          <t>LGN-1: linear generator ~250 kW (gas, no combustion engine), DC out</t>
        </is>
      </c>
      <c r="G5236" s="12" t="inlineStr">
        <is>
          <t>LGN-INV</t>
        </is>
      </c>
      <c r="H5236" s="12" t="inlineStr">
        <is>
          <t>LGN-INV: linear generator inverter / AC cabinet (480 V)</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2</v>
      </c>
      <c r="P5236" s="12" t="n">
        <v>800</v>
      </c>
      <c r="Q5236" s="12" t="n">
        <v>250</v>
      </c>
      <c r="R5236" s="12" t="n">
        <v>320</v>
      </c>
      <c r="S5236" s="12" t="inlineStr">
        <is>
          <t>Surface</t>
        </is>
      </c>
      <c r="T5236" s="15" t="n">
        <v>71</v>
      </c>
      <c r="U5236" s="15" t="n">
        <v>27</v>
      </c>
      <c r="V5236" s="15">
        <f>ROUNDUP((T5236+U5236+2*'Read Me'!$B$13)*(1+'Read Me'!$B$12),-1)</f>
        <v/>
      </c>
      <c r="W5236" s="15">
        <f>V5236*N5236*O5236</f>
        <v/>
      </c>
      <c r="X5236" s="12">
        <f>IF(LEFT(I5236,2)="MV",2*N5236*IF(L5236="1/C",O5236,1),0)</f>
        <v/>
      </c>
      <c r="Y5236" s="12">
        <f>IF(OR(LEFT(K5236,4)="LVAX",LEFT(K5236,6)="MV15AX",LEFT(K5236,4)="CTAX",LEFT(K5236,2)="W|"),2*N5236*O5236,0)</f>
        <v/>
      </c>
      <c r="Z5236" s="12" t="inlineStr">
        <is>
          <t>DC, 2 sets of 2 x 1/C</t>
        </is>
      </c>
      <c r="AA5236" s="12">
        <f>N5236*O5236</f>
        <v/>
      </c>
    </row>
    <row r="5237">
      <c r="A5237" s="12" t="inlineStr">
        <is>
          <t>I-P-0078</t>
        </is>
      </c>
      <c r="B5237" s="12" t="inlineStr">
        <is>
          <t>I</t>
        </is>
      </c>
      <c r="C5237" s="12" t="inlineStr">
        <is>
          <t>Modular / portable power</t>
        </is>
      </c>
      <c r="D5237" s="12" t="inlineStr">
        <is>
          <t>LGN-2 DC output to the inverter</t>
        </is>
      </c>
      <c r="E5237" s="12" t="inlineStr">
        <is>
          <t>LGN-2</t>
        </is>
      </c>
      <c r="F5237" s="12" t="inlineStr">
        <is>
          <t>LGN-2: linear generator ~250 kW (gas, no combustion engine), DC out</t>
        </is>
      </c>
      <c r="G5237" s="12" t="inlineStr">
        <is>
          <t>LGN-INV</t>
        </is>
      </c>
      <c r="H5237" s="12" t="inlineStr">
        <is>
          <t>LGN-INV: linear generator inverter / AC cabinet (480 V)</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2</v>
      </c>
      <c r="P5237" s="12" t="n">
        <v>800</v>
      </c>
      <c r="Q5237" s="12" t="n">
        <v>250</v>
      </c>
      <c r="R5237" s="12" t="n">
        <v>320</v>
      </c>
      <c r="S5237" s="12" t="inlineStr">
        <is>
          <t>Surface</t>
        </is>
      </c>
      <c r="T5237" s="15" t="n">
        <v>57</v>
      </c>
      <c r="U5237" s="15" t="n">
        <v>27</v>
      </c>
      <c r="V5237" s="15">
        <f>ROUNDUP((T5237+U5237+2*'Read Me'!$B$13)*(1+'Read Me'!$B$12),-1)</f>
        <v/>
      </c>
      <c r="W5237" s="15">
        <f>V5237*N5237*O5237</f>
        <v/>
      </c>
      <c r="X5237" s="12">
        <f>IF(LEFT(I5237,2)="MV",2*N5237*IF(L5237="1/C",O5237,1),0)</f>
        <v/>
      </c>
      <c r="Y5237" s="12">
        <f>IF(OR(LEFT(K5237,4)="LVAX",LEFT(K5237,6)="MV15AX",LEFT(K5237,4)="CTAX",LEFT(K5237,2)="W|"),2*N5237*O5237,0)</f>
        <v/>
      </c>
      <c r="Z5237" s="12" t="inlineStr">
        <is>
          <t>DC, 2 sets of 2 x 1/C</t>
        </is>
      </c>
      <c r="AA5237" s="12">
        <f>N5237*O5237</f>
        <v/>
      </c>
    </row>
    <row r="5238">
      <c r="A5238" s="12" t="inlineStr">
        <is>
          <t>I-P-0079</t>
        </is>
      </c>
      <c r="B5238" s="12" t="inlineStr">
        <is>
          <t>I</t>
        </is>
      </c>
      <c r="C5238" s="12" t="inlineStr">
        <is>
          <t>Modular / portable power</t>
        </is>
      </c>
      <c r="D5238" s="12" t="inlineStr">
        <is>
          <t>LGN-3 DC output to the inverter</t>
        </is>
      </c>
      <c r="E5238" s="12" t="inlineStr">
        <is>
          <t>LGN-3</t>
        </is>
      </c>
      <c r="F5238" s="12" t="inlineStr">
        <is>
          <t>LGN-3: linear generator ~250 kW (gas, no combustion engine), DC out</t>
        </is>
      </c>
      <c r="G5238" s="12" t="inlineStr">
        <is>
          <t>LGN-INV</t>
        </is>
      </c>
      <c r="H5238" s="12" t="inlineStr">
        <is>
          <t>LGN-INV: linear generator inverter / AC cabinet (480 V)</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2</v>
      </c>
      <c r="P5238" s="12" t="n">
        <v>800</v>
      </c>
      <c r="Q5238" s="12" t="n">
        <v>250</v>
      </c>
      <c r="R5238" s="12" t="n">
        <v>320</v>
      </c>
      <c r="S5238" s="12" t="inlineStr">
        <is>
          <t>Surface</t>
        </is>
      </c>
      <c r="T5238" s="15" t="n">
        <v>41</v>
      </c>
      <c r="U5238" s="15" t="n">
        <v>27</v>
      </c>
      <c r="V5238" s="15">
        <f>ROUNDUP((T5238+U5238+2*'Read Me'!$B$13)*(1+'Read Me'!$B$12),-1)</f>
        <v/>
      </c>
      <c r="W5238" s="15">
        <f>V5238*N5238*O5238</f>
        <v/>
      </c>
      <c r="X5238" s="12">
        <f>IF(LEFT(I5238,2)="MV",2*N5238*IF(L5238="1/C",O5238,1),0)</f>
        <v/>
      </c>
      <c r="Y5238" s="12">
        <f>IF(OR(LEFT(K5238,4)="LVAX",LEFT(K5238,6)="MV15AX",LEFT(K5238,4)="CTAX",LEFT(K5238,2)="W|"),2*N5238*O5238,0)</f>
        <v/>
      </c>
      <c r="Z5238" s="12" t="inlineStr">
        <is>
          <t>DC, 2 sets of 2 x 1/C</t>
        </is>
      </c>
      <c r="AA5238" s="12">
        <f>N5238*O5238</f>
        <v/>
      </c>
    </row>
    <row r="5239">
      <c r="A5239" s="12" t="inlineStr">
        <is>
          <t>I-P-0080</t>
        </is>
      </c>
      <c r="B5239" s="12" t="inlineStr">
        <is>
          <t>I</t>
        </is>
      </c>
      <c r="C5239" s="12" t="inlineStr">
        <is>
          <t>Modular / portable power</t>
        </is>
      </c>
      <c r="D5239" s="12" t="inlineStr">
        <is>
          <t>LGN-4 DC output to the inverter</t>
        </is>
      </c>
      <c r="E5239" s="12" t="inlineStr">
        <is>
          <t>LGN-4</t>
        </is>
      </c>
      <c r="F5239" s="12" t="inlineStr">
        <is>
          <t>LGN-4: linear generator ~250 kW (gas, no combustion engine), DC out</t>
        </is>
      </c>
      <c r="G5239" s="12" t="inlineStr">
        <is>
          <t>LGN-INV</t>
        </is>
      </c>
      <c r="H5239" s="12" t="inlineStr">
        <is>
          <t>LGN-INV: linear generator inverter / AC cabinet (480 V)</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2</v>
      </c>
      <c r="P5239" s="12" t="n">
        <v>800</v>
      </c>
      <c r="Q5239" s="12" t="n">
        <v>250</v>
      </c>
      <c r="R5239" s="12" t="n">
        <v>320</v>
      </c>
      <c r="S5239" s="12" t="inlineStr">
        <is>
          <t>Surface</t>
        </is>
      </c>
      <c r="T5239" s="15" t="n">
        <v>33</v>
      </c>
      <c r="U5239" s="15" t="n">
        <v>27</v>
      </c>
      <c r="V5239" s="15">
        <f>ROUNDUP((T5239+U5239+2*'Read Me'!$B$13)*(1+'Read Me'!$B$12),-1)</f>
        <v/>
      </c>
      <c r="W5239" s="15">
        <f>V5239*N5239*O5239</f>
        <v/>
      </c>
      <c r="X5239" s="12">
        <f>IF(LEFT(I5239,2)="MV",2*N5239*IF(L5239="1/C",O5239,1),0)</f>
        <v/>
      </c>
      <c r="Y5239" s="12">
        <f>IF(OR(LEFT(K5239,4)="LVAX",LEFT(K5239,6)="MV15AX",LEFT(K5239,4)="CTAX",LEFT(K5239,2)="W|"),2*N5239*O5239,0)</f>
        <v/>
      </c>
      <c r="Z5239" s="12" t="inlineStr">
        <is>
          <t>DC, 2 sets of 2 x 1/C</t>
        </is>
      </c>
      <c r="AA5239" s="12">
        <f>N5239*O5239</f>
        <v/>
      </c>
    </row>
    <row r="5240">
      <c r="A5240" s="12" t="inlineStr">
        <is>
          <t>I-P-0081</t>
        </is>
      </c>
      <c r="B5240" s="12" t="inlineStr">
        <is>
          <t>I</t>
        </is>
      </c>
      <c r="C5240" s="12" t="inlineStr">
        <is>
          <t>Modular / portable power</t>
        </is>
      </c>
      <c r="D5240" s="12" t="inlineStr">
        <is>
          <t>LV panel / distribution feeder</t>
        </is>
      </c>
      <c r="E5240" s="12" t="inlineStr"/>
      <c r="F5240" s="12" t="inlineStr">
        <is>
          <t>PCM: power control module</t>
        </is>
      </c>
      <c r="G5240" s="12" t="inlineStr"/>
      <c r="H5240" s="12" t="inlineStr">
        <is>
          <t>Lube oil / starting air / oily water building</t>
        </is>
      </c>
      <c r="I5240" s="12" t="inlineStr">
        <is>
          <t>LV 600 V</t>
        </is>
      </c>
      <c r="J5240" s="12" t="inlineStr">
        <is>
          <t>Type TC-ER 600 V 3/C Cu XHHW-2 + ground, PVC jacket</t>
        </is>
      </c>
      <c r="K5240" s="12" t="inlineStr">
        <is>
          <t>LV|3/C+G|1/0</t>
        </is>
      </c>
      <c r="L5240" s="12" t="inlineStr">
        <is>
          <t>3/C+G</t>
        </is>
      </c>
      <c r="M5240" s="12" t="inlineStr">
        <is>
          <t>1/0</t>
        </is>
      </c>
      <c r="N5240" s="12" t="n">
        <v>1</v>
      </c>
      <c r="O5240" s="12" t="n">
        <v>1</v>
      </c>
      <c r="P5240" s="12" t="n">
        <v>480</v>
      </c>
      <c r="Q5240" s="12" t="n">
        <v>79</v>
      </c>
      <c r="R5240" s="12" t="n">
        <v>111.8</v>
      </c>
      <c r="S5240" s="12" t="inlineStr">
        <is>
          <t>Duct bank</t>
        </is>
      </c>
      <c r="T5240" s="15" t="n">
        <v>344</v>
      </c>
      <c r="U5240" s="15" t="n">
        <v>164</v>
      </c>
      <c r="V5240" s="15">
        <f>ROUNDUP((T5240+U5240+2*'Read Me'!$B$13)*(1+'Read Me'!$B$12),-1)</f>
        <v/>
      </c>
      <c r="W5240" s="15">
        <f>V5240*N5240*O5240</f>
        <v/>
      </c>
      <c r="X5240" s="12">
        <f>IF(LEFT(I5240,2)="MV",2*N5240*IF(L5240="1/C",O5240,1),0)</f>
        <v/>
      </c>
      <c r="Y5240" s="12">
        <f>IF(OR(LEFT(K5240,4)="LVAX",LEFT(K5240,6)="MV15AX",LEFT(K5240,4)="CTAX",LEFT(K5240,2)="W|"),2*N5240*O5240,0)</f>
        <v/>
      </c>
      <c r="Z5240" s="12" t="inlineStr">
        <is>
          <t>VD 2.8 %</t>
        </is>
      </c>
      <c r="AA5240" s="12">
        <f>N5240*O5240</f>
        <v/>
      </c>
    </row>
    <row r="5241">
      <c r="A5241" s="12" t="inlineStr">
        <is>
          <t>I-P-0082</t>
        </is>
      </c>
      <c r="B5241" s="12" t="inlineStr">
        <is>
          <t>I</t>
        </is>
      </c>
      <c r="C5241" s="12" t="inlineStr">
        <is>
          <t>Modular / portable power</t>
        </is>
      </c>
      <c r="D5241" s="12" t="inlineStr">
        <is>
          <t>LV panel / distribution feeder</t>
        </is>
      </c>
      <c r="E5241" s="12" t="inlineStr"/>
      <c r="F5241" s="12" t="inlineStr">
        <is>
          <t>MOD-LV 480 V board + 480 V : 13.8 kV step-up</t>
        </is>
      </c>
      <c r="G5241" s="12" t="inlineStr">
        <is>
          <t>MOD-EH</t>
        </is>
      </c>
      <c r="H5241" s="12" t="inlineStr">
        <is>
          <t>MOD-EH: 34.5 kV modular collector e-house (2 bus sections + 13.8 kV st</t>
        </is>
      </c>
      <c r="I5241" s="12" t="inlineStr">
        <is>
          <t>LV 600 V</t>
        </is>
      </c>
      <c r="J5241" s="12" t="inlineStr">
        <is>
          <t>Type TC-ER 600 V 3/C Cu XHHW-2 + ground, PVC jacket</t>
        </is>
      </c>
      <c r="K5241" s="12" t="inlineStr">
        <is>
          <t>LV|3/C+G|4</t>
        </is>
      </c>
      <c r="L5241" s="12" t="inlineStr">
        <is>
          <t>3/C+G</t>
        </is>
      </c>
      <c r="M5241" s="12" t="inlineStr">
        <is>
          <t>4</t>
        </is>
      </c>
      <c r="N5241" s="12" t="n">
        <v>1</v>
      </c>
      <c r="O5241" s="12" t="n">
        <v>1</v>
      </c>
      <c r="P5241" s="12" t="n">
        <v>480</v>
      </c>
      <c r="Q5241" s="12" t="n">
        <v>30</v>
      </c>
      <c r="R5241" s="12" t="n">
        <v>42.5</v>
      </c>
      <c r="S5241" s="12" t="inlineStr">
        <is>
          <t>Duct bank</t>
        </is>
      </c>
      <c r="T5241" s="15" t="n">
        <v>538</v>
      </c>
      <c r="U5241" s="15" t="n">
        <v>32</v>
      </c>
      <c r="V5241" s="15">
        <f>ROUNDUP((T5241+U5241+2*'Read Me'!$B$13)*(1+'Read Me'!$B$12),-1)</f>
        <v/>
      </c>
      <c r="W5241" s="15">
        <f>V5241*N5241*O5241</f>
        <v/>
      </c>
      <c r="X5241" s="12">
        <f>IF(LEFT(I5241,2)="MV",2*N5241*IF(L5241="1/C",O5241,1),0)</f>
        <v/>
      </c>
      <c r="Y5241" s="12">
        <f>IF(OR(LEFT(K5241,4)="LVAX",LEFT(K5241,6)="MV15AX",LEFT(K5241,4)="CTAX",LEFT(K5241,2)="W|"),2*N5241*O5241,0)</f>
        <v/>
      </c>
      <c r="Z5241" s="12" t="inlineStr">
        <is>
          <t>VD 3.0 %</t>
        </is>
      </c>
      <c r="AA5241" s="12">
        <f>N5241*O5241</f>
        <v/>
      </c>
    </row>
    <row r="5242">
      <c r="A5242" s="12" t="inlineStr">
        <is>
          <t>I-P-0083</t>
        </is>
      </c>
      <c r="B5242" s="12" t="inlineStr">
        <is>
          <t>I</t>
        </is>
      </c>
      <c r="C5242" s="12" t="inlineStr">
        <is>
          <t>Modular / portable power</t>
        </is>
      </c>
      <c r="D5242" s="12" t="inlineStr">
        <is>
          <t>MT-4 microturbine output to the site switchboard</t>
        </is>
      </c>
      <c r="E5242" s="12" t="inlineStr">
        <is>
          <t>MT-4</t>
        </is>
      </c>
      <c r="F5242" s="12" t="inlineStr">
        <is>
          <t>MT-4: microturbine 1 MW (1 MW package class)</t>
        </is>
      </c>
      <c r="G5242" s="12" t="inlineStr"/>
      <c r="H5242" s="12" t="inlineStr">
        <is>
          <t>MT-4..6 480 V switchboard</t>
        </is>
      </c>
      <c r="I5242" s="12" t="inlineStr">
        <is>
          <t>LV 600 V</t>
        </is>
      </c>
      <c r="J5242" s="12" t="inlineStr">
        <is>
          <t>Type TC-ER 600 V 3/C Cu XHHW-2 + ground, PVC jacket</t>
        </is>
      </c>
      <c r="K5242" s="12" t="inlineStr">
        <is>
          <t>LV|3/C+G|350</t>
        </is>
      </c>
      <c r="L5242" s="12" t="inlineStr">
        <is>
          <t>3/C+G</t>
        </is>
      </c>
      <c r="M5242" s="12" t="inlineStr">
        <is>
          <t>350 kcmil</t>
        </is>
      </c>
      <c r="N5242" s="12" t="n">
        <v>6</v>
      </c>
      <c r="O5242" s="12" t="n">
        <v>1</v>
      </c>
      <c r="P5242" s="12" t="n">
        <v>480</v>
      </c>
      <c r="Q5242" s="12" t="n">
        <v>1000</v>
      </c>
      <c r="R5242" s="12" t="n">
        <v>1266.2</v>
      </c>
      <c r="S5242" s="12" t="inlineStr">
        <is>
          <t>Duct bank</t>
        </is>
      </c>
      <c r="T5242" s="15" t="n">
        <v>56</v>
      </c>
      <c r="U5242" s="15" t="n">
        <v>32</v>
      </c>
      <c r="V5242" s="15">
        <f>ROUNDUP((T5242+U5242+2*'Read Me'!$B$13)*(1+'Read Me'!$B$12),-1)</f>
        <v/>
      </c>
      <c r="W5242" s="15">
        <f>V5242*N5242*O5242</f>
        <v/>
      </c>
      <c r="X5242" s="12">
        <f>IF(LEFT(I5242,2)="MV",2*N5242*IF(L5242="1/C",O5242,1),0)</f>
        <v/>
      </c>
      <c r="Y5242" s="12">
        <f>IF(OR(LEFT(K5242,4)="LVAX",LEFT(K5242,6)="MV15AX",LEFT(K5242,4)="CTAX",LEFT(K5242,2)="W|"),2*N5242*O5242,0)</f>
        <v/>
      </c>
      <c r="Z5242" s="12" t="inlineStr">
        <is>
          <t>VD 0.3 %</t>
        </is>
      </c>
      <c r="AA5242" s="12">
        <f>N5242*O5242</f>
        <v/>
      </c>
    </row>
    <row r="5243">
      <c r="A5243" s="12" t="inlineStr">
        <is>
          <t>I-P-0084</t>
        </is>
      </c>
      <c r="B5243" s="12" t="inlineStr">
        <is>
          <t>I</t>
        </is>
      </c>
      <c r="C5243" s="12" t="inlineStr">
        <is>
          <t>Modular / portable power</t>
        </is>
      </c>
      <c r="D5243" s="12" t="inlineStr">
        <is>
          <t>MT-5 microturbine output to the site switchboard</t>
        </is>
      </c>
      <c r="E5243" s="12" t="inlineStr">
        <is>
          <t>MT-5</t>
        </is>
      </c>
      <c r="F5243" s="12" t="inlineStr">
        <is>
          <t>MT-5: microturbine 1 MW (1 MW package class)</t>
        </is>
      </c>
      <c r="G5243" s="12" t="inlineStr"/>
      <c r="H5243" s="12" t="inlineStr">
        <is>
          <t>MT-4..6 480 V switchboard</t>
        </is>
      </c>
      <c r="I5243" s="12" t="inlineStr">
        <is>
          <t>LV 600 V</t>
        </is>
      </c>
      <c r="J5243" s="12" t="inlineStr">
        <is>
          <t>Type TC-ER 600 V 3/C Cu XHHW-2 + ground, PVC jacket</t>
        </is>
      </c>
      <c r="K5243" s="12" t="inlineStr">
        <is>
          <t>LV|3/C+G|350</t>
        </is>
      </c>
      <c r="L5243" s="12" t="inlineStr">
        <is>
          <t>3/C+G</t>
        </is>
      </c>
      <c r="M5243" s="12" t="inlineStr">
        <is>
          <t>350 kcmil</t>
        </is>
      </c>
      <c r="N5243" s="12" t="n">
        <v>6</v>
      </c>
      <c r="O5243" s="12" t="n">
        <v>1</v>
      </c>
      <c r="P5243" s="12" t="n">
        <v>480</v>
      </c>
      <c r="Q5243" s="12" t="n">
        <v>1000</v>
      </c>
      <c r="R5243" s="12" t="n">
        <v>1266.2</v>
      </c>
      <c r="S5243" s="12" t="inlineStr">
        <is>
          <t>Duct bank</t>
        </is>
      </c>
      <c r="T5243" s="15" t="n">
        <v>42</v>
      </c>
      <c r="U5243" s="15" t="n">
        <v>32</v>
      </c>
      <c r="V5243" s="15">
        <f>ROUNDUP((T5243+U5243+2*'Read Me'!$B$13)*(1+'Read Me'!$B$12),-1)</f>
        <v/>
      </c>
      <c r="W5243" s="15">
        <f>V5243*N5243*O5243</f>
        <v/>
      </c>
      <c r="X5243" s="12">
        <f>IF(LEFT(I5243,2)="MV",2*N5243*IF(L5243="1/C",O5243,1),0)</f>
        <v/>
      </c>
      <c r="Y5243" s="12">
        <f>IF(OR(LEFT(K5243,4)="LVAX",LEFT(K5243,6)="MV15AX",LEFT(K5243,4)="CTAX",LEFT(K5243,2)="W|"),2*N5243*O5243,0)</f>
        <v/>
      </c>
      <c r="Z5243" s="12" t="inlineStr">
        <is>
          <t>VD 0.2 %</t>
        </is>
      </c>
      <c r="AA5243" s="12">
        <f>N5243*O5243</f>
        <v/>
      </c>
    </row>
    <row r="5244">
      <c r="A5244" s="12" t="inlineStr">
        <is>
          <t>I-P-0085</t>
        </is>
      </c>
      <c r="B5244" s="12" t="inlineStr">
        <is>
          <t>I</t>
        </is>
      </c>
      <c r="C5244" s="12" t="inlineStr">
        <is>
          <t>Modular / portable power</t>
        </is>
      </c>
      <c r="D5244" s="12" t="inlineStr">
        <is>
          <t>MT-6 microturbine output to the site switchboard</t>
        </is>
      </c>
      <c r="E5244" s="12" t="inlineStr">
        <is>
          <t>MT-6</t>
        </is>
      </c>
      <c r="F5244" s="12" t="inlineStr">
        <is>
          <t>MT-6: microturbine 1 MW (1 MW package class)</t>
        </is>
      </c>
      <c r="G5244" s="12" t="inlineStr"/>
      <c r="H5244" s="12" t="inlineStr">
        <is>
          <t>MT-4..6 480 V switchboard</t>
        </is>
      </c>
      <c r="I5244" s="12" t="inlineStr">
        <is>
          <t>LV 600 V</t>
        </is>
      </c>
      <c r="J5244" s="12" t="inlineStr">
        <is>
          <t>Type TC-ER 600 V 3/C Cu XHHW-2 + ground, PVC jacket</t>
        </is>
      </c>
      <c r="K5244" s="12" t="inlineStr">
        <is>
          <t>LV|3/C+G|350</t>
        </is>
      </c>
      <c r="L5244" s="12" t="inlineStr">
        <is>
          <t>3/C+G</t>
        </is>
      </c>
      <c r="M5244" s="12" t="inlineStr">
        <is>
          <t>350 kcmil</t>
        </is>
      </c>
      <c r="N5244" s="12" t="n">
        <v>6</v>
      </c>
      <c r="O5244" s="12" t="n">
        <v>1</v>
      </c>
      <c r="P5244" s="12" t="n">
        <v>480</v>
      </c>
      <c r="Q5244" s="12" t="n">
        <v>1000</v>
      </c>
      <c r="R5244" s="12" t="n">
        <v>1266.2</v>
      </c>
      <c r="S5244" s="12" t="inlineStr">
        <is>
          <t>Tray</t>
        </is>
      </c>
      <c r="T5244" s="15" t="n">
        <v>6</v>
      </c>
      <c r="U5244" s="15" t="n">
        <v>37</v>
      </c>
      <c r="V5244" s="15">
        <f>ROUNDUP((T5244+U5244+2*'Read Me'!$B$13)*(1+'Read Me'!$B$12),-1)</f>
        <v/>
      </c>
      <c r="W5244" s="15">
        <f>V5244*N5244*O5244</f>
        <v/>
      </c>
      <c r="X5244" s="12">
        <f>IF(LEFT(I5244,2)="MV",2*N5244*IF(L5244="1/C",O5244,1),0)</f>
        <v/>
      </c>
      <c r="Y5244" s="12">
        <f>IF(OR(LEFT(K5244,4)="LVAX",LEFT(K5244,6)="MV15AX",LEFT(K5244,4)="CTAX",LEFT(K5244,2)="W|"),2*N5244*O5244,0)</f>
        <v/>
      </c>
      <c r="Z5244" s="12" t="inlineStr">
        <is>
          <t>VD 0.1 %</t>
        </is>
      </c>
      <c r="AA5244" s="12">
        <f>N5244*O5244</f>
        <v/>
      </c>
    </row>
    <row r="5245">
      <c r="A5245" s="12" t="inlineStr">
        <is>
          <t>I-P-0086</t>
        </is>
      </c>
      <c r="B5245" s="12" t="inlineStr">
        <is>
          <t>I</t>
        </is>
      </c>
      <c r="C5245" s="12" t="inlineStr">
        <is>
          <t>Modular / portable power</t>
        </is>
      </c>
      <c r="D5245" s="12" t="inlineStr">
        <is>
          <t>Microturbine site switchboard to MT-TX 480 V secondary</t>
        </is>
      </c>
      <c r="E5245" s="12" t="inlineStr"/>
      <c r="F5245" s="12" t="inlineStr">
        <is>
          <t>MT-4..6 480 V switchboard</t>
        </is>
      </c>
      <c r="G5245" s="12" t="inlineStr">
        <is>
          <t>MT-TX</t>
        </is>
      </c>
      <c r="H5245" s="12" t="inlineStr">
        <is>
          <t>MT-TX: 480 V : 13.8 kV, ~3.75 MVA pad-mount (microturbine site)</t>
        </is>
      </c>
      <c r="I5245" s="12" t="inlineStr">
        <is>
          <t>LV 600 V</t>
        </is>
      </c>
      <c r="J5245" s="12" t="inlineStr">
        <is>
          <t>XHHW-2 600 V 1/C Cu (feeder sets in tray / duct)</t>
        </is>
      </c>
      <c r="K5245" s="12" t="inlineStr">
        <is>
          <t>LV1C|1/C|750</t>
        </is>
      </c>
      <c r="L5245" s="12" t="inlineStr">
        <is>
          <t>1/C</t>
        </is>
      </c>
      <c r="M5245" s="12" t="inlineStr">
        <is>
          <t>750 kcmil</t>
        </is>
      </c>
      <c r="N5245" s="12" t="n">
        <v>11</v>
      </c>
      <c r="O5245" s="12" t="n">
        <v>4</v>
      </c>
      <c r="P5245" s="12" t="n">
        <v>480</v>
      </c>
      <c r="Q5245" s="12" t="n">
        <v>3000</v>
      </c>
      <c r="R5245" s="12" t="n">
        <v>3798</v>
      </c>
      <c r="S5245" s="12" t="inlineStr">
        <is>
          <t>Duct bank</t>
        </is>
      </c>
      <c r="T5245" s="15" t="n">
        <v>0</v>
      </c>
      <c r="U5245" s="15" t="n">
        <v>36</v>
      </c>
      <c r="V5245" s="15">
        <f>ROUNDUP((T5245+U5245+2*'Read Me'!$B$13)*(1+'Read Me'!$B$12),-1)</f>
        <v/>
      </c>
      <c r="W5245" s="15">
        <f>V5245*N5245*O5245</f>
        <v/>
      </c>
      <c r="X5245" s="12">
        <f>IF(LEFT(I5245,2)="MV",2*N5245*IF(L5245="1/C",O5245,1),0)</f>
        <v/>
      </c>
      <c r="Y5245" s="12">
        <f>IF(OR(LEFT(K5245,4)="LVAX",LEFT(K5245,6)="MV15AX",LEFT(K5245,4)="CTAX",LEFT(K5245,2)="W|"),2*N5245*O5245,0)</f>
        <v/>
      </c>
      <c r="Z5245" s="12" t="inlineStr">
        <is>
          <t>11 sets of 4 x 1/C, short run</t>
        </is>
      </c>
      <c r="AA5245" s="12">
        <f>N5245*O5245</f>
        <v/>
      </c>
    </row>
    <row r="5246">
      <c r="A5246" s="12" t="inlineStr">
        <is>
          <t>I-P-0087</t>
        </is>
      </c>
      <c r="B5246" s="12" t="inlineStr">
        <is>
          <t>I</t>
        </is>
      </c>
      <c r="C5246" s="12" t="inlineStr">
        <is>
          <t>Modular / portable power</t>
        </is>
      </c>
      <c r="D5246" s="12" t="inlineStr">
        <is>
          <t>MTG-1 480 V auxiliaries (lube-oil pumps, cooler fans, enclosure ventilation)</t>
        </is>
      </c>
      <c r="E5246" s="12" t="inlineStr">
        <is>
          <t>MTG-CB</t>
        </is>
      </c>
      <c r="F5246" s="12" t="inlineStr">
        <is>
          <t>MTG-CB: control and MCC building (unit controls, 480 V MCC)</t>
        </is>
      </c>
      <c r="G5246" s="12" t="inlineStr">
        <is>
          <t>MTG-1</t>
        </is>
      </c>
      <c r="H5246" s="12" t="inlineStr">
        <is>
          <t xml:space="preserve">MTG-1: mid-size industrial gas-turbine generator package ~16 MW, 13.8 </t>
        </is>
      </c>
      <c r="I5246" s="12" t="inlineStr">
        <is>
          <t>LV 600 V</t>
        </is>
      </c>
      <c r="J5246" s="12" t="inlineStr">
        <is>
          <t>Type TC-ER 600 V 3/C Cu XHHW-2 + ground, PVC jacket</t>
        </is>
      </c>
      <c r="K5246" s="12" t="inlineStr">
        <is>
          <t>LV|3/C+G|250</t>
        </is>
      </c>
      <c r="L5246" s="12" t="inlineStr">
        <is>
          <t>3/C+G</t>
        </is>
      </c>
      <c r="M5246" s="12" t="inlineStr">
        <is>
          <t>250 kcmil</t>
        </is>
      </c>
      <c r="N5246" s="12" t="n">
        <v>1</v>
      </c>
      <c r="O5246" s="12" t="n">
        <v>1</v>
      </c>
      <c r="P5246" s="12" t="n">
        <v>480</v>
      </c>
      <c r="Q5246" s="12" t="n">
        <v>120</v>
      </c>
      <c r="R5246" s="12" t="n">
        <v>170</v>
      </c>
      <c r="S5246" s="12" t="inlineStr">
        <is>
          <t>Duct bank</t>
        </is>
      </c>
      <c r="T5246" s="15" t="n">
        <v>10</v>
      </c>
      <c r="U5246" s="15" t="n">
        <v>36</v>
      </c>
      <c r="V5246" s="15">
        <f>ROUNDUP((T5246+U5246+2*'Read Me'!$B$13)*(1+'Read Me'!$B$12),-1)</f>
        <v/>
      </c>
      <c r="W5246" s="15">
        <f>V5246*N5246*O5246</f>
        <v/>
      </c>
      <c r="X5246" s="12">
        <f>IF(LEFT(I5246,2)="MV",2*N5246*IF(L5246="1/C",O5246,1),0)</f>
        <v/>
      </c>
      <c r="Y5246" s="12">
        <f>IF(OR(LEFT(K5246,4)="LVAX",LEFT(K5246,6)="MV15AX",LEFT(K5246,4)="CTAX",LEFT(K5246,2)="W|"),2*N5246*O5246,0)</f>
        <v/>
      </c>
      <c r="Z5246" s="12" t="inlineStr"/>
      <c r="AA5246" s="12">
        <f>N5246*O5246</f>
        <v/>
      </c>
    </row>
    <row r="5247">
      <c r="A5247" s="12" t="inlineStr">
        <is>
          <t>I-P-0088</t>
        </is>
      </c>
      <c r="B5247" s="12" t="inlineStr">
        <is>
          <t>I</t>
        </is>
      </c>
      <c r="C5247" s="12" t="inlineStr">
        <is>
          <t>Modular / portable power</t>
        </is>
      </c>
      <c r="D5247" s="12" t="inlineStr">
        <is>
          <t>MTG-2 480 V auxiliaries (lube-oil pumps, cooler fans, enclosure ventilation)</t>
        </is>
      </c>
      <c r="E5247" s="12" t="inlineStr">
        <is>
          <t>MTG-CB</t>
        </is>
      </c>
      <c r="F5247" s="12" t="inlineStr">
        <is>
          <t>MTG-CB: control and MCC building (unit controls, 480 V MCC)</t>
        </is>
      </c>
      <c r="G5247" s="12" t="inlineStr">
        <is>
          <t>MTG-2</t>
        </is>
      </c>
      <c r="H5247" s="12" t="inlineStr">
        <is>
          <t xml:space="preserve">MTG-2: mid-size industrial gas-turbine generator package ~16 MW, 13.8 </t>
        </is>
      </c>
      <c r="I5247" s="12" t="inlineStr">
        <is>
          <t>LV 600 V</t>
        </is>
      </c>
      <c r="J5247" s="12" t="inlineStr">
        <is>
          <t>Type TC-ER 600 V 3/C Cu XHHW-2 + ground, PVC jacket</t>
        </is>
      </c>
      <c r="K5247" s="12" t="inlineStr">
        <is>
          <t>LV|3/C+G|250</t>
        </is>
      </c>
      <c r="L5247" s="12" t="inlineStr">
        <is>
          <t>3/C+G</t>
        </is>
      </c>
      <c r="M5247" s="12" t="inlineStr">
        <is>
          <t>250 kcmil</t>
        </is>
      </c>
      <c r="N5247" s="12" t="n">
        <v>1</v>
      </c>
      <c r="O5247" s="12" t="n">
        <v>1</v>
      </c>
      <c r="P5247" s="12" t="n">
        <v>480</v>
      </c>
      <c r="Q5247" s="12" t="n">
        <v>120</v>
      </c>
      <c r="R5247" s="12" t="n">
        <v>170</v>
      </c>
      <c r="S5247" s="12" t="inlineStr">
        <is>
          <t>Duct bank</t>
        </is>
      </c>
      <c r="T5247" s="15" t="n">
        <v>43</v>
      </c>
      <c r="U5247" s="15" t="n">
        <v>37</v>
      </c>
      <c r="V5247" s="15">
        <f>ROUNDUP((T5247+U5247+2*'Read Me'!$B$13)*(1+'Read Me'!$B$12),-1)</f>
        <v/>
      </c>
      <c r="W5247" s="15">
        <f>V5247*N5247*O5247</f>
        <v/>
      </c>
      <c r="X5247" s="12">
        <f>IF(LEFT(I5247,2)="MV",2*N5247*IF(L5247="1/C",O5247,1),0)</f>
        <v/>
      </c>
      <c r="Y5247" s="12">
        <f>IF(OR(LEFT(K5247,4)="LVAX",LEFT(K5247,6)="MV15AX",LEFT(K5247,4)="CTAX",LEFT(K5247,2)="W|"),2*N5247*O5247,0)</f>
        <v/>
      </c>
      <c r="Z5247" s="12" t="inlineStr"/>
      <c r="AA5247" s="12">
        <f>N5247*O5247</f>
        <v/>
      </c>
    </row>
    <row r="5248">
      <c r="A5248" s="12" t="inlineStr">
        <is>
          <t>I-P-0089</t>
        </is>
      </c>
      <c r="B5248" s="12" t="inlineStr">
        <is>
          <t>I</t>
        </is>
      </c>
      <c r="C5248" s="12" t="inlineStr">
        <is>
          <t>Modular / portable power</t>
        </is>
      </c>
      <c r="D5248" s="12" t="inlineStr">
        <is>
          <t>MTG-CB 480 V MCC from MTG-AUX</t>
        </is>
      </c>
      <c r="E5248" s="12" t="inlineStr">
        <is>
          <t>MTG-AUX</t>
        </is>
      </c>
      <c r="F5248" s="12" t="inlineStr">
        <is>
          <t>MTG-AUX: 13.8 / 0.48 kV auxiliary transformer</t>
        </is>
      </c>
      <c r="G5248" s="12" t="inlineStr">
        <is>
          <t>MTG-CB</t>
        </is>
      </c>
      <c r="H5248" s="12" t="inlineStr">
        <is>
          <t>MTG-CB: control and MCC building (unit controls, 480 V MCC)</t>
        </is>
      </c>
      <c r="I5248" s="12" t="inlineStr">
        <is>
          <t>LV 600 V</t>
        </is>
      </c>
      <c r="J5248" s="12" t="inlineStr">
        <is>
          <t>Type TC-ER 600 V 3/C Cu XHHW-2 + ground, PVC jacket</t>
        </is>
      </c>
      <c r="K5248" s="12" t="inlineStr">
        <is>
          <t>LV|3/C+G|500</t>
        </is>
      </c>
      <c r="L5248" s="12" t="inlineStr">
        <is>
          <t>3/C+G</t>
        </is>
      </c>
      <c r="M5248" s="12" t="inlineStr">
        <is>
          <t>500 kcmil</t>
        </is>
      </c>
      <c r="N5248" s="12" t="n">
        <v>3</v>
      </c>
      <c r="O5248" s="12" t="n">
        <v>1</v>
      </c>
      <c r="P5248" s="12" t="n">
        <v>480</v>
      </c>
      <c r="Q5248" s="12" t="n">
        <v>600</v>
      </c>
      <c r="R5248" s="12" t="n">
        <v>759.7</v>
      </c>
      <c r="S5248" s="12" t="inlineStr">
        <is>
          <t>Duct bank</t>
        </is>
      </c>
      <c r="T5248" s="15" t="n">
        <v>58</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is>
          <t>VD 0.2 %</t>
        </is>
      </c>
      <c r="AA5248" s="12">
        <f>N5248*O5248</f>
        <v/>
      </c>
    </row>
    <row r="5249">
      <c r="A5249" s="12" t="inlineStr">
        <is>
          <t>I-P-0090</t>
        </is>
      </c>
      <c r="B5249" s="12" t="inlineStr">
        <is>
          <t>I</t>
        </is>
      </c>
      <c r="C5249" s="12" t="inlineStr">
        <is>
          <t>Modular / portable power</t>
        </is>
      </c>
      <c r="D5249" s="12" t="inlineStr">
        <is>
          <t>MTG-FG gas heater and skid power (Class I Div 2)</t>
        </is>
      </c>
      <c r="E5249" s="12" t="inlineStr">
        <is>
          <t>MTG-CB</t>
        </is>
      </c>
      <c r="F5249" s="12" t="inlineStr">
        <is>
          <t>MTG-CB: control and MCC building (unit controls, 480 V MCC)</t>
        </is>
      </c>
      <c r="G5249" s="12" t="inlineStr">
        <is>
          <t>MTG-FG</t>
        </is>
      </c>
      <c r="H5249" s="12" t="inlineStr">
        <is>
          <t>MTG-FG: fuel-gas conditioning skid (scrubber, filter-separator, heater</t>
        </is>
      </c>
      <c r="I5249" s="12" t="inlineStr">
        <is>
          <t>LV 600 V</t>
        </is>
      </c>
      <c r="J5249" s="12" t="inlineStr">
        <is>
          <t>ARMOR-X MC-HL 600 V 3/C Cu XHHW-2 + ground, CWA, black PVC (Class I Div 2)</t>
        </is>
      </c>
      <c r="K5249" s="12" t="inlineStr">
        <is>
          <t>LVAX|3/C+G|2</t>
        </is>
      </c>
      <c r="L5249" s="12" t="inlineStr">
        <is>
          <t>3/C+G</t>
        </is>
      </c>
      <c r="M5249" s="12" t="inlineStr">
        <is>
          <t>2</t>
        </is>
      </c>
      <c r="N5249" s="12" t="n">
        <v>1</v>
      </c>
      <c r="O5249" s="12" t="n">
        <v>1</v>
      </c>
      <c r="P5249" s="12" t="n">
        <v>480</v>
      </c>
      <c r="Q5249" s="12" t="n">
        <v>60</v>
      </c>
      <c r="R5249" s="12" t="n">
        <v>84.90000000000001</v>
      </c>
      <c r="S5249" s="12" t="inlineStr">
        <is>
          <t>Duct bank</t>
        </is>
      </c>
      <c r="T5249" s="15" t="n">
        <v>36</v>
      </c>
      <c r="U5249" s="15" t="n">
        <v>102</v>
      </c>
      <c r="V5249" s="15">
        <f>ROUNDUP((T5249+U5249+2*'Read Me'!$B$13)*(1+'Read Me'!$B$12),-1)</f>
        <v/>
      </c>
      <c r="W5249" s="15">
        <f>V5249*N5249*O5249</f>
        <v/>
      </c>
      <c r="X5249" s="12">
        <f>IF(LEFT(I5249,2)="MV",2*N5249*IF(L5249="1/C",O5249,1),0)</f>
        <v/>
      </c>
      <c r="Y5249" s="12">
        <f>IF(OR(LEFT(K5249,4)="LVAX",LEFT(K5249,6)="MV15AX",LEFT(K5249,4)="CTAX",LEFT(K5249,2)="W|"),2*N5249*O5249,0)</f>
        <v/>
      </c>
      <c r="Z5249" s="12" t="inlineStr">
        <is>
          <t>VD 0.9 %</t>
        </is>
      </c>
      <c r="AA5249" s="12">
        <f>N5249*O5249</f>
        <v/>
      </c>
    </row>
    <row r="5250">
      <c r="A5250" s="12" t="inlineStr">
        <is>
          <t>I-P-0091</t>
        </is>
      </c>
      <c r="B5250" s="12" t="inlineStr">
        <is>
          <t>I</t>
        </is>
      </c>
      <c r="C5250" s="12" t="inlineStr">
        <is>
          <t>Modular / portable power</t>
        </is>
      </c>
      <c r="D5250" s="12" t="inlineStr">
        <is>
          <t>MTG-SWG station service: DC charger, heaters, HVAC, lighting</t>
        </is>
      </c>
      <c r="E5250" s="12" t="inlineStr">
        <is>
          <t>MTG-CB</t>
        </is>
      </c>
      <c r="F5250" s="12" t="inlineStr">
        <is>
          <t>MTG-CB: control and MCC building (unit controls, 480 V MCC)</t>
        </is>
      </c>
      <c r="G5250" s="12" t="inlineStr">
        <is>
          <t>MTG-SWG</t>
        </is>
      </c>
      <c r="H5250" s="12" t="inlineStr">
        <is>
          <t>MTG-SWG: 13.8 kV switchgear e-house (2 generator breakers, site feeder</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45</v>
      </c>
      <c r="R5250" s="12" t="n">
        <v>57</v>
      </c>
      <c r="S5250" s="12" t="inlineStr">
        <is>
          <t>Duct bank</t>
        </is>
      </c>
      <c r="T5250" s="15" t="n">
        <v>44</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I-P-0092</t>
        </is>
      </c>
      <c r="B5251" s="12" t="inlineStr">
        <is>
          <t>I</t>
        </is>
      </c>
      <c r="C5251" s="12" t="inlineStr">
        <is>
          <t>Modular / portable power</t>
        </is>
      </c>
      <c r="D5251" s="12" t="inlineStr">
        <is>
          <t>PAD-EH station service: DC charger, heaters, HVAC, lighting</t>
        </is>
      </c>
      <c r="E5251" s="12" t="inlineStr">
        <is>
          <t>PAD-LV</t>
        </is>
      </c>
      <c r="F5251" s="12" t="inlineStr">
        <is>
          <t>PAD-LV 480 V paralleling switchboard</t>
        </is>
      </c>
      <c r="G5251" s="12" t="inlineStr">
        <is>
          <t>PAD-EH</t>
        </is>
      </c>
      <c r="H5251" s="12" t="inlineStr">
        <is>
          <t>PAD-EH 13.8 kV switchgear e-house</t>
        </is>
      </c>
      <c r="I5251" s="12" t="inlineStr">
        <is>
          <t>LV 600 V</t>
        </is>
      </c>
      <c r="J5251" s="12" t="inlineStr">
        <is>
          <t>Type TC-ER 600 V 3/C Cu XHHW-2 + ground, PVC jacket</t>
        </is>
      </c>
      <c r="K5251" s="12" t="inlineStr">
        <is>
          <t>LV|3/C+G|2</t>
        </is>
      </c>
      <c r="L5251" s="12" t="inlineStr">
        <is>
          <t>3/C+G</t>
        </is>
      </c>
      <c r="M5251" s="12" t="inlineStr">
        <is>
          <t>2</t>
        </is>
      </c>
      <c r="N5251" s="12" t="n">
        <v>1</v>
      </c>
      <c r="O5251" s="12" t="n">
        <v>1</v>
      </c>
      <c r="P5251" s="12" t="n">
        <v>480</v>
      </c>
      <c r="Q5251" s="12" t="n">
        <v>60</v>
      </c>
      <c r="R5251" s="12" t="n">
        <v>76</v>
      </c>
      <c r="S5251" s="12" t="inlineStr">
        <is>
          <t>Duct bank</t>
        </is>
      </c>
      <c r="T5251" s="15" t="n">
        <v>40</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is>
          <t>VD 0.4 %</t>
        </is>
      </c>
      <c r="AA5251" s="12">
        <f>N5251*O5251</f>
        <v/>
      </c>
    </row>
    <row r="5252">
      <c r="A5252" s="12" t="inlineStr">
        <is>
          <t>I-P-0093</t>
        </is>
      </c>
      <c r="B5252" s="12" t="inlineStr">
        <is>
          <t>I</t>
        </is>
      </c>
      <c r="C5252" s="12" t="inlineStr">
        <is>
          <t>Modular / portable power</t>
        </is>
      </c>
      <c r="D5252" s="12" t="inlineStr">
        <is>
          <t>LGN-INV 480 V AC to PAD-LV</t>
        </is>
      </c>
      <c r="E5252" s="12" t="inlineStr">
        <is>
          <t>LGN-INV</t>
        </is>
      </c>
      <c r="F5252" s="12" t="inlineStr">
        <is>
          <t>LGN-INV: linear generator inverter / AC cabinet (480 V)</t>
        </is>
      </c>
      <c r="G5252" s="12" t="inlineStr">
        <is>
          <t>PAD-LV</t>
        </is>
      </c>
      <c r="H5252" s="12" t="inlineStr">
        <is>
          <t>PAD-LV 480 V paralleling switchboard</t>
        </is>
      </c>
      <c r="I5252" s="12" t="inlineStr">
        <is>
          <t>LV 600 V</t>
        </is>
      </c>
      <c r="J5252" s="12" t="inlineStr">
        <is>
          <t>Type TC-ER 600 V 3/C Cu XHHW-2 + ground, PVC jacket</t>
        </is>
      </c>
      <c r="K5252" s="12" t="inlineStr">
        <is>
          <t>LV|3/C+G|350</t>
        </is>
      </c>
      <c r="L5252" s="12" t="inlineStr">
        <is>
          <t>3/C+G</t>
        </is>
      </c>
      <c r="M5252" s="12" t="inlineStr">
        <is>
          <t>350 kcmil</t>
        </is>
      </c>
      <c r="N5252" s="12" t="n">
        <v>6</v>
      </c>
      <c r="O5252" s="12" t="n">
        <v>1</v>
      </c>
      <c r="P5252" s="12" t="n">
        <v>480</v>
      </c>
      <c r="Q5252" s="12" t="n">
        <v>1000</v>
      </c>
      <c r="R5252" s="12" t="n">
        <v>1266.2</v>
      </c>
      <c r="S5252" s="12" t="inlineStr">
        <is>
          <t>Surface</t>
        </is>
      </c>
      <c r="T5252" s="15" t="n">
        <v>24</v>
      </c>
      <c r="U5252" s="15" t="n">
        <v>27</v>
      </c>
      <c r="V5252" s="15">
        <f>ROUNDUP((T5252+U5252+2*'Read Me'!$B$13)*(1+'Read Me'!$B$12),-1)</f>
        <v/>
      </c>
      <c r="W5252" s="15">
        <f>V5252*N5252*O5252</f>
        <v/>
      </c>
      <c r="X5252" s="12">
        <f>IF(LEFT(I5252,2)="MV",2*N5252*IF(L5252="1/C",O5252,1),0)</f>
        <v/>
      </c>
      <c r="Y5252" s="12">
        <f>IF(OR(LEFT(K5252,4)="LVAX",LEFT(K5252,6)="MV15AX",LEFT(K5252,4)="CTAX",LEFT(K5252,2)="W|"),2*N5252*O5252,0)</f>
        <v/>
      </c>
      <c r="Z5252" s="12" t="inlineStr">
        <is>
          <t>VD 0.2 %</t>
        </is>
      </c>
      <c r="AA5252" s="12">
        <f>N5252*O5252</f>
        <v/>
      </c>
    </row>
    <row r="5253">
      <c r="A5253" s="12" t="inlineStr">
        <is>
          <t>I-P-0094</t>
        </is>
      </c>
      <c r="B5253" s="12" t="inlineStr">
        <is>
          <t>I</t>
        </is>
      </c>
      <c r="C5253" s="12" t="inlineStr">
        <is>
          <t>Modular / portable power</t>
        </is>
      </c>
      <c r="D5253" s="12" t="inlineStr">
        <is>
          <t>Fuel-cell AC cabinet to PAD-LV</t>
        </is>
      </c>
      <c r="E5253" s="12" t="inlineStr"/>
      <c r="F5253" s="12" t="inlineStr">
        <is>
          <t>FC-5..8 inverter / AC cabinet / desulfurizer</t>
        </is>
      </c>
      <c r="G5253" s="12" t="inlineStr">
        <is>
          <t>PAD-LV</t>
        </is>
      </c>
      <c r="H5253" s="12" t="inlineStr">
        <is>
          <t>PAD-LV 480 V paralleling switchboard</t>
        </is>
      </c>
      <c r="I5253" s="12" t="inlineStr">
        <is>
          <t>LV 600 V</t>
        </is>
      </c>
      <c r="J5253" s="12" t="inlineStr">
        <is>
          <t>Type TC-ER 600 V 3/C Cu XHHW-2 + ground, PVC jacket</t>
        </is>
      </c>
      <c r="K5253" s="12" t="inlineStr">
        <is>
          <t>LV|3/C+G|350</t>
        </is>
      </c>
      <c r="L5253" s="12" t="inlineStr">
        <is>
          <t>3/C+G</t>
        </is>
      </c>
      <c r="M5253" s="12" t="inlineStr">
        <is>
          <t>350 kcmil</t>
        </is>
      </c>
      <c r="N5253" s="12" t="n">
        <v>6</v>
      </c>
      <c r="O5253" s="12" t="n">
        <v>1</v>
      </c>
      <c r="P5253" s="12" t="n">
        <v>480</v>
      </c>
      <c r="Q5253" s="12" t="n">
        <v>1000</v>
      </c>
      <c r="R5253" s="12" t="n">
        <v>1266.2</v>
      </c>
      <c r="S5253" s="12" t="inlineStr">
        <is>
          <t>Surface</t>
        </is>
      </c>
      <c r="T5253" s="15" t="n">
        <v>157</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VD 0.6 %</t>
        </is>
      </c>
      <c r="AA5253" s="12">
        <f>N5253*O5253</f>
        <v/>
      </c>
    </row>
    <row r="5254">
      <c r="A5254" s="12" t="inlineStr">
        <is>
          <t>I-P-0095</t>
        </is>
      </c>
      <c r="B5254" s="12" t="inlineStr">
        <is>
          <t>I</t>
        </is>
      </c>
      <c r="C5254" s="12" t="inlineStr">
        <is>
          <t>Modular / portable power</t>
        </is>
      </c>
      <c r="D5254" s="12" t="inlineStr">
        <is>
          <t>PAD-LV to PAD-TX</t>
        </is>
      </c>
      <c r="E5254" s="12" t="inlineStr">
        <is>
          <t>PAD-LV</t>
        </is>
      </c>
      <c r="F5254" s="12" t="inlineStr">
        <is>
          <t>PAD-LV 480 V paralleling switchboard</t>
        </is>
      </c>
      <c r="G5254" s="12" t="inlineStr">
        <is>
          <t>PAD-TX</t>
        </is>
      </c>
      <c r="H5254" s="12" t="inlineStr">
        <is>
          <t>PAD-TX 480 V : 13.8 kV</t>
        </is>
      </c>
      <c r="I5254" s="12" t="inlineStr">
        <is>
          <t>LV 600 V</t>
        </is>
      </c>
      <c r="J5254" s="12" t="inlineStr">
        <is>
          <t>XHHW-2 600 V 1/C Cu (feeder sets in tray / duct)</t>
        </is>
      </c>
      <c r="K5254" s="12" t="inlineStr">
        <is>
          <t>LV1C|1/C|500</t>
        </is>
      </c>
      <c r="L5254" s="12" t="inlineStr">
        <is>
          <t>1/C</t>
        </is>
      </c>
      <c r="M5254" s="12" t="inlineStr">
        <is>
          <t>500 kcmil</t>
        </is>
      </c>
      <c r="N5254" s="12" t="n">
        <v>8</v>
      </c>
      <c r="O5254" s="12" t="n">
        <v>4</v>
      </c>
      <c r="P5254" s="12" t="n">
        <v>480</v>
      </c>
      <c r="Q5254" s="12" t="n">
        <v>2000</v>
      </c>
      <c r="R5254" s="12" t="n">
        <v>2400</v>
      </c>
      <c r="S5254" s="12" t="inlineStr">
        <is>
          <t>Surface</t>
        </is>
      </c>
      <c r="T5254" s="15" t="n">
        <v>25</v>
      </c>
      <c r="U5254" s="15" t="n">
        <v>27</v>
      </c>
      <c r="V5254" s="15">
        <f>ROUNDUP((T5254+U5254+2*'Read Me'!$B$13)*(1+'Read Me'!$B$12),-1)</f>
        <v/>
      </c>
      <c r="W5254" s="15">
        <f>V5254*N5254*O5254</f>
        <v/>
      </c>
      <c r="X5254" s="12">
        <f>IF(LEFT(I5254,2)="MV",2*N5254*IF(L5254="1/C",O5254,1),0)</f>
        <v/>
      </c>
      <c r="Y5254" s="12">
        <f>IF(OR(LEFT(K5254,4)="LVAX",LEFT(K5254,6)="MV15AX",LEFT(K5254,4)="CTAX",LEFT(K5254,2)="W|"),2*N5254*O5254,0)</f>
        <v/>
      </c>
      <c r="Z5254" s="12" t="inlineStr">
        <is>
          <t>8 sets of 4 x 1/C (fuel-cell and linear-generator outputs)</t>
        </is>
      </c>
      <c r="AA5254" s="12">
        <f>N5254*O5254</f>
        <v/>
      </c>
    </row>
    <row r="5255">
      <c r="A5255" s="12" t="inlineStr">
        <is>
          <t>I-P-0096</t>
        </is>
      </c>
      <c r="B5255" s="12" t="inlineStr">
        <is>
          <t>I</t>
        </is>
      </c>
      <c r="C5255" s="12" t="inlineStr">
        <is>
          <t>Modular / portable power</t>
        </is>
      </c>
      <c r="D5255" s="12" t="inlineStr">
        <is>
          <t>LV panel / distribution feeder</t>
        </is>
      </c>
      <c r="E5255" s="12" t="inlineStr"/>
      <c r="F5255" s="12" t="inlineStr">
        <is>
          <t>PCM: power control module</t>
        </is>
      </c>
      <c r="G5255" s="12" t="inlineStr"/>
      <c r="H5255" s="12" t="inlineStr">
        <is>
          <t>PCM: power control module</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38</v>
      </c>
      <c r="R5255" s="12" t="n">
        <v>53.8</v>
      </c>
      <c r="S5255" s="12" t="inlineStr">
        <is>
          <t>Tray</t>
        </is>
      </c>
      <c r="T5255" s="15" t="n">
        <v>0</v>
      </c>
      <c r="U5255" s="15" t="n">
        <v>32</v>
      </c>
      <c r="V5255" s="15">
        <f>ROUNDUP((T5255+U5255+2*'Read Me'!$B$13)*(1+'Read Me'!$B$12),-1)</f>
        <v/>
      </c>
      <c r="W5255" s="15">
        <f>V5255*N5255*O5255</f>
        <v/>
      </c>
      <c r="X5255" s="12">
        <f>IF(LEFT(I5255,2)="MV",2*N5255*IF(L5255="1/C",O5255,1),0)</f>
        <v/>
      </c>
      <c r="Y5255" s="12">
        <f>IF(OR(LEFT(K5255,4)="LVAX",LEFT(K5255,6)="MV15AX",LEFT(K5255,4)="CTAX",LEFT(K5255,2)="W|"),2*N5255*O5255,0)</f>
        <v/>
      </c>
      <c r="Z5255" s="12" t="inlineStr">
        <is>
          <t>VD 0.2 %</t>
        </is>
      </c>
      <c r="AA5255" s="12">
        <f>N5255*O5255</f>
        <v/>
      </c>
    </row>
    <row r="5256">
      <c r="A5256" s="12" t="inlineStr">
        <is>
          <t>I-P-0097</t>
        </is>
      </c>
      <c r="B5256" s="12" t="inlineStr">
        <is>
          <t>I</t>
        </is>
      </c>
      <c r="C5256" s="12" t="inlineStr">
        <is>
          <t>Modular / portable power</t>
        </is>
      </c>
      <c r="D5256" s="12" t="inlineStr">
        <is>
          <t>PGS-1 480 V generator leads to the paralleling switchgear</t>
        </is>
      </c>
      <c r="E5256" s="12" t="inlineStr">
        <is>
          <t>PGS-1</t>
        </is>
      </c>
      <c r="F5256" s="12" t="inlineStr">
        <is>
          <t>PGS-1: enclosed gas genset 1 MW, 480 V (paralleled, unit 1 of 8)</t>
        </is>
      </c>
      <c r="G5256" s="12" t="inlineStr">
        <is>
          <t>PGS-SWG</t>
        </is>
      </c>
      <c r="H5256" s="12" t="inlineStr">
        <is>
          <t>PGS-SWG: 480 V paralleling switchgear (8 generator breakers, 2 transfo</t>
        </is>
      </c>
      <c r="I5256" s="12" t="inlineStr">
        <is>
          <t>LV 600 V</t>
        </is>
      </c>
      <c r="J5256" s="12" t="inlineStr">
        <is>
          <t>XHHW-2 600 V 1/C Cu (feeder sets in tray / duct)</t>
        </is>
      </c>
      <c r="K5256" s="12" t="inlineStr">
        <is>
          <t>LV1C|1/C|500</t>
        </is>
      </c>
      <c r="L5256" s="12" t="inlineStr">
        <is>
          <t>1/C</t>
        </is>
      </c>
      <c r="M5256" s="12" t="inlineStr">
        <is>
          <t>500 kcmil</t>
        </is>
      </c>
      <c r="N5256" s="12" t="n">
        <v>4</v>
      </c>
      <c r="O5256" s="12" t="n">
        <v>4</v>
      </c>
      <c r="P5256" s="12" t="n">
        <v>480</v>
      </c>
      <c r="Q5256" s="12" t="n">
        <v>1000</v>
      </c>
      <c r="R5256" s="12" t="n">
        <v>1203</v>
      </c>
      <c r="S5256" s="12" t="inlineStr">
        <is>
          <t>Riser</t>
        </is>
      </c>
      <c r="T5256" s="15" t="n">
        <v>4</v>
      </c>
      <c r="U5256" s="15" t="n">
        <v>27</v>
      </c>
      <c r="V5256" s="15">
        <f>ROUNDUP((T5256+U5256+2*'Read Me'!$B$13)*(1+'Read Me'!$B$12),-1)</f>
        <v/>
      </c>
      <c r="W5256" s="15">
        <f>V5256*N5256*O5256</f>
        <v/>
      </c>
      <c r="X5256" s="12">
        <f>IF(LEFT(I5256,2)="MV",2*N5256*IF(L5256="1/C",O5256,1),0)</f>
        <v/>
      </c>
      <c r="Y5256" s="12">
        <f>IF(OR(LEFT(K5256,4)="LVAX",LEFT(K5256,6)="MV15AX",LEFT(K5256,4)="CTAX",LEFT(K5256,2)="W|"),2*N5256*O5256,0)</f>
        <v/>
      </c>
      <c r="Z5256" s="12" t="inlineStr">
        <is>
          <t>4 sets of 4 x 1/C</t>
        </is>
      </c>
      <c r="AA5256" s="12">
        <f>N5256*O5256</f>
        <v/>
      </c>
    </row>
    <row r="5257">
      <c r="A5257" s="12" t="inlineStr">
        <is>
          <t>I-P-0098</t>
        </is>
      </c>
      <c r="B5257" s="12" t="inlineStr">
        <is>
          <t>I</t>
        </is>
      </c>
      <c r="C5257" s="12" t="inlineStr">
        <is>
          <t>Modular / portable power</t>
        </is>
      </c>
      <c r="D5257" s="12" t="inlineStr">
        <is>
          <t>PGS-2 480 V generator leads to the paralleling switchgear</t>
        </is>
      </c>
      <c r="E5257" s="12" t="inlineStr">
        <is>
          <t>PGS-2</t>
        </is>
      </c>
      <c r="F5257" s="12" t="inlineStr">
        <is>
          <t>PGS-2: enclosed gas genset 1 MW, 480 V (paralleled, unit 2 of 8)</t>
        </is>
      </c>
      <c r="G5257" s="12" t="inlineStr">
        <is>
          <t>PGS-SWG</t>
        </is>
      </c>
      <c r="H5257" s="12" t="inlineStr">
        <is>
          <t>PGS-SWG: 480 V paralleling switchgear (8 generator breakers, 2 transfo</t>
        </is>
      </c>
      <c r="I5257" s="12" t="inlineStr">
        <is>
          <t>LV 600 V</t>
        </is>
      </c>
      <c r="J5257" s="12" t="inlineStr">
        <is>
          <t>XHHW-2 600 V 1/C Cu (feeder sets in tray / duct)</t>
        </is>
      </c>
      <c r="K5257" s="12" t="inlineStr">
        <is>
          <t>LV1C|1/C|500</t>
        </is>
      </c>
      <c r="L5257" s="12" t="inlineStr">
        <is>
          <t>1/C</t>
        </is>
      </c>
      <c r="M5257" s="12" t="inlineStr">
        <is>
          <t>500 kcmil</t>
        </is>
      </c>
      <c r="N5257" s="12" t="n">
        <v>4</v>
      </c>
      <c r="O5257" s="12" t="n">
        <v>4</v>
      </c>
      <c r="P5257" s="12" t="n">
        <v>480</v>
      </c>
      <c r="Q5257" s="12" t="n">
        <v>1000</v>
      </c>
      <c r="R5257" s="12" t="n">
        <v>1203</v>
      </c>
      <c r="S5257" s="12" t="inlineStr">
        <is>
          <t>Riser</t>
        </is>
      </c>
      <c r="T5257" s="15" t="n">
        <v>4</v>
      </c>
      <c r="U5257" s="15" t="n">
        <v>27</v>
      </c>
      <c r="V5257" s="15">
        <f>ROUNDUP((T5257+U5257+2*'Read Me'!$B$13)*(1+'Read Me'!$B$12),-1)</f>
        <v/>
      </c>
      <c r="W5257" s="15">
        <f>V5257*N5257*O5257</f>
        <v/>
      </c>
      <c r="X5257" s="12">
        <f>IF(LEFT(I5257,2)="MV",2*N5257*IF(L5257="1/C",O5257,1),0)</f>
        <v/>
      </c>
      <c r="Y5257" s="12">
        <f>IF(OR(LEFT(K5257,4)="LVAX",LEFT(K5257,6)="MV15AX",LEFT(K5257,4)="CTAX",LEFT(K5257,2)="W|"),2*N5257*O5257,0)</f>
        <v/>
      </c>
      <c r="Z5257" s="12" t="inlineStr">
        <is>
          <t>4 sets of 4 x 1/C</t>
        </is>
      </c>
      <c r="AA5257" s="12">
        <f>N5257*O5257</f>
        <v/>
      </c>
    </row>
    <row r="5258">
      <c r="A5258" s="12" t="inlineStr">
        <is>
          <t>I-P-0099</t>
        </is>
      </c>
      <c r="B5258" s="12" t="inlineStr">
        <is>
          <t>I</t>
        </is>
      </c>
      <c r="C5258" s="12" t="inlineStr">
        <is>
          <t>Modular / portable power</t>
        </is>
      </c>
      <c r="D5258" s="12" t="inlineStr">
        <is>
          <t>PGS-3 480 V generator leads to the paralleling switchgear</t>
        </is>
      </c>
      <c r="E5258" s="12" t="inlineStr">
        <is>
          <t>PGS-3</t>
        </is>
      </c>
      <c r="F5258" s="12" t="inlineStr">
        <is>
          <t>PGS-3: enclosed gas genset 1 MW, 480 V (paralleled, unit 3 of 8)</t>
        </is>
      </c>
      <c r="G5258" s="12" t="inlineStr">
        <is>
          <t>PGS-SWG</t>
        </is>
      </c>
      <c r="H5258" s="12" t="inlineStr">
        <is>
          <t>PGS-SWG: 480 V paralleling switchgear (8 generator breakers, 2 transfo</t>
        </is>
      </c>
      <c r="I5258" s="12" t="inlineStr">
        <is>
          <t>LV 600 V</t>
        </is>
      </c>
      <c r="J5258" s="12" t="inlineStr">
        <is>
          <t>XHHW-2 600 V 1/C Cu (feeder sets in tray / duct)</t>
        </is>
      </c>
      <c r="K5258" s="12" t="inlineStr">
        <is>
          <t>LV1C|1/C|500</t>
        </is>
      </c>
      <c r="L5258" s="12" t="inlineStr">
        <is>
          <t>1/C</t>
        </is>
      </c>
      <c r="M5258" s="12" t="inlineStr">
        <is>
          <t>500 kcmil</t>
        </is>
      </c>
      <c r="N5258" s="12" t="n">
        <v>4</v>
      </c>
      <c r="O5258" s="12" t="n">
        <v>4</v>
      </c>
      <c r="P5258" s="12" t="n">
        <v>480</v>
      </c>
      <c r="Q5258" s="12" t="n">
        <v>1000</v>
      </c>
      <c r="R5258" s="12" t="n">
        <v>1203</v>
      </c>
      <c r="S5258" s="12" t="inlineStr">
        <is>
          <t>Riser</t>
        </is>
      </c>
      <c r="T5258" s="15" t="n">
        <v>4</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4 sets of 4 x 1/C</t>
        </is>
      </c>
      <c r="AA5258" s="12">
        <f>N5258*O5258</f>
        <v/>
      </c>
    </row>
    <row r="5259">
      <c r="A5259" s="12" t="inlineStr">
        <is>
          <t>I-P-0100</t>
        </is>
      </c>
      <c r="B5259" s="12" t="inlineStr">
        <is>
          <t>I</t>
        </is>
      </c>
      <c r="C5259" s="12" t="inlineStr">
        <is>
          <t>Modular / portable power</t>
        </is>
      </c>
      <c r="D5259" s="12" t="inlineStr">
        <is>
          <t>PGS-4 480 V generator leads to the paralleling switchgear</t>
        </is>
      </c>
      <c r="E5259" s="12" t="inlineStr">
        <is>
          <t>PGS-4</t>
        </is>
      </c>
      <c r="F5259" s="12" t="inlineStr">
        <is>
          <t>PGS-4: enclosed gas genset 1 MW, 480 V (paralleled, unit 4 of 8)</t>
        </is>
      </c>
      <c r="G5259" s="12" t="inlineStr">
        <is>
          <t>PGS-SWG</t>
        </is>
      </c>
      <c r="H5259" s="12" t="inlineStr">
        <is>
          <t>PGS-SWG: 480 V paralleling switchgear (8 generator breakers, 2 transfo</t>
        </is>
      </c>
      <c r="I5259" s="12" t="inlineStr">
        <is>
          <t>LV 600 V</t>
        </is>
      </c>
      <c r="J5259" s="12" t="inlineStr">
        <is>
          <t>XHHW-2 600 V 1/C Cu (feeder sets in tray / duct)</t>
        </is>
      </c>
      <c r="K5259" s="12" t="inlineStr">
        <is>
          <t>LV1C|1/C|500</t>
        </is>
      </c>
      <c r="L5259" s="12" t="inlineStr">
        <is>
          <t>1/C</t>
        </is>
      </c>
      <c r="M5259" s="12" t="inlineStr">
        <is>
          <t>500 kcmil</t>
        </is>
      </c>
      <c r="N5259" s="12" t="n">
        <v>4</v>
      </c>
      <c r="O5259" s="12" t="n">
        <v>4</v>
      </c>
      <c r="P5259" s="12" t="n">
        <v>480</v>
      </c>
      <c r="Q5259" s="12" t="n">
        <v>1000</v>
      </c>
      <c r="R5259" s="12" t="n">
        <v>1203</v>
      </c>
      <c r="S5259" s="12" t="inlineStr">
        <is>
          <t>Riser</t>
        </is>
      </c>
      <c r="T5259" s="15" t="n">
        <v>4</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4 sets of 4 x 1/C</t>
        </is>
      </c>
      <c r="AA5259" s="12">
        <f>N5259*O5259</f>
        <v/>
      </c>
    </row>
    <row r="5260">
      <c r="A5260" s="12" t="inlineStr">
        <is>
          <t>I-P-0101</t>
        </is>
      </c>
      <c r="B5260" s="12" t="inlineStr">
        <is>
          <t>I</t>
        </is>
      </c>
      <c r="C5260" s="12" t="inlineStr">
        <is>
          <t>Modular / portable power</t>
        </is>
      </c>
      <c r="D5260" s="12" t="inlineStr">
        <is>
          <t>PGS-5 480 V generator leads to the paralleling switchgear</t>
        </is>
      </c>
      <c r="E5260" s="12" t="inlineStr">
        <is>
          <t>PGS-5</t>
        </is>
      </c>
      <c r="F5260" s="12" t="inlineStr">
        <is>
          <t>PGS-5: enclosed gas genset 1 MW, 480 V (paralleled, unit 5 of 8)</t>
        </is>
      </c>
      <c r="G5260" s="12" t="inlineStr">
        <is>
          <t>PGS-SWG</t>
        </is>
      </c>
      <c r="H5260" s="12" t="inlineStr">
        <is>
          <t>PGS-SWG: 480 V paralleling switchgear (8 generator breakers, 2 transfo</t>
        </is>
      </c>
      <c r="I5260" s="12" t="inlineStr">
        <is>
          <t>LV 600 V</t>
        </is>
      </c>
      <c r="J5260" s="12" t="inlineStr">
        <is>
          <t>XHHW-2 600 V 1/C Cu (feeder sets in tray / duct)</t>
        </is>
      </c>
      <c r="K5260" s="12" t="inlineStr">
        <is>
          <t>LV1C|1/C|500</t>
        </is>
      </c>
      <c r="L5260" s="12" t="inlineStr">
        <is>
          <t>1/C</t>
        </is>
      </c>
      <c r="M5260" s="12" t="inlineStr">
        <is>
          <t>500 kcmil</t>
        </is>
      </c>
      <c r="N5260" s="12" t="n">
        <v>4</v>
      </c>
      <c r="O5260" s="12" t="n">
        <v>4</v>
      </c>
      <c r="P5260" s="12" t="n">
        <v>480</v>
      </c>
      <c r="Q5260" s="12" t="n">
        <v>1000</v>
      </c>
      <c r="R5260" s="12" t="n">
        <v>1203</v>
      </c>
      <c r="S5260" s="12" t="inlineStr">
        <is>
          <t>Duct bank</t>
        </is>
      </c>
      <c r="T5260" s="15" t="n">
        <v>16</v>
      </c>
      <c r="U5260" s="15" t="n">
        <v>32</v>
      </c>
      <c r="V5260" s="15">
        <f>ROUNDUP((T5260+U5260+2*'Read Me'!$B$13)*(1+'Read Me'!$B$12),-1)</f>
        <v/>
      </c>
      <c r="W5260" s="15">
        <f>V5260*N5260*O5260</f>
        <v/>
      </c>
      <c r="X5260" s="12">
        <f>IF(LEFT(I5260,2)="MV",2*N5260*IF(L5260="1/C",O5260,1),0)</f>
        <v/>
      </c>
      <c r="Y5260" s="12">
        <f>IF(OR(LEFT(K5260,4)="LVAX",LEFT(K5260,6)="MV15AX",LEFT(K5260,4)="CTAX",LEFT(K5260,2)="W|"),2*N5260*O5260,0)</f>
        <v/>
      </c>
      <c r="Z5260" s="12" t="inlineStr">
        <is>
          <t>4 sets of 4 x 1/C</t>
        </is>
      </c>
      <c r="AA5260" s="12">
        <f>N5260*O5260</f>
        <v/>
      </c>
    </row>
    <row r="5261">
      <c r="A5261" s="12" t="inlineStr">
        <is>
          <t>I-P-0102</t>
        </is>
      </c>
      <c r="B5261" s="12" t="inlineStr">
        <is>
          <t>I</t>
        </is>
      </c>
      <c r="C5261" s="12" t="inlineStr">
        <is>
          <t>Modular / portable power</t>
        </is>
      </c>
      <c r="D5261" s="12" t="inlineStr">
        <is>
          <t>PGS-6 480 V generator leads to the paralleling switchgear</t>
        </is>
      </c>
      <c r="E5261" s="12" t="inlineStr">
        <is>
          <t>PGS-6</t>
        </is>
      </c>
      <c r="F5261" s="12" t="inlineStr">
        <is>
          <t>PGS-6: enclosed gas genset 1 MW, 480 V (paralleled, unit 6 of 8)</t>
        </is>
      </c>
      <c r="G5261" s="12" t="inlineStr">
        <is>
          <t>PGS-SWG</t>
        </is>
      </c>
      <c r="H5261" s="12" t="inlineStr">
        <is>
          <t>PGS-SWG: 480 V paralleling switchgear (8 generator breakers, 2 transfo</t>
        </is>
      </c>
      <c r="I5261" s="12" t="inlineStr">
        <is>
          <t>LV 600 V</t>
        </is>
      </c>
      <c r="J5261" s="12" t="inlineStr">
        <is>
          <t>XHHW-2 600 V 1/C Cu (feeder sets in tray / duct)</t>
        </is>
      </c>
      <c r="K5261" s="12" t="inlineStr">
        <is>
          <t>LV1C|1/C|500</t>
        </is>
      </c>
      <c r="L5261" s="12" t="inlineStr">
        <is>
          <t>1/C</t>
        </is>
      </c>
      <c r="M5261" s="12" t="inlineStr">
        <is>
          <t>500 kcmil</t>
        </is>
      </c>
      <c r="N5261" s="12" t="n">
        <v>4</v>
      </c>
      <c r="O5261" s="12" t="n">
        <v>4</v>
      </c>
      <c r="P5261" s="12" t="n">
        <v>480</v>
      </c>
      <c r="Q5261" s="12" t="n">
        <v>1000</v>
      </c>
      <c r="R5261" s="12" t="n">
        <v>1203</v>
      </c>
      <c r="S5261" s="12" t="inlineStr">
        <is>
          <t>Duct bank</t>
        </is>
      </c>
      <c r="T5261" s="15" t="n">
        <v>28</v>
      </c>
      <c r="U5261" s="15" t="n">
        <v>32</v>
      </c>
      <c r="V5261" s="15">
        <f>ROUNDUP((T5261+U5261+2*'Read Me'!$B$13)*(1+'Read Me'!$B$12),-1)</f>
        <v/>
      </c>
      <c r="W5261" s="15">
        <f>V5261*N5261*O5261</f>
        <v/>
      </c>
      <c r="X5261" s="12">
        <f>IF(LEFT(I5261,2)="MV",2*N5261*IF(L5261="1/C",O5261,1),0)</f>
        <v/>
      </c>
      <c r="Y5261" s="12">
        <f>IF(OR(LEFT(K5261,4)="LVAX",LEFT(K5261,6)="MV15AX",LEFT(K5261,4)="CTAX",LEFT(K5261,2)="W|"),2*N5261*O5261,0)</f>
        <v/>
      </c>
      <c r="Z5261" s="12" t="inlineStr">
        <is>
          <t>4 sets of 4 x 1/C</t>
        </is>
      </c>
      <c r="AA5261" s="12">
        <f>N5261*O5261</f>
        <v/>
      </c>
    </row>
    <row r="5262">
      <c r="A5262" s="12" t="inlineStr">
        <is>
          <t>I-P-0103</t>
        </is>
      </c>
      <c r="B5262" s="12" t="inlineStr">
        <is>
          <t>I</t>
        </is>
      </c>
      <c r="C5262" s="12" t="inlineStr">
        <is>
          <t>Modular / portable power</t>
        </is>
      </c>
      <c r="D5262" s="12" t="inlineStr">
        <is>
          <t>PGS-7 480 V generator leads to the paralleling switchgear</t>
        </is>
      </c>
      <c r="E5262" s="12" t="inlineStr">
        <is>
          <t>PGS-7</t>
        </is>
      </c>
      <c r="F5262" s="12" t="inlineStr">
        <is>
          <t>PGS-7: enclosed gas genset 1 MW, 480 V (paralleled, unit 7 of 8)</t>
        </is>
      </c>
      <c r="G5262" s="12" t="inlineStr">
        <is>
          <t>PGS-SWG</t>
        </is>
      </c>
      <c r="H5262" s="12" t="inlineStr">
        <is>
          <t>PGS-SWG: 480 V paralleling switchgear (8 generator breakers, 2 transfo</t>
        </is>
      </c>
      <c r="I5262" s="12" t="inlineStr">
        <is>
          <t>LV 600 V</t>
        </is>
      </c>
      <c r="J5262" s="12" t="inlineStr">
        <is>
          <t>XHHW-2 600 V 1/C Cu (feeder sets in tray / duct)</t>
        </is>
      </c>
      <c r="K5262" s="12" t="inlineStr">
        <is>
          <t>LV1C|1/C|500</t>
        </is>
      </c>
      <c r="L5262" s="12" t="inlineStr">
        <is>
          <t>1/C</t>
        </is>
      </c>
      <c r="M5262" s="12" t="inlineStr">
        <is>
          <t>500 kcmil</t>
        </is>
      </c>
      <c r="N5262" s="12" t="n">
        <v>4</v>
      </c>
      <c r="O5262" s="12" t="n">
        <v>4</v>
      </c>
      <c r="P5262" s="12" t="n">
        <v>480</v>
      </c>
      <c r="Q5262" s="12" t="n">
        <v>1000</v>
      </c>
      <c r="R5262" s="12" t="n">
        <v>1203</v>
      </c>
      <c r="S5262" s="12" t="inlineStr">
        <is>
          <t>Duct bank</t>
        </is>
      </c>
      <c r="T5262" s="15" t="n">
        <v>40</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4 sets of 4 x 1/C</t>
        </is>
      </c>
      <c r="AA5262" s="12">
        <f>N5262*O5262</f>
        <v/>
      </c>
    </row>
    <row r="5263">
      <c r="A5263" s="12" t="inlineStr">
        <is>
          <t>I-P-0104</t>
        </is>
      </c>
      <c r="B5263" s="12" t="inlineStr">
        <is>
          <t>I</t>
        </is>
      </c>
      <c r="C5263" s="12" t="inlineStr">
        <is>
          <t>Modular / portable power</t>
        </is>
      </c>
      <c r="D5263" s="12" t="inlineStr">
        <is>
          <t>PGS-8 480 V generator leads to the paralleling switchgear</t>
        </is>
      </c>
      <c r="E5263" s="12" t="inlineStr">
        <is>
          <t>PGS-8</t>
        </is>
      </c>
      <c r="F5263" s="12" t="inlineStr">
        <is>
          <t>PGS-8: enclosed gas genset 1 MW, 480 V (paralleled, unit 8 of 8)</t>
        </is>
      </c>
      <c r="G5263" s="12" t="inlineStr">
        <is>
          <t>PGS-SWG</t>
        </is>
      </c>
      <c r="H5263" s="12" t="inlineStr">
        <is>
          <t>PGS-SWG: 480 V paralleling switchgear (8 generator breakers, 2 transfo</t>
        </is>
      </c>
      <c r="I5263" s="12" t="inlineStr">
        <is>
          <t>LV 600 V</t>
        </is>
      </c>
      <c r="J5263" s="12" t="inlineStr">
        <is>
          <t>XHHW-2 600 V 1/C Cu (feeder sets in tray / duct)</t>
        </is>
      </c>
      <c r="K5263" s="12" t="inlineStr">
        <is>
          <t>LV1C|1/C|500</t>
        </is>
      </c>
      <c r="L5263" s="12" t="inlineStr">
        <is>
          <t>1/C</t>
        </is>
      </c>
      <c r="M5263" s="12" t="inlineStr">
        <is>
          <t>500 kcmil</t>
        </is>
      </c>
      <c r="N5263" s="12" t="n">
        <v>4</v>
      </c>
      <c r="O5263" s="12" t="n">
        <v>4</v>
      </c>
      <c r="P5263" s="12" t="n">
        <v>480</v>
      </c>
      <c r="Q5263" s="12" t="n">
        <v>1000</v>
      </c>
      <c r="R5263" s="12" t="n">
        <v>1203</v>
      </c>
      <c r="S5263" s="12" t="inlineStr">
        <is>
          <t>Duct bank</t>
        </is>
      </c>
      <c r="T5263" s="15" t="n">
        <v>52</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4 sets of 4 x 1/C</t>
        </is>
      </c>
      <c r="AA5263" s="12">
        <f>N5263*O5263</f>
        <v/>
      </c>
    </row>
    <row r="5264">
      <c r="A5264" s="12" t="inlineStr">
        <is>
          <t>I-P-0105</t>
        </is>
      </c>
      <c r="B5264" s="12" t="inlineStr">
        <is>
          <t>I</t>
        </is>
      </c>
      <c r="C5264" s="12" t="inlineStr">
        <is>
          <t>Modular / portable power</t>
        </is>
      </c>
      <c r="D5264" s="12" t="inlineStr">
        <is>
          <t>PGS-SWG main 1 to PGS-TX1 480 V secondary</t>
        </is>
      </c>
      <c r="E5264" s="12" t="inlineStr">
        <is>
          <t>PGS-SWG</t>
        </is>
      </c>
      <c r="F5264" s="12" t="inlineStr">
        <is>
          <t>PGS-SWG: 480 V paralleling switchgear (8 generator breakers, 2 transfo</t>
        </is>
      </c>
      <c r="G5264" s="12" t="inlineStr">
        <is>
          <t>PGS-TX1</t>
        </is>
      </c>
      <c r="H5264" s="12" t="inlineStr">
        <is>
          <t>PGS-TX1: 480 V : 34.5 kV, ~5 MVA loop-feed pad-mount (gensets 1-4)</t>
        </is>
      </c>
      <c r="I5264" s="12" t="inlineStr">
        <is>
          <t>LV 600 V</t>
        </is>
      </c>
      <c r="J5264" s="12" t="inlineStr">
        <is>
          <t>XHHW-2 600 V 1/C Cu (feeder sets in tray / duct)</t>
        </is>
      </c>
      <c r="K5264" s="12" t="inlineStr">
        <is>
          <t>LV1C|1/C|600</t>
        </is>
      </c>
      <c r="L5264" s="12" t="inlineStr">
        <is>
          <t>1/C</t>
        </is>
      </c>
      <c r="M5264" s="12" t="inlineStr">
        <is>
          <t>600 kcmil</t>
        </is>
      </c>
      <c r="N5264" s="12" t="n">
        <v>12</v>
      </c>
      <c r="O5264" s="12" t="n">
        <v>4</v>
      </c>
      <c r="P5264" s="12" t="n">
        <v>480</v>
      </c>
      <c r="Q5264" s="12" t="n">
        <v>4000</v>
      </c>
      <c r="R5264" s="12" t="n">
        <v>4811</v>
      </c>
      <c r="S5264" s="12" t="inlineStr">
        <is>
          <t>Surface</t>
        </is>
      </c>
      <c r="T5264" s="15" t="n">
        <v>75</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12 sets of 4 x 1/C</t>
        </is>
      </c>
      <c r="AA5264" s="12">
        <f>N5264*O5264</f>
        <v/>
      </c>
    </row>
    <row r="5265">
      <c r="A5265" s="12" t="inlineStr">
        <is>
          <t>I-P-0106</t>
        </is>
      </c>
      <c r="B5265" s="12" t="inlineStr">
        <is>
          <t>I</t>
        </is>
      </c>
      <c r="C5265" s="12" t="inlineStr">
        <is>
          <t>Modular / portable power</t>
        </is>
      </c>
      <c r="D5265" s="12" t="inlineStr">
        <is>
          <t>PGS-SWG main 2 to PGS-TX2 480 V secondary</t>
        </is>
      </c>
      <c r="E5265" s="12" t="inlineStr">
        <is>
          <t>PGS-SWG</t>
        </is>
      </c>
      <c r="F5265" s="12" t="inlineStr">
        <is>
          <t>PGS-SWG: 480 V paralleling switchgear (8 generator breakers, 2 transfo</t>
        </is>
      </c>
      <c r="G5265" s="12" t="inlineStr">
        <is>
          <t>PGS-TX2</t>
        </is>
      </c>
      <c r="H5265" s="12" t="inlineStr">
        <is>
          <t>PGS-TX2: 480 V : 34.5 kV, ~5 MVA loop-feed pad-mount (gensets 5-8)</t>
        </is>
      </c>
      <c r="I5265" s="12" t="inlineStr">
        <is>
          <t>LV 600 V</t>
        </is>
      </c>
      <c r="J5265" s="12" t="inlineStr">
        <is>
          <t>XHHW-2 600 V 1/C Cu (feeder sets in tray / duct)</t>
        </is>
      </c>
      <c r="K5265" s="12" t="inlineStr">
        <is>
          <t>LV1C|1/C|600</t>
        </is>
      </c>
      <c r="L5265" s="12" t="inlineStr">
        <is>
          <t>1/C</t>
        </is>
      </c>
      <c r="M5265" s="12" t="inlineStr">
        <is>
          <t>600 kcmil</t>
        </is>
      </c>
      <c r="N5265" s="12" t="n">
        <v>12</v>
      </c>
      <c r="O5265" s="12" t="n">
        <v>4</v>
      </c>
      <c r="P5265" s="12" t="n">
        <v>480</v>
      </c>
      <c r="Q5265" s="12" t="n">
        <v>4000</v>
      </c>
      <c r="R5265" s="12" t="n">
        <v>4811</v>
      </c>
      <c r="S5265" s="12" t="inlineStr">
        <is>
          <t>Surface</t>
        </is>
      </c>
      <c r="T5265" s="15" t="n">
        <v>46</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12 sets of 4 x 1/C</t>
        </is>
      </c>
      <c r="AA5265" s="12">
        <f>N5265*O5265</f>
        <v/>
      </c>
    </row>
    <row r="5266">
      <c r="A5266" s="12" t="inlineStr">
        <is>
          <t>I-P-0107</t>
        </is>
      </c>
      <c r="B5266" s="12" t="inlineStr">
        <is>
          <t>I</t>
        </is>
      </c>
      <c r="C5266" s="12" t="inlineStr">
        <is>
          <t>Modular / portable power</t>
        </is>
      </c>
      <c r="D5266" s="12" t="inlineStr">
        <is>
          <t>Motor 1 of 1, 15 kW</t>
        </is>
      </c>
      <c r="E5266" s="12" t="inlineStr"/>
      <c r="F5266" s="12" t="inlineStr">
        <is>
          <t>PCM: power control module</t>
        </is>
      </c>
      <c r="G5266" s="12" t="inlineStr"/>
      <c r="H5266" s="12" t="inlineStr">
        <is>
          <t>RICE 1 SCR + oxidation catalyst and stack</t>
        </is>
      </c>
      <c r="I5266" s="12" t="inlineStr">
        <is>
          <t>LV 600 V</t>
        </is>
      </c>
      <c r="J5266" s="12" t="inlineStr">
        <is>
          <t>Type TC-ER 600 V 3/C Cu XHHW-2 + ground, PVC jacket</t>
        </is>
      </c>
      <c r="K5266" s="12" t="inlineStr">
        <is>
          <t>LV|3/C+G|6</t>
        </is>
      </c>
      <c r="L5266" s="12" t="inlineStr">
        <is>
          <t>3/C+G</t>
        </is>
      </c>
      <c r="M5266" s="12" t="inlineStr">
        <is>
          <t>6</t>
        </is>
      </c>
      <c r="N5266" s="12" t="n">
        <v>1</v>
      </c>
      <c r="O5266" s="12" t="n">
        <v>1</v>
      </c>
      <c r="P5266" s="12" t="n">
        <v>480</v>
      </c>
      <c r="Q5266" s="12" t="n">
        <v>15</v>
      </c>
      <c r="R5266" s="12" t="n">
        <v>21.2</v>
      </c>
      <c r="S5266" s="12" t="inlineStr">
        <is>
          <t>Duct bank</t>
        </is>
      </c>
      <c r="T5266" s="15" t="n">
        <v>436</v>
      </c>
      <c r="U5266" s="15" t="n">
        <v>160</v>
      </c>
      <c r="V5266" s="15">
        <f>ROUNDUP((T5266+U5266+2*'Read Me'!$B$13)*(1+'Read Me'!$B$12),-1)</f>
        <v/>
      </c>
      <c r="W5266" s="15">
        <f>V5266*N5266*O5266</f>
        <v/>
      </c>
      <c r="X5266" s="12">
        <f>IF(LEFT(I5266,2)="MV",2*N5266*IF(L5266="1/C",O5266,1),0)</f>
        <v/>
      </c>
      <c r="Y5266" s="12">
        <f>IF(OR(LEFT(K5266,4)="LVAX",LEFT(K5266,6)="MV15AX",LEFT(K5266,4)="CTAX",LEFT(K5266,2)="W|"),2*N5266*O5266,0)</f>
        <v/>
      </c>
      <c r="Z5266" s="12" t="inlineStr">
        <is>
          <t>VD 2.5 %</t>
        </is>
      </c>
      <c r="AA5266" s="12">
        <f>N5266*O5266</f>
        <v/>
      </c>
    </row>
    <row r="5267">
      <c r="A5267" s="12" t="inlineStr">
        <is>
          <t>I-P-0108</t>
        </is>
      </c>
      <c r="B5267" s="12" t="inlineStr">
        <is>
          <t>I</t>
        </is>
      </c>
      <c r="C5267" s="12" t="inlineStr">
        <is>
          <t>Modular / portable power</t>
        </is>
      </c>
      <c r="D5267" s="12" t="inlineStr">
        <is>
          <t>Area / platform lighting circuit 1 (6 fixtures)</t>
        </is>
      </c>
      <c r="E5267" s="12" t="inlineStr"/>
      <c r="F5267" s="12" t="inlineStr">
        <is>
          <t>PCM: power control module</t>
        </is>
      </c>
      <c r="G5267" s="12" t="inlineStr"/>
      <c r="H5267" s="12" t="inlineStr">
        <is>
          <t>RICE 1 SCR + oxidation catalyst and stack</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3</v>
      </c>
      <c r="R5267" s="12" t="n">
        <v>5</v>
      </c>
      <c r="S5267" s="12" t="inlineStr">
        <is>
          <t>Duct bank</t>
        </is>
      </c>
      <c r="T5267" s="15" t="n">
        <v>736</v>
      </c>
      <c r="U5267" s="15" t="n">
        <v>160</v>
      </c>
      <c r="V5267" s="15">
        <f>ROUNDUP((T5267+U5267+2*'Read Me'!$B$13)*(1+'Read Me'!$B$12),-1)</f>
        <v/>
      </c>
      <c r="W5267" s="15">
        <f>V5267*N5267*O5267</f>
        <v/>
      </c>
      <c r="X5267" s="12">
        <f>IF(LEFT(I5267,2)="MV",2*N5267*IF(L5267="1/C",O5267,1),0)</f>
        <v/>
      </c>
      <c r="Y5267" s="12">
        <f>IF(OR(LEFT(K5267,4)="LVAX",LEFT(K5267,6)="MV15AX",LEFT(K5267,4)="CTAX",LEFT(K5267,2)="W|"),2*N5267*O5267,0)</f>
        <v/>
      </c>
      <c r="Z5267" s="12" t="inlineStr">
        <is>
          <t>fixture-to-fixture run included</t>
        </is>
      </c>
      <c r="AA5267" s="12">
        <f>N5267*O5267</f>
        <v/>
      </c>
    </row>
    <row r="5268">
      <c r="A5268" s="12" t="inlineStr">
        <is>
          <t>I-P-0109</t>
        </is>
      </c>
      <c r="B5268" s="12" t="inlineStr">
        <is>
          <t>I</t>
        </is>
      </c>
      <c r="C5268" s="12" t="inlineStr">
        <is>
          <t>Modular / portable power</t>
        </is>
      </c>
      <c r="D5268" s="12" t="inlineStr">
        <is>
          <t>Motor 1 of 5, 30 kW (VFD output)</t>
        </is>
      </c>
      <c r="E5268" s="12" t="inlineStr"/>
      <c r="F5268" s="12" t="inlineStr">
        <is>
          <t>PCM: power control module</t>
        </is>
      </c>
      <c r="G5268" s="12" t="inlineStr"/>
      <c r="H5268" s="12" t="inlineStr">
        <is>
          <t>RICE 1 radiators (5)</t>
        </is>
      </c>
      <c r="I5268" s="12" t="inlineStr">
        <is>
          <t>LV 600 V</t>
        </is>
      </c>
      <c r="J5268" s="12" t="inlineStr">
        <is>
          <t>VFD cable 600 V 3/C Cu XHHW-2, 3 symmetrical grounds, overall Cu tape shield, TC-ER</t>
        </is>
      </c>
      <c r="K5268" s="12" t="inlineStr">
        <is>
          <t>VFD|3/C+3G|1</t>
        </is>
      </c>
      <c r="L5268" s="12" t="inlineStr">
        <is>
          <t>3/C+3G</t>
        </is>
      </c>
      <c r="M5268" s="12" t="inlineStr">
        <is>
          <t>1</t>
        </is>
      </c>
      <c r="N5268" s="12" t="n">
        <v>1</v>
      </c>
      <c r="O5268" s="12" t="n">
        <v>1</v>
      </c>
      <c r="P5268" s="12" t="n">
        <v>480</v>
      </c>
      <c r="Q5268" s="12" t="n">
        <v>30</v>
      </c>
      <c r="R5268" s="12" t="n">
        <v>42</v>
      </c>
      <c r="S5268" s="12" t="inlineStr">
        <is>
          <t>Duct bank</t>
        </is>
      </c>
      <c r="T5268" s="15" t="n">
        <v>791</v>
      </c>
      <c r="U5268" s="15" t="n">
        <v>139</v>
      </c>
      <c r="V5268" s="15">
        <f>ROUNDUP((T5268+U5268+2*'Read Me'!$B$13)*(1+'Read Me'!$B$12),-1)</f>
        <v/>
      </c>
      <c r="W5268" s="15">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I-P-0110</t>
        </is>
      </c>
      <c r="B5269" s="12" t="inlineStr">
        <is>
          <t>I</t>
        </is>
      </c>
      <c r="C5269" s="12" t="inlineStr">
        <is>
          <t>Modular / portable power</t>
        </is>
      </c>
      <c r="D5269" s="12" t="inlineStr">
        <is>
          <t>Motor 2 of 5, 30 kW (VFD output)</t>
        </is>
      </c>
      <c r="E5269" s="12" t="inlineStr"/>
      <c r="F5269" s="12" t="inlineStr">
        <is>
          <t>PCM: power control module</t>
        </is>
      </c>
      <c r="G5269" s="12" t="inlineStr"/>
      <c r="H5269" s="12" t="inlineStr">
        <is>
          <t>RICE 1 radiators (5)</t>
        </is>
      </c>
      <c r="I5269" s="12" t="inlineStr">
        <is>
          <t>LV 600 V</t>
        </is>
      </c>
      <c r="J5269" s="12" t="inlineStr">
        <is>
          <t>VFD cable 600 V 3/C Cu XHHW-2, 3 symmetrical grounds, overall Cu tape shield, TC-ER</t>
        </is>
      </c>
      <c r="K5269" s="12" t="inlineStr">
        <is>
          <t>VFD|3/C+3G|1</t>
        </is>
      </c>
      <c r="L5269" s="12" t="inlineStr">
        <is>
          <t>3/C+3G</t>
        </is>
      </c>
      <c r="M5269" s="12" t="inlineStr">
        <is>
          <t>1</t>
        </is>
      </c>
      <c r="N5269" s="12" t="n">
        <v>1</v>
      </c>
      <c r="O5269" s="12" t="n">
        <v>1</v>
      </c>
      <c r="P5269" s="12" t="n">
        <v>480</v>
      </c>
      <c r="Q5269" s="12" t="n">
        <v>30</v>
      </c>
      <c r="R5269" s="12" t="n">
        <v>42</v>
      </c>
      <c r="S5269" s="12" t="inlineStr">
        <is>
          <t>Duct bank</t>
        </is>
      </c>
      <c r="T5269" s="15" t="n">
        <v>791</v>
      </c>
      <c r="U5269" s="15" t="n">
        <v>139</v>
      </c>
      <c r="V5269" s="15">
        <f>ROUNDUP((T5269+U5269+2*'Read Me'!$B$13)*(1+'Read Me'!$B$12),-1)</f>
        <v/>
      </c>
      <c r="W5269" s="15">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I-P-0111</t>
        </is>
      </c>
      <c r="B5270" s="12" t="inlineStr">
        <is>
          <t>I</t>
        </is>
      </c>
      <c r="C5270" s="12" t="inlineStr">
        <is>
          <t>Modular / portable power</t>
        </is>
      </c>
      <c r="D5270" s="12" t="inlineStr">
        <is>
          <t>Motor 3 of 5, 30 kW (VFD output)</t>
        </is>
      </c>
      <c r="E5270" s="12" t="inlineStr"/>
      <c r="F5270" s="12" t="inlineStr">
        <is>
          <t>PCM: power control module</t>
        </is>
      </c>
      <c r="G5270" s="12" t="inlineStr"/>
      <c r="H5270" s="12" t="inlineStr">
        <is>
          <t>RICE 1 radiators (5)</t>
        </is>
      </c>
      <c r="I5270" s="12" t="inlineStr">
        <is>
          <t>LV 600 V</t>
        </is>
      </c>
      <c r="J5270" s="12" t="inlineStr">
        <is>
          <t>VFD cable 600 V 3/C Cu XHHW-2, 3 symmetrical grounds, overall Cu tape shield, TC-ER</t>
        </is>
      </c>
      <c r="K5270" s="12" t="inlineStr">
        <is>
          <t>VFD|3/C+3G|1</t>
        </is>
      </c>
      <c r="L5270" s="12" t="inlineStr">
        <is>
          <t>3/C+3G</t>
        </is>
      </c>
      <c r="M5270" s="12" t="inlineStr">
        <is>
          <t>1</t>
        </is>
      </c>
      <c r="N5270" s="12" t="n">
        <v>1</v>
      </c>
      <c r="O5270" s="12" t="n">
        <v>1</v>
      </c>
      <c r="P5270" s="12" t="n">
        <v>480</v>
      </c>
      <c r="Q5270" s="12" t="n">
        <v>30</v>
      </c>
      <c r="R5270" s="12" t="n">
        <v>42</v>
      </c>
      <c r="S5270" s="12" t="inlineStr">
        <is>
          <t>Duct bank</t>
        </is>
      </c>
      <c r="T5270" s="15" t="n">
        <v>791</v>
      </c>
      <c r="U5270" s="15" t="n">
        <v>139</v>
      </c>
      <c r="V5270" s="15">
        <f>ROUNDUP((T5270+U5270+2*'Read Me'!$B$13)*(1+'Read Me'!$B$12),-1)</f>
        <v/>
      </c>
      <c r="W5270" s="15">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I-P-0112</t>
        </is>
      </c>
      <c r="B5271" s="12" t="inlineStr">
        <is>
          <t>I</t>
        </is>
      </c>
      <c r="C5271" s="12" t="inlineStr">
        <is>
          <t>Modular / portable power</t>
        </is>
      </c>
      <c r="D5271" s="12" t="inlineStr">
        <is>
          <t>Motor 4 of 5, 30 kW (VFD output)</t>
        </is>
      </c>
      <c r="E5271" s="12" t="inlineStr"/>
      <c r="F5271" s="12" t="inlineStr">
        <is>
          <t>PCM: power control module</t>
        </is>
      </c>
      <c r="G5271" s="12" t="inlineStr"/>
      <c r="H5271" s="12" t="inlineStr">
        <is>
          <t>RICE 1 radiators (5)</t>
        </is>
      </c>
      <c r="I5271" s="12" t="inlineStr">
        <is>
          <t>LV 600 V</t>
        </is>
      </c>
      <c r="J5271" s="12" t="inlineStr">
        <is>
          <t>VFD cable 600 V 3/C Cu XHHW-2, 3 symmetrical grounds, overall Cu tape shield, TC-ER</t>
        </is>
      </c>
      <c r="K5271" s="12" t="inlineStr">
        <is>
          <t>VFD|3/C+3G|1</t>
        </is>
      </c>
      <c r="L5271" s="12" t="inlineStr">
        <is>
          <t>3/C+3G</t>
        </is>
      </c>
      <c r="M5271" s="12" t="inlineStr">
        <is>
          <t>1</t>
        </is>
      </c>
      <c r="N5271" s="12" t="n">
        <v>1</v>
      </c>
      <c r="O5271" s="12" t="n">
        <v>1</v>
      </c>
      <c r="P5271" s="12" t="n">
        <v>480</v>
      </c>
      <c r="Q5271" s="12" t="n">
        <v>30</v>
      </c>
      <c r="R5271" s="12" t="n">
        <v>42</v>
      </c>
      <c r="S5271" s="12" t="inlineStr">
        <is>
          <t>Duct bank</t>
        </is>
      </c>
      <c r="T5271" s="15" t="n">
        <v>791</v>
      </c>
      <c r="U5271" s="15" t="n">
        <v>139</v>
      </c>
      <c r="V5271" s="15">
        <f>ROUNDUP((T5271+U5271+2*'Read Me'!$B$13)*(1+'Read Me'!$B$12),-1)</f>
        <v/>
      </c>
      <c r="W5271" s="15">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I-P-0113</t>
        </is>
      </c>
      <c r="B5272" s="12" t="inlineStr">
        <is>
          <t>I</t>
        </is>
      </c>
      <c r="C5272" s="12" t="inlineStr">
        <is>
          <t>Modular / portable power</t>
        </is>
      </c>
      <c r="D5272" s="12" t="inlineStr">
        <is>
          <t>Motor 5 of 5, 30 kW (VFD output)</t>
        </is>
      </c>
      <c r="E5272" s="12" t="inlineStr"/>
      <c r="F5272" s="12" t="inlineStr">
        <is>
          <t>PCM: power control module</t>
        </is>
      </c>
      <c r="G5272" s="12" t="inlineStr"/>
      <c r="H5272" s="12" t="inlineStr">
        <is>
          <t>RICE 1 radiators (5)</t>
        </is>
      </c>
      <c r="I5272" s="12" t="inlineStr">
        <is>
          <t>LV 600 V</t>
        </is>
      </c>
      <c r="J5272" s="12" t="inlineStr">
        <is>
          <t>VFD cable 600 V 3/C Cu XHHW-2, 3 symmetrical grounds, overall Cu tape shield, TC-ER</t>
        </is>
      </c>
      <c r="K5272" s="12" t="inlineStr">
        <is>
          <t>VFD|3/C+3G|1</t>
        </is>
      </c>
      <c r="L5272" s="12" t="inlineStr">
        <is>
          <t>3/C+3G</t>
        </is>
      </c>
      <c r="M5272" s="12" t="inlineStr">
        <is>
          <t>1</t>
        </is>
      </c>
      <c r="N5272" s="12" t="n">
        <v>1</v>
      </c>
      <c r="O5272" s="12" t="n">
        <v>1</v>
      </c>
      <c r="P5272" s="12" t="n">
        <v>480</v>
      </c>
      <c r="Q5272" s="12" t="n">
        <v>30</v>
      </c>
      <c r="R5272" s="12" t="n">
        <v>42</v>
      </c>
      <c r="S5272" s="12" t="inlineStr">
        <is>
          <t>Duct bank</t>
        </is>
      </c>
      <c r="T5272" s="15" t="n">
        <v>791</v>
      </c>
      <c r="U5272" s="15" t="n">
        <v>139</v>
      </c>
      <c r="V5272" s="15">
        <f>ROUNDUP((T5272+U5272+2*'Read Me'!$B$13)*(1+'Read Me'!$B$12),-1)</f>
        <v/>
      </c>
      <c r="W5272" s="15">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I-P-0114</t>
        </is>
      </c>
      <c r="B5273" s="12" t="inlineStr">
        <is>
          <t>I</t>
        </is>
      </c>
      <c r="C5273" s="12" t="inlineStr">
        <is>
          <t>Modular / portable power</t>
        </is>
      </c>
      <c r="D5273" s="12" t="inlineStr">
        <is>
          <t>Motor 1 of 1, 15 kW</t>
        </is>
      </c>
      <c r="E5273" s="12" t="inlineStr"/>
      <c r="F5273" s="12" t="inlineStr">
        <is>
          <t>PCM: power control module</t>
        </is>
      </c>
      <c r="G5273" s="12" t="inlineStr"/>
      <c r="H5273" s="12" t="inlineStr">
        <is>
          <t>RICE 2 SCR + oxidation catalyst and stack</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15</v>
      </c>
      <c r="R5273" s="12" t="n">
        <v>21.2</v>
      </c>
      <c r="S5273" s="12" t="inlineStr">
        <is>
          <t>Duct bank</t>
        </is>
      </c>
      <c r="T5273" s="15" t="n">
        <v>436</v>
      </c>
      <c r="U5273" s="15" t="n">
        <v>132</v>
      </c>
      <c r="V5273" s="15">
        <f>ROUNDUP((T5273+U5273+2*'Read Me'!$B$13)*(1+'Read Me'!$B$12),-1)</f>
        <v/>
      </c>
      <c r="W5273" s="15">
        <f>V5273*N5273*O5273</f>
        <v/>
      </c>
      <c r="X5273" s="12">
        <f>IF(LEFT(I5273,2)="MV",2*N5273*IF(L5273="1/C",O5273,1),0)</f>
        <v/>
      </c>
      <c r="Y5273" s="12">
        <f>IF(OR(LEFT(K5273,4)="LVAX",LEFT(K5273,6)="MV15AX",LEFT(K5273,4)="CTAX",LEFT(K5273,2)="W|"),2*N5273*O5273,0)</f>
        <v/>
      </c>
      <c r="Z5273" s="12" t="inlineStr">
        <is>
          <t>VD 2.3 %</t>
        </is>
      </c>
      <c r="AA5273" s="12">
        <f>N5273*O5273</f>
        <v/>
      </c>
    </row>
    <row r="5274">
      <c r="A5274" s="12" t="inlineStr">
        <is>
          <t>I-P-0115</t>
        </is>
      </c>
      <c r="B5274" s="12" t="inlineStr">
        <is>
          <t>I</t>
        </is>
      </c>
      <c r="C5274" s="12" t="inlineStr">
        <is>
          <t>Modular / portable power</t>
        </is>
      </c>
      <c r="D5274" s="12" t="inlineStr">
        <is>
          <t>Area / platform lighting circuit 1 (6 fixtures)</t>
        </is>
      </c>
      <c r="E5274" s="12" t="inlineStr"/>
      <c r="F5274" s="12" t="inlineStr">
        <is>
          <t>PCM: power control module</t>
        </is>
      </c>
      <c r="G5274" s="12" t="inlineStr"/>
      <c r="H5274" s="12" t="inlineStr">
        <is>
          <t>RICE 2 SCR + oxidation catalyst and stack</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5" t="n">
        <v>736</v>
      </c>
      <c r="U5274" s="15" t="n">
        <v>132</v>
      </c>
      <c r="V5274" s="15">
        <f>ROUNDUP((T5274+U5274+2*'Read Me'!$B$13)*(1+'Read Me'!$B$12),-1)</f>
        <v/>
      </c>
      <c r="W5274" s="15">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I-P-0116</t>
        </is>
      </c>
      <c r="B5275" s="12" t="inlineStr">
        <is>
          <t>I</t>
        </is>
      </c>
      <c r="C5275" s="12" t="inlineStr">
        <is>
          <t>Modular / portable power</t>
        </is>
      </c>
      <c r="D5275" s="12" t="inlineStr">
        <is>
          <t>Motor 1 of 5, 30 kW (VFD output)</t>
        </is>
      </c>
      <c r="E5275" s="12" t="inlineStr"/>
      <c r="F5275" s="12" t="inlineStr">
        <is>
          <t>PCM: power control module</t>
        </is>
      </c>
      <c r="G5275" s="12" t="inlineStr"/>
      <c r="H5275" s="12" t="inlineStr">
        <is>
          <t>RICE 2 radiators (5)</t>
        </is>
      </c>
      <c r="I5275" s="12" t="inlineStr">
        <is>
          <t>LV 600 V</t>
        </is>
      </c>
      <c r="J5275" s="12" t="inlineStr">
        <is>
          <t>VFD cable 600 V 3/C Cu XHHW-2, 3 symmetrical grounds, overall Cu tape shield, TC-ER</t>
        </is>
      </c>
      <c r="K5275" s="12" t="inlineStr">
        <is>
          <t>VFD|3/C+3G|2</t>
        </is>
      </c>
      <c r="L5275" s="12" t="inlineStr">
        <is>
          <t>3/C+3G</t>
        </is>
      </c>
      <c r="M5275" s="12" t="inlineStr">
        <is>
          <t>2</t>
        </is>
      </c>
      <c r="N5275" s="12" t="n">
        <v>1</v>
      </c>
      <c r="O5275" s="12" t="n">
        <v>1</v>
      </c>
      <c r="P5275" s="12" t="n">
        <v>480</v>
      </c>
      <c r="Q5275" s="12" t="n">
        <v>30</v>
      </c>
      <c r="R5275" s="12" t="n">
        <v>42</v>
      </c>
      <c r="S5275" s="12" t="inlineStr">
        <is>
          <t>Duct bank</t>
        </is>
      </c>
      <c r="T5275" s="15" t="n">
        <v>596</v>
      </c>
      <c r="U5275" s="15" t="n">
        <v>192</v>
      </c>
      <c r="V5275" s="15">
        <f>ROUNDUP((T5275+U5275+2*'Read Me'!$B$13)*(1+'Read Me'!$B$12),-1)</f>
        <v/>
      </c>
      <c r="W5275" s="15">
        <f>V5275*N5275*O5275</f>
        <v/>
      </c>
      <c r="X5275" s="12">
        <f>IF(LEFT(I5275,2)="MV",2*N5275*IF(L5275="1/C",O5275,1),0)</f>
        <v/>
      </c>
      <c r="Y5275" s="12">
        <f>IF(OR(LEFT(K5275,4)="LVAX",LEFT(K5275,6)="MV15AX",LEFT(K5275,4)="CTAX",LEFT(K5275,2)="W|"),2*N5275*O5275,0)</f>
        <v/>
      </c>
      <c r="Z5275" s="12" t="inlineStr">
        <is>
          <t>VD 2.6 %</t>
        </is>
      </c>
      <c r="AA5275" s="12">
        <f>N5275*O5275</f>
        <v/>
      </c>
    </row>
    <row r="5276">
      <c r="A5276" s="12" t="inlineStr">
        <is>
          <t>I-P-0117</t>
        </is>
      </c>
      <c r="B5276" s="12" t="inlineStr">
        <is>
          <t>I</t>
        </is>
      </c>
      <c r="C5276" s="12" t="inlineStr">
        <is>
          <t>Modular / portable power</t>
        </is>
      </c>
      <c r="D5276" s="12" t="inlineStr">
        <is>
          <t>Motor 2 of 5, 30 kW (VFD output)</t>
        </is>
      </c>
      <c r="E5276" s="12" t="inlineStr"/>
      <c r="F5276" s="12" t="inlineStr">
        <is>
          <t>PCM: power control module</t>
        </is>
      </c>
      <c r="G5276" s="12" t="inlineStr"/>
      <c r="H5276" s="12" t="inlineStr">
        <is>
          <t>RICE 2 radiators (5)</t>
        </is>
      </c>
      <c r="I5276" s="12" t="inlineStr">
        <is>
          <t>LV 600 V</t>
        </is>
      </c>
      <c r="J5276" s="12" t="inlineStr">
        <is>
          <t>VFD cable 600 V 3/C Cu XHHW-2, 3 symmetrical grounds, overall Cu tape shield, TC-ER</t>
        </is>
      </c>
      <c r="K5276" s="12" t="inlineStr">
        <is>
          <t>VFD|3/C+3G|2</t>
        </is>
      </c>
      <c r="L5276" s="12" t="inlineStr">
        <is>
          <t>3/C+3G</t>
        </is>
      </c>
      <c r="M5276" s="12" t="inlineStr">
        <is>
          <t>2</t>
        </is>
      </c>
      <c r="N5276" s="12" t="n">
        <v>1</v>
      </c>
      <c r="O5276" s="12" t="n">
        <v>1</v>
      </c>
      <c r="P5276" s="12" t="n">
        <v>480</v>
      </c>
      <c r="Q5276" s="12" t="n">
        <v>30</v>
      </c>
      <c r="R5276" s="12" t="n">
        <v>42</v>
      </c>
      <c r="S5276" s="12" t="inlineStr">
        <is>
          <t>Duct bank</t>
        </is>
      </c>
      <c r="T5276" s="15" t="n">
        <v>596</v>
      </c>
      <c r="U5276" s="15" t="n">
        <v>192</v>
      </c>
      <c r="V5276" s="15">
        <f>ROUNDUP((T5276+U5276+2*'Read Me'!$B$13)*(1+'Read Me'!$B$12),-1)</f>
        <v/>
      </c>
      <c r="W5276" s="15">
        <f>V5276*N5276*O5276</f>
        <v/>
      </c>
      <c r="X5276" s="12">
        <f>IF(LEFT(I5276,2)="MV",2*N5276*IF(L5276="1/C",O5276,1),0)</f>
        <v/>
      </c>
      <c r="Y5276" s="12">
        <f>IF(OR(LEFT(K5276,4)="LVAX",LEFT(K5276,6)="MV15AX",LEFT(K5276,4)="CTAX",LEFT(K5276,2)="W|"),2*N5276*O5276,0)</f>
        <v/>
      </c>
      <c r="Z5276" s="12" t="inlineStr">
        <is>
          <t>VD 2.6 %</t>
        </is>
      </c>
      <c r="AA5276" s="12">
        <f>N5276*O5276</f>
        <v/>
      </c>
    </row>
    <row r="5277">
      <c r="A5277" s="12" t="inlineStr">
        <is>
          <t>I-P-0118</t>
        </is>
      </c>
      <c r="B5277" s="12" t="inlineStr">
        <is>
          <t>I</t>
        </is>
      </c>
      <c r="C5277" s="12" t="inlineStr">
        <is>
          <t>Modular / portable power</t>
        </is>
      </c>
      <c r="D5277" s="12" t="inlineStr">
        <is>
          <t>Motor 3 of 5, 30 kW (VFD output)</t>
        </is>
      </c>
      <c r="E5277" s="12" t="inlineStr"/>
      <c r="F5277" s="12" t="inlineStr">
        <is>
          <t>PCM: power control module</t>
        </is>
      </c>
      <c r="G5277" s="12" t="inlineStr"/>
      <c r="H5277" s="12" t="inlineStr">
        <is>
          <t>RICE 2 radiators (5)</t>
        </is>
      </c>
      <c r="I5277" s="12" t="inlineStr">
        <is>
          <t>LV 600 V</t>
        </is>
      </c>
      <c r="J5277" s="12" t="inlineStr">
        <is>
          <t>VFD cable 600 V 3/C Cu XHHW-2, 3 symmetrical grounds, overall Cu tape shield, TC-ER</t>
        </is>
      </c>
      <c r="K5277" s="12" t="inlineStr">
        <is>
          <t>VFD|3/C+3G|2</t>
        </is>
      </c>
      <c r="L5277" s="12" t="inlineStr">
        <is>
          <t>3/C+3G</t>
        </is>
      </c>
      <c r="M5277" s="12" t="inlineStr">
        <is>
          <t>2</t>
        </is>
      </c>
      <c r="N5277" s="12" t="n">
        <v>1</v>
      </c>
      <c r="O5277" s="12" t="n">
        <v>1</v>
      </c>
      <c r="P5277" s="12" t="n">
        <v>480</v>
      </c>
      <c r="Q5277" s="12" t="n">
        <v>30</v>
      </c>
      <c r="R5277" s="12" t="n">
        <v>42</v>
      </c>
      <c r="S5277" s="12" t="inlineStr">
        <is>
          <t>Duct bank</t>
        </is>
      </c>
      <c r="T5277" s="15" t="n">
        <v>596</v>
      </c>
      <c r="U5277" s="15" t="n">
        <v>192</v>
      </c>
      <c r="V5277" s="15">
        <f>ROUNDUP((T5277+U5277+2*'Read Me'!$B$13)*(1+'Read Me'!$B$12),-1)</f>
        <v/>
      </c>
      <c r="W5277" s="15">
        <f>V5277*N5277*O5277</f>
        <v/>
      </c>
      <c r="X5277" s="12">
        <f>IF(LEFT(I5277,2)="MV",2*N5277*IF(L5277="1/C",O5277,1),0)</f>
        <v/>
      </c>
      <c r="Y5277" s="12">
        <f>IF(OR(LEFT(K5277,4)="LVAX",LEFT(K5277,6)="MV15AX",LEFT(K5277,4)="CTAX",LEFT(K5277,2)="W|"),2*N5277*O5277,0)</f>
        <v/>
      </c>
      <c r="Z5277" s="12" t="inlineStr">
        <is>
          <t>VD 2.6 %</t>
        </is>
      </c>
      <c r="AA5277" s="12">
        <f>N5277*O5277</f>
        <v/>
      </c>
    </row>
    <row r="5278">
      <c r="A5278" s="12" t="inlineStr">
        <is>
          <t>I-P-0119</t>
        </is>
      </c>
      <c r="B5278" s="12" t="inlineStr">
        <is>
          <t>I</t>
        </is>
      </c>
      <c r="C5278" s="12" t="inlineStr">
        <is>
          <t>Modular / portable power</t>
        </is>
      </c>
      <c r="D5278" s="12" t="inlineStr">
        <is>
          <t>Motor 4 of 5, 30 kW (VFD output)</t>
        </is>
      </c>
      <c r="E5278" s="12" t="inlineStr"/>
      <c r="F5278" s="12" t="inlineStr">
        <is>
          <t>PCM: power control module</t>
        </is>
      </c>
      <c r="G5278" s="12" t="inlineStr"/>
      <c r="H5278" s="12" t="inlineStr">
        <is>
          <t>RICE 2 radiators (5)</t>
        </is>
      </c>
      <c r="I5278" s="12" t="inlineStr">
        <is>
          <t>LV 600 V</t>
        </is>
      </c>
      <c r="J5278" s="12" t="inlineStr">
        <is>
          <t>VFD cable 600 V 3/C Cu XHHW-2, 3 symmetrical grounds, overall Cu tape shield, TC-ER</t>
        </is>
      </c>
      <c r="K5278" s="12" t="inlineStr">
        <is>
          <t>VFD|3/C+3G|2</t>
        </is>
      </c>
      <c r="L5278" s="12" t="inlineStr">
        <is>
          <t>3/C+3G</t>
        </is>
      </c>
      <c r="M5278" s="12" t="inlineStr">
        <is>
          <t>2</t>
        </is>
      </c>
      <c r="N5278" s="12" t="n">
        <v>1</v>
      </c>
      <c r="O5278" s="12" t="n">
        <v>1</v>
      </c>
      <c r="P5278" s="12" t="n">
        <v>480</v>
      </c>
      <c r="Q5278" s="12" t="n">
        <v>30</v>
      </c>
      <c r="R5278" s="12" t="n">
        <v>42</v>
      </c>
      <c r="S5278" s="12" t="inlineStr">
        <is>
          <t>Duct bank</t>
        </is>
      </c>
      <c r="T5278" s="15" t="n">
        <v>596</v>
      </c>
      <c r="U5278" s="15" t="n">
        <v>192</v>
      </c>
      <c r="V5278" s="15">
        <f>ROUNDUP((T5278+U5278+2*'Read Me'!$B$13)*(1+'Read Me'!$B$12),-1)</f>
        <v/>
      </c>
      <c r="W5278" s="15">
        <f>V5278*N5278*O5278</f>
        <v/>
      </c>
      <c r="X5278" s="12">
        <f>IF(LEFT(I5278,2)="MV",2*N5278*IF(L5278="1/C",O5278,1),0)</f>
        <v/>
      </c>
      <c r="Y5278" s="12">
        <f>IF(OR(LEFT(K5278,4)="LVAX",LEFT(K5278,6)="MV15AX",LEFT(K5278,4)="CTAX",LEFT(K5278,2)="W|"),2*N5278*O5278,0)</f>
        <v/>
      </c>
      <c r="Z5278" s="12" t="inlineStr">
        <is>
          <t>VD 2.6 %</t>
        </is>
      </c>
      <c r="AA5278" s="12">
        <f>N5278*O5278</f>
        <v/>
      </c>
    </row>
    <row r="5279">
      <c r="A5279" s="12" t="inlineStr">
        <is>
          <t>I-P-0120</t>
        </is>
      </c>
      <c r="B5279" s="12" t="inlineStr">
        <is>
          <t>I</t>
        </is>
      </c>
      <c r="C5279" s="12" t="inlineStr">
        <is>
          <t>Modular / portable power</t>
        </is>
      </c>
      <c r="D5279" s="12" t="inlineStr">
        <is>
          <t>Motor 5 of 5, 30 kW (VFD output)</t>
        </is>
      </c>
      <c r="E5279" s="12" t="inlineStr"/>
      <c r="F5279" s="12" t="inlineStr">
        <is>
          <t>PCM: power control module</t>
        </is>
      </c>
      <c r="G5279" s="12" t="inlineStr"/>
      <c r="H5279" s="12" t="inlineStr">
        <is>
          <t>RICE 2 radiators (5)</t>
        </is>
      </c>
      <c r="I5279" s="12" t="inlineStr">
        <is>
          <t>LV 600 V</t>
        </is>
      </c>
      <c r="J5279" s="12" t="inlineStr">
        <is>
          <t>VFD cable 600 V 3/C Cu XHHW-2, 3 symmetrical grounds, overall Cu tape shield, TC-ER</t>
        </is>
      </c>
      <c r="K5279" s="12" t="inlineStr">
        <is>
          <t>VFD|3/C+3G|2</t>
        </is>
      </c>
      <c r="L5279" s="12" t="inlineStr">
        <is>
          <t>3/C+3G</t>
        </is>
      </c>
      <c r="M5279" s="12" t="inlineStr">
        <is>
          <t>2</t>
        </is>
      </c>
      <c r="N5279" s="12" t="n">
        <v>1</v>
      </c>
      <c r="O5279" s="12" t="n">
        <v>1</v>
      </c>
      <c r="P5279" s="12" t="n">
        <v>480</v>
      </c>
      <c r="Q5279" s="12" t="n">
        <v>30</v>
      </c>
      <c r="R5279" s="12" t="n">
        <v>42</v>
      </c>
      <c r="S5279" s="12" t="inlineStr">
        <is>
          <t>Duct bank</t>
        </is>
      </c>
      <c r="T5279" s="15" t="n">
        <v>596</v>
      </c>
      <c r="U5279" s="15" t="n">
        <v>192</v>
      </c>
      <c r="V5279" s="15">
        <f>ROUNDUP((T5279+U5279+2*'Read Me'!$B$13)*(1+'Read Me'!$B$12),-1)</f>
        <v/>
      </c>
      <c r="W5279" s="15">
        <f>V5279*N5279*O5279</f>
        <v/>
      </c>
      <c r="X5279" s="12">
        <f>IF(LEFT(I5279,2)="MV",2*N5279*IF(L5279="1/C",O5279,1),0)</f>
        <v/>
      </c>
      <c r="Y5279" s="12">
        <f>IF(OR(LEFT(K5279,4)="LVAX",LEFT(K5279,6)="MV15AX",LEFT(K5279,4)="CTAX",LEFT(K5279,2)="W|"),2*N5279*O5279,0)</f>
        <v/>
      </c>
      <c r="Z5279" s="12" t="inlineStr">
        <is>
          <t>VD 2.6 %</t>
        </is>
      </c>
      <c r="AA5279" s="12">
        <f>N5279*O5279</f>
        <v/>
      </c>
    </row>
    <row r="5280">
      <c r="A5280" s="12" t="inlineStr">
        <is>
          <t>I-P-0121</t>
        </is>
      </c>
      <c r="B5280" s="12" t="inlineStr">
        <is>
          <t>I</t>
        </is>
      </c>
      <c r="C5280" s="12" t="inlineStr">
        <is>
          <t>Modular / portable power</t>
        </is>
      </c>
      <c r="D5280" s="12" t="inlineStr">
        <is>
          <t>Motor 1 of 1, 15 kW</t>
        </is>
      </c>
      <c r="E5280" s="12" t="inlineStr"/>
      <c r="F5280" s="12" t="inlineStr">
        <is>
          <t>PCM: power control module</t>
        </is>
      </c>
      <c r="G5280" s="12" t="inlineStr"/>
      <c r="H5280" s="12" t="inlineStr">
        <is>
          <t>RICE 3 SCR + oxidation catalyst and stack</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15</v>
      </c>
      <c r="R5280" s="12" t="n">
        <v>21.2</v>
      </c>
      <c r="S5280" s="12" t="inlineStr">
        <is>
          <t>Duct bank</t>
        </is>
      </c>
      <c r="T5280" s="15" t="n">
        <v>436</v>
      </c>
      <c r="U5280" s="15" t="n">
        <v>104</v>
      </c>
      <c r="V5280" s="15">
        <f>ROUNDUP((T5280+U5280+2*'Read Me'!$B$13)*(1+'Read Me'!$B$12),-1)</f>
        <v/>
      </c>
      <c r="W5280" s="15">
        <f>V5280*N5280*O5280</f>
        <v/>
      </c>
      <c r="X5280" s="12">
        <f>IF(LEFT(I5280,2)="MV",2*N5280*IF(L5280="1/C",O5280,1),0)</f>
        <v/>
      </c>
      <c r="Y5280" s="12">
        <f>IF(OR(LEFT(K5280,4)="LVAX",LEFT(K5280,6)="MV15AX",LEFT(K5280,4)="CTAX",LEFT(K5280,2)="W|"),2*N5280*O5280,0)</f>
        <v/>
      </c>
      <c r="Z5280" s="12" t="inlineStr">
        <is>
          <t>VD 2.2 %</t>
        </is>
      </c>
      <c r="AA5280" s="12">
        <f>N5280*O5280</f>
        <v/>
      </c>
    </row>
    <row r="5281">
      <c r="A5281" s="12" t="inlineStr">
        <is>
          <t>I-P-0122</t>
        </is>
      </c>
      <c r="B5281" s="12" t="inlineStr">
        <is>
          <t>I</t>
        </is>
      </c>
      <c r="C5281" s="12" t="inlineStr">
        <is>
          <t>Modular / portable power</t>
        </is>
      </c>
      <c r="D5281" s="12" t="inlineStr">
        <is>
          <t>Area / platform lighting circuit 1 (6 fixtures)</t>
        </is>
      </c>
      <c r="E5281" s="12" t="inlineStr"/>
      <c r="F5281" s="12" t="inlineStr">
        <is>
          <t>PCM: power control module</t>
        </is>
      </c>
      <c r="G5281" s="12" t="inlineStr"/>
      <c r="H5281" s="12" t="inlineStr">
        <is>
          <t>RICE 3 SCR + oxidation catalyst and stack</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3</v>
      </c>
      <c r="R5281" s="12" t="n">
        <v>5</v>
      </c>
      <c r="S5281" s="12" t="inlineStr">
        <is>
          <t>Duct bank</t>
        </is>
      </c>
      <c r="T5281" s="15" t="n">
        <v>736</v>
      </c>
      <c r="U5281" s="15" t="n">
        <v>104</v>
      </c>
      <c r="V5281" s="15">
        <f>ROUNDUP((T5281+U5281+2*'Read Me'!$B$13)*(1+'Read Me'!$B$12),-1)</f>
        <v/>
      </c>
      <c r="W5281" s="15">
        <f>V5281*N5281*O5281</f>
        <v/>
      </c>
      <c r="X5281" s="12">
        <f>IF(LEFT(I5281,2)="MV",2*N5281*IF(L5281="1/C",O5281,1),0)</f>
        <v/>
      </c>
      <c r="Y5281" s="12">
        <f>IF(OR(LEFT(K5281,4)="LVAX",LEFT(K5281,6)="MV15AX",LEFT(K5281,4)="CTAX",LEFT(K5281,2)="W|"),2*N5281*O5281,0)</f>
        <v/>
      </c>
      <c r="Z5281" s="12" t="inlineStr">
        <is>
          <t>fixture-to-fixture run included</t>
        </is>
      </c>
      <c r="AA5281" s="12">
        <f>N5281*O5281</f>
        <v/>
      </c>
    </row>
    <row r="5282">
      <c r="A5282" s="12" t="inlineStr">
        <is>
          <t>I-P-0123</t>
        </is>
      </c>
      <c r="B5282" s="12" t="inlineStr">
        <is>
          <t>I</t>
        </is>
      </c>
      <c r="C5282" s="12" t="inlineStr">
        <is>
          <t>Modular / portable power</t>
        </is>
      </c>
      <c r="D5282" s="12" t="inlineStr">
        <is>
          <t>Motor 1 of 5, 30 kW (VFD output)</t>
        </is>
      </c>
      <c r="E5282" s="12" t="inlineStr"/>
      <c r="F5282" s="12" t="inlineStr">
        <is>
          <t>PCM: power control module</t>
        </is>
      </c>
      <c r="G5282" s="12" t="inlineStr"/>
      <c r="H5282" s="12" t="inlineStr">
        <is>
          <t>RICE 3 radiators (5)</t>
        </is>
      </c>
      <c r="I5282" s="12" t="inlineStr">
        <is>
          <t>LV 600 V</t>
        </is>
      </c>
      <c r="J5282" s="12" t="inlineStr">
        <is>
          <t>VFD cable 600 V 3/C Cu XHHW-2, 3 symmetrical grounds, overall Cu tape shield, TC-ER</t>
        </is>
      </c>
      <c r="K5282" s="12" t="inlineStr">
        <is>
          <t>VFD|3/C+3G|2</t>
        </is>
      </c>
      <c r="L5282" s="12" t="inlineStr">
        <is>
          <t>3/C+3G</t>
        </is>
      </c>
      <c r="M5282" s="12" t="inlineStr">
        <is>
          <t>2</t>
        </is>
      </c>
      <c r="N5282" s="12" t="n">
        <v>1</v>
      </c>
      <c r="O5282" s="12" t="n">
        <v>1</v>
      </c>
      <c r="P5282" s="12" t="n">
        <v>480</v>
      </c>
      <c r="Q5282" s="12" t="n">
        <v>30</v>
      </c>
      <c r="R5282" s="12" t="n">
        <v>42</v>
      </c>
      <c r="S5282" s="12" t="inlineStr">
        <is>
          <t>Duct bank</t>
        </is>
      </c>
      <c r="T5282" s="15" t="n">
        <v>424</v>
      </c>
      <c r="U5282" s="15" t="n">
        <v>240</v>
      </c>
      <c r="V5282" s="15">
        <f>ROUNDUP((T5282+U5282+2*'Read Me'!$B$13)*(1+'Read Me'!$B$12),-1)</f>
        <v/>
      </c>
      <c r="W5282" s="15">
        <f>V5282*N5282*O5282</f>
        <v/>
      </c>
      <c r="X5282" s="12">
        <f>IF(LEFT(I5282,2)="MV",2*N5282*IF(L5282="1/C",O5282,1),0)</f>
        <v/>
      </c>
      <c r="Y5282" s="12">
        <f>IF(OR(LEFT(K5282,4)="LVAX",LEFT(K5282,6)="MV15AX",LEFT(K5282,4)="CTAX",LEFT(K5282,2)="W|"),2*N5282*O5282,0)</f>
        <v/>
      </c>
      <c r="Z5282" s="12" t="inlineStr">
        <is>
          <t>VD 2.2 %</t>
        </is>
      </c>
      <c r="AA5282" s="12">
        <f>N5282*O5282</f>
        <v/>
      </c>
    </row>
    <row r="5283">
      <c r="A5283" s="12" t="inlineStr">
        <is>
          <t>I-P-0124</t>
        </is>
      </c>
      <c r="B5283" s="12" t="inlineStr">
        <is>
          <t>I</t>
        </is>
      </c>
      <c r="C5283" s="12" t="inlineStr">
        <is>
          <t>Modular / portable power</t>
        </is>
      </c>
      <c r="D5283" s="12" t="inlineStr">
        <is>
          <t>Motor 2 of 5, 30 kW (VFD output)</t>
        </is>
      </c>
      <c r="E5283" s="12" t="inlineStr"/>
      <c r="F5283" s="12" t="inlineStr">
        <is>
          <t>PCM: power control module</t>
        </is>
      </c>
      <c r="G5283" s="12" t="inlineStr"/>
      <c r="H5283" s="12" t="inlineStr">
        <is>
          <t>RICE 3 radiators (5)</t>
        </is>
      </c>
      <c r="I5283" s="12" t="inlineStr">
        <is>
          <t>LV 600 V</t>
        </is>
      </c>
      <c r="J5283" s="12" t="inlineStr">
        <is>
          <t>VFD cable 600 V 3/C Cu XHHW-2, 3 symmetrical grounds, overall Cu tape shield, TC-ER</t>
        </is>
      </c>
      <c r="K5283" s="12" t="inlineStr">
        <is>
          <t>VFD|3/C+3G|2</t>
        </is>
      </c>
      <c r="L5283" s="12" t="inlineStr">
        <is>
          <t>3/C+3G</t>
        </is>
      </c>
      <c r="M5283" s="12" t="inlineStr">
        <is>
          <t>2</t>
        </is>
      </c>
      <c r="N5283" s="12" t="n">
        <v>1</v>
      </c>
      <c r="O5283" s="12" t="n">
        <v>1</v>
      </c>
      <c r="P5283" s="12" t="n">
        <v>480</v>
      </c>
      <c r="Q5283" s="12" t="n">
        <v>30</v>
      </c>
      <c r="R5283" s="12" t="n">
        <v>42</v>
      </c>
      <c r="S5283" s="12" t="inlineStr">
        <is>
          <t>Duct bank</t>
        </is>
      </c>
      <c r="T5283" s="15" t="n">
        <v>424</v>
      </c>
      <c r="U5283" s="15" t="n">
        <v>240</v>
      </c>
      <c r="V5283" s="15">
        <f>ROUNDUP((T5283+U5283+2*'Read Me'!$B$13)*(1+'Read Me'!$B$12),-1)</f>
        <v/>
      </c>
      <c r="W5283" s="15">
        <f>V5283*N5283*O5283</f>
        <v/>
      </c>
      <c r="X5283" s="12">
        <f>IF(LEFT(I5283,2)="MV",2*N5283*IF(L5283="1/C",O5283,1),0)</f>
        <v/>
      </c>
      <c r="Y5283" s="12">
        <f>IF(OR(LEFT(K5283,4)="LVAX",LEFT(K5283,6)="MV15AX",LEFT(K5283,4)="CTAX",LEFT(K5283,2)="W|"),2*N5283*O5283,0)</f>
        <v/>
      </c>
      <c r="Z5283" s="12" t="inlineStr">
        <is>
          <t>VD 2.2 %</t>
        </is>
      </c>
      <c r="AA5283" s="12">
        <f>N5283*O5283</f>
        <v/>
      </c>
    </row>
    <row r="5284">
      <c r="A5284" s="12" t="inlineStr">
        <is>
          <t>I-P-0125</t>
        </is>
      </c>
      <c r="B5284" s="12" t="inlineStr">
        <is>
          <t>I</t>
        </is>
      </c>
      <c r="C5284" s="12" t="inlineStr">
        <is>
          <t>Modular / portable power</t>
        </is>
      </c>
      <c r="D5284" s="12" t="inlineStr">
        <is>
          <t>Motor 3 of 5, 30 kW (VFD output)</t>
        </is>
      </c>
      <c r="E5284" s="12" t="inlineStr"/>
      <c r="F5284" s="12" t="inlineStr">
        <is>
          <t>PCM: power control module</t>
        </is>
      </c>
      <c r="G5284" s="12" t="inlineStr"/>
      <c r="H5284" s="12" t="inlineStr">
        <is>
          <t>RICE 3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424</v>
      </c>
      <c r="U5284" s="15" t="n">
        <v>240</v>
      </c>
      <c r="V5284" s="15">
        <f>ROUNDUP((T5284+U5284+2*'Read Me'!$B$13)*(1+'Read Me'!$B$12),-1)</f>
        <v/>
      </c>
      <c r="W5284" s="15">
        <f>V5284*N5284*O5284</f>
        <v/>
      </c>
      <c r="X5284" s="12">
        <f>IF(LEFT(I5284,2)="MV",2*N5284*IF(L5284="1/C",O5284,1),0)</f>
        <v/>
      </c>
      <c r="Y5284" s="12">
        <f>IF(OR(LEFT(K5284,4)="LVAX",LEFT(K5284,6)="MV15AX",LEFT(K5284,4)="CTAX",LEFT(K5284,2)="W|"),2*N5284*O5284,0)</f>
        <v/>
      </c>
      <c r="Z5284" s="12" t="inlineStr">
        <is>
          <t>VD 2.2 %</t>
        </is>
      </c>
      <c r="AA5284" s="12">
        <f>N5284*O5284</f>
        <v/>
      </c>
    </row>
    <row r="5285">
      <c r="A5285" s="12" t="inlineStr">
        <is>
          <t>I-P-0126</t>
        </is>
      </c>
      <c r="B5285" s="12" t="inlineStr">
        <is>
          <t>I</t>
        </is>
      </c>
      <c r="C5285" s="12" t="inlineStr">
        <is>
          <t>Modular / portable power</t>
        </is>
      </c>
      <c r="D5285" s="12" t="inlineStr">
        <is>
          <t>Motor 4 of 5, 30 kW (VFD output)</t>
        </is>
      </c>
      <c r="E5285" s="12" t="inlineStr"/>
      <c r="F5285" s="12" t="inlineStr">
        <is>
          <t>PCM: power control module</t>
        </is>
      </c>
      <c r="G5285" s="12" t="inlineStr"/>
      <c r="H5285" s="12" t="inlineStr">
        <is>
          <t>RICE 3 radiators (5)</t>
        </is>
      </c>
      <c r="I5285" s="12" t="inlineStr">
        <is>
          <t>LV 600 V</t>
        </is>
      </c>
      <c r="J5285" s="12" t="inlineStr">
        <is>
          <t>VFD cable 600 V 3/C Cu XHHW-2, 3 symmetrical grounds, overall Cu tape shield, TC-ER</t>
        </is>
      </c>
      <c r="K5285" s="12" t="inlineStr">
        <is>
          <t>VFD|3/C+3G|2</t>
        </is>
      </c>
      <c r="L5285" s="12" t="inlineStr">
        <is>
          <t>3/C+3G</t>
        </is>
      </c>
      <c r="M5285" s="12" t="inlineStr">
        <is>
          <t>2</t>
        </is>
      </c>
      <c r="N5285" s="12" t="n">
        <v>1</v>
      </c>
      <c r="O5285" s="12" t="n">
        <v>1</v>
      </c>
      <c r="P5285" s="12" t="n">
        <v>480</v>
      </c>
      <c r="Q5285" s="12" t="n">
        <v>30</v>
      </c>
      <c r="R5285" s="12" t="n">
        <v>42</v>
      </c>
      <c r="S5285" s="12" t="inlineStr">
        <is>
          <t>Duct bank</t>
        </is>
      </c>
      <c r="T5285" s="15" t="n">
        <v>424</v>
      </c>
      <c r="U5285" s="15" t="n">
        <v>240</v>
      </c>
      <c r="V5285" s="15">
        <f>ROUNDUP((T5285+U5285+2*'Read Me'!$B$13)*(1+'Read Me'!$B$12),-1)</f>
        <v/>
      </c>
      <c r="W5285" s="15">
        <f>V5285*N5285*O5285</f>
        <v/>
      </c>
      <c r="X5285" s="12">
        <f>IF(LEFT(I5285,2)="MV",2*N5285*IF(L5285="1/C",O5285,1),0)</f>
        <v/>
      </c>
      <c r="Y5285" s="12">
        <f>IF(OR(LEFT(K5285,4)="LVAX",LEFT(K5285,6)="MV15AX",LEFT(K5285,4)="CTAX",LEFT(K5285,2)="W|"),2*N5285*O5285,0)</f>
        <v/>
      </c>
      <c r="Z5285" s="12" t="inlineStr">
        <is>
          <t>VD 2.2 %</t>
        </is>
      </c>
      <c r="AA5285" s="12">
        <f>N5285*O5285</f>
        <v/>
      </c>
    </row>
    <row r="5286">
      <c r="A5286" s="12" t="inlineStr">
        <is>
          <t>I-P-0127</t>
        </is>
      </c>
      <c r="B5286" s="12" t="inlineStr">
        <is>
          <t>I</t>
        </is>
      </c>
      <c r="C5286" s="12" t="inlineStr">
        <is>
          <t>Modular / portable power</t>
        </is>
      </c>
      <c r="D5286" s="12" t="inlineStr">
        <is>
          <t>Motor 5 of 5, 30 kW (VFD output)</t>
        </is>
      </c>
      <c r="E5286" s="12" t="inlineStr"/>
      <c r="F5286" s="12" t="inlineStr">
        <is>
          <t>PCM: power control module</t>
        </is>
      </c>
      <c r="G5286" s="12" t="inlineStr"/>
      <c r="H5286" s="12" t="inlineStr">
        <is>
          <t>RICE 3 radiators (5)</t>
        </is>
      </c>
      <c r="I5286" s="12" t="inlineStr">
        <is>
          <t>LV 600 V</t>
        </is>
      </c>
      <c r="J5286" s="12" t="inlineStr">
        <is>
          <t>VFD cable 600 V 3/C Cu XHHW-2, 3 symmetrical grounds, overall Cu tape shield, TC-ER</t>
        </is>
      </c>
      <c r="K5286" s="12" t="inlineStr">
        <is>
          <t>VFD|3/C+3G|2</t>
        </is>
      </c>
      <c r="L5286" s="12" t="inlineStr">
        <is>
          <t>3/C+3G</t>
        </is>
      </c>
      <c r="M5286" s="12" t="inlineStr">
        <is>
          <t>2</t>
        </is>
      </c>
      <c r="N5286" s="12" t="n">
        <v>1</v>
      </c>
      <c r="O5286" s="12" t="n">
        <v>1</v>
      </c>
      <c r="P5286" s="12" t="n">
        <v>480</v>
      </c>
      <c r="Q5286" s="12" t="n">
        <v>30</v>
      </c>
      <c r="R5286" s="12" t="n">
        <v>42</v>
      </c>
      <c r="S5286" s="12" t="inlineStr">
        <is>
          <t>Duct bank</t>
        </is>
      </c>
      <c r="T5286" s="15" t="n">
        <v>424</v>
      </c>
      <c r="U5286" s="15" t="n">
        <v>240</v>
      </c>
      <c r="V5286" s="15">
        <f>ROUNDUP((T5286+U5286+2*'Read Me'!$B$13)*(1+'Read Me'!$B$12),-1)</f>
        <v/>
      </c>
      <c r="W5286" s="15">
        <f>V5286*N5286*O5286</f>
        <v/>
      </c>
      <c r="X5286" s="12">
        <f>IF(LEFT(I5286,2)="MV",2*N5286*IF(L5286="1/C",O5286,1),0)</f>
        <v/>
      </c>
      <c r="Y5286" s="12">
        <f>IF(OR(LEFT(K5286,4)="LVAX",LEFT(K5286,6)="MV15AX",LEFT(K5286,4)="CTAX",LEFT(K5286,2)="W|"),2*N5286*O5286,0)</f>
        <v/>
      </c>
      <c r="Z5286" s="12" t="inlineStr">
        <is>
          <t>VD 2.2 %</t>
        </is>
      </c>
      <c r="AA5286" s="12">
        <f>N5286*O5286</f>
        <v/>
      </c>
    </row>
    <row r="5287">
      <c r="A5287" s="12" t="inlineStr">
        <is>
          <t>I-P-0128</t>
        </is>
      </c>
      <c r="B5287" s="12" t="inlineStr">
        <is>
          <t>I</t>
        </is>
      </c>
      <c r="C5287" s="12" t="inlineStr">
        <is>
          <t>Modular / portable power</t>
        </is>
      </c>
      <c r="D5287" s="12" t="inlineStr">
        <is>
          <t>Motor 1 of 1, 15 kW</t>
        </is>
      </c>
      <c r="E5287" s="12" t="inlineStr"/>
      <c r="F5287" s="12" t="inlineStr">
        <is>
          <t>PCM: power control module</t>
        </is>
      </c>
      <c r="G5287" s="12" t="inlineStr"/>
      <c r="H5287" s="12" t="inlineStr">
        <is>
          <t>RICE 4 SCR + oxidation catalyst and stack</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15</v>
      </c>
      <c r="R5287" s="12" t="n">
        <v>21.2</v>
      </c>
      <c r="S5287" s="12" t="inlineStr">
        <is>
          <t>Duct bank</t>
        </is>
      </c>
      <c r="T5287" s="15" t="n">
        <v>436</v>
      </c>
      <c r="U5287" s="15" t="n">
        <v>76</v>
      </c>
      <c r="V5287" s="15">
        <f>ROUNDUP((T5287+U5287+2*'Read Me'!$B$13)*(1+'Read Me'!$B$12),-1)</f>
        <v/>
      </c>
      <c r="W5287" s="15">
        <f>V5287*N5287*O5287</f>
        <v/>
      </c>
      <c r="X5287" s="12">
        <f>IF(LEFT(I5287,2)="MV",2*N5287*IF(L5287="1/C",O5287,1),0)</f>
        <v/>
      </c>
      <c r="Y5287" s="12">
        <f>IF(OR(LEFT(K5287,4)="LVAX",LEFT(K5287,6)="MV15AX",LEFT(K5287,4)="CTAX",LEFT(K5287,2)="W|"),2*N5287*O5287,0)</f>
        <v/>
      </c>
      <c r="Z5287" s="12" t="inlineStr">
        <is>
          <t>VD 2.1 %</t>
        </is>
      </c>
      <c r="AA5287" s="12">
        <f>N5287*O5287</f>
        <v/>
      </c>
    </row>
    <row r="5288">
      <c r="A5288" s="12" t="inlineStr">
        <is>
          <t>I-P-0129</t>
        </is>
      </c>
      <c r="B5288" s="12" t="inlineStr">
        <is>
          <t>I</t>
        </is>
      </c>
      <c r="C5288" s="12" t="inlineStr">
        <is>
          <t>Modular / portable power</t>
        </is>
      </c>
      <c r="D5288" s="12" t="inlineStr">
        <is>
          <t>Area / platform lighting circuit 1 (6 fixtures)</t>
        </is>
      </c>
      <c r="E5288" s="12" t="inlineStr"/>
      <c r="F5288" s="12" t="inlineStr">
        <is>
          <t>PCM: power control module</t>
        </is>
      </c>
      <c r="G5288" s="12" t="inlineStr"/>
      <c r="H5288" s="12" t="inlineStr">
        <is>
          <t>RICE 4 SCR + oxidation catalyst and stack</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3</v>
      </c>
      <c r="R5288" s="12" t="n">
        <v>5</v>
      </c>
      <c r="S5288" s="12" t="inlineStr">
        <is>
          <t>Duct bank</t>
        </is>
      </c>
      <c r="T5288" s="15" t="n">
        <v>736</v>
      </c>
      <c r="U5288" s="15" t="n">
        <v>76</v>
      </c>
      <c r="V5288" s="15">
        <f>ROUNDUP((T5288+U5288+2*'Read Me'!$B$13)*(1+'Read Me'!$B$12),-1)</f>
        <v/>
      </c>
      <c r="W5288" s="15">
        <f>V5288*N5288*O5288</f>
        <v/>
      </c>
      <c r="X5288" s="12">
        <f>IF(LEFT(I5288,2)="MV",2*N5288*IF(L5288="1/C",O5288,1),0)</f>
        <v/>
      </c>
      <c r="Y5288" s="12">
        <f>IF(OR(LEFT(K5288,4)="LVAX",LEFT(K5288,6)="MV15AX",LEFT(K5288,4)="CTAX",LEFT(K5288,2)="W|"),2*N5288*O5288,0)</f>
        <v/>
      </c>
      <c r="Z5288" s="12" t="inlineStr">
        <is>
          <t>fixture-to-fixture run included</t>
        </is>
      </c>
      <c r="AA5288" s="12">
        <f>N5288*O5288</f>
        <v/>
      </c>
    </row>
    <row r="5289">
      <c r="A5289" s="12" t="inlineStr">
        <is>
          <t>I-P-0130</t>
        </is>
      </c>
      <c r="B5289" s="12" t="inlineStr">
        <is>
          <t>I</t>
        </is>
      </c>
      <c r="C5289" s="12" t="inlineStr">
        <is>
          <t>Modular / portable power</t>
        </is>
      </c>
      <c r="D5289" s="12" t="inlineStr">
        <is>
          <t>Motor 1 of 5, 30 kW (VFD output)</t>
        </is>
      </c>
      <c r="E5289" s="12" t="inlineStr"/>
      <c r="F5289" s="12" t="inlineStr">
        <is>
          <t>PCM: power control module</t>
        </is>
      </c>
      <c r="G5289" s="12" t="inlineStr"/>
      <c r="H5289" s="12" t="inlineStr">
        <is>
          <t>RICE 4 radiators (5)</t>
        </is>
      </c>
      <c r="I5289" s="12" t="inlineStr">
        <is>
          <t>LV 600 V</t>
        </is>
      </c>
      <c r="J5289" s="12" t="inlineStr">
        <is>
          <t>VFD cable 600 V 3/C Cu XHHW-2, 3 symmetrical grounds, overall Cu tape shield, TC-ER</t>
        </is>
      </c>
      <c r="K5289" s="12" t="inlineStr">
        <is>
          <t>VFD|3/C+3G|6</t>
        </is>
      </c>
      <c r="L5289" s="12" t="inlineStr">
        <is>
          <t>3/C+3G</t>
        </is>
      </c>
      <c r="M5289" s="12" t="inlineStr">
        <is>
          <t>6</t>
        </is>
      </c>
      <c r="N5289" s="12" t="n">
        <v>1</v>
      </c>
      <c r="O5289" s="12" t="n">
        <v>1</v>
      </c>
      <c r="P5289" s="12" t="n">
        <v>480</v>
      </c>
      <c r="Q5289" s="12" t="n">
        <v>30</v>
      </c>
      <c r="R5289" s="12" t="n">
        <v>42</v>
      </c>
      <c r="S5289" s="12" t="inlineStr">
        <is>
          <t>Tray</t>
        </is>
      </c>
      <c r="T5289" s="15" t="n">
        <v>80</v>
      </c>
      <c r="U5289" s="15" t="n">
        <v>206</v>
      </c>
      <c r="V5289" s="15">
        <f>ROUNDUP((T5289+U5289+2*'Read Me'!$B$13)*(1+'Read Me'!$B$12),-1)</f>
        <v/>
      </c>
      <c r="W5289" s="15">
        <f>V5289*N5289*O5289</f>
        <v/>
      </c>
      <c r="X5289" s="12">
        <f>IF(LEFT(I5289,2)="MV",2*N5289*IF(L5289="1/C",O5289,1),0)</f>
        <v/>
      </c>
      <c r="Y5289" s="12">
        <f>IF(OR(LEFT(K5289,4)="LVAX",LEFT(K5289,6)="MV15AX",LEFT(K5289,4)="CTAX",LEFT(K5289,2)="W|"),2*N5289*O5289,0)</f>
        <v/>
      </c>
      <c r="Z5289" s="12" t="inlineStr">
        <is>
          <t>VD 2.4 %</t>
        </is>
      </c>
      <c r="AA5289" s="12">
        <f>N5289*O5289</f>
        <v/>
      </c>
    </row>
    <row r="5290">
      <c r="A5290" s="12" t="inlineStr">
        <is>
          <t>I-P-0131</t>
        </is>
      </c>
      <c r="B5290" s="12" t="inlineStr">
        <is>
          <t>I</t>
        </is>
      </c>
      <c r="C5290" s="12" t="inlineStr">
        <is>
          <t>Modular / portable power</t>
        </is>
      </c>
      <c r="D5290" s="12" t="inlineStr">
        <is>
          <t>Motor 2 of 5, 30 kW (VFD output)</t>
        </is>
      </c>
      <c r="E5290" s="12" t="inlineStr"/>
      <c r="F5290" s="12" t="inlineStr">
        <is>
          <t>PCM: power control module</t>
        </is>
      </c>
      <c r="G5290" s="12" t="inlineStr"/>
      <c r="H5290" s="12" t="inlineStr">
        <is>
          <t>RICE 4 radiators (5)</t>
        </is>
      </c>
      <c r="I5290" s="12" t="inlineStr">
        <is>
          <t>LV 600 V</t>
        </is>
      </c>
      <c r="J5290" s="12" t="inlineStr">
        <is>
          <t>VFD cable 600 V 3/C Cu XHHW-2, 3 symmetrical grounds, overall Cu tape shield, TC-ER</t>
        </is>
      </c>
      <c r="K5290" s="12" t="inlineStr">
        <is>
          <t>VFD|3/C+3G|6</t>
        </is>
      </c>
      <c r="L5290" s="12" t="inlineStr">
        <is>
          <t>3/C+3G</t>
        </is>
      </c>
      <c r="M5290" s="12" t="inlineStr">
        <is>
          <t>6</t>
        </is>
      </c>
      <c r="N5290" s="12" t="n">
        <v>1</v>
      </c>
      <c r="O5290" s="12" t="n">
        <v>1</v>
      </c>
      <c r="P5290" s="12" t="n">
        <v>480</v>
      </c>
      <c r="Q5290" s="12" t="n">
        <v>30</v>
      </c>
      <c r="R5290" s="12" t="n">
        <v>42</v>
      </c>
      <c r="S5290" s="12" t="inlineStr">
        <is>
          <t>Tray</t>
        </is>
      </c>
      <c r="T5290" s="15" t="n">
        <v>80</v>
      </c>
      <c r="U5290" s="15" t="n">
        <v>206</v>
      </c>
      <c r="V5290" s="15">
        <f>ROUNDUP((T5290+U5290+2*'Read Me'!$B$13)*(1+'Read Me'!$B$12),-1)</f>
        <v/>
      </c>
      <c r="W5290" s="15">
        <f>V5290*N5290*O5290</f>
        <v/>
      </c>
      <c r="X5290" s="12">
        <f>IF(LEFT(I5290,2)="MV",2*N5290*IF(L5290="1/C",O5290,1),0)</f>
        <v/>
      </c>
      <c r="Y5290" s="12">
        <f>IF(OR(LEFT(K5290,4)="LVAX",LEFT(K5290,6)="MV15AX",LEFT(K5290,4)="CTAX",LEFT(K5290,2)="W|"),2*N5290*O5290,0)</f>
        <v/>
      </c>
      <c r="Z5290" s="12" t="inlineStr">
        <is>
          <t>VD 2.4 %</t>
        </is>
      </c>
      <c r="AA5290" s="12">
        <f>N5290*O5290</f>
        <v/>
      </c>
    </row>
    <row r="5291">
      <c r="A5291" s="12" t="inlineStr">
        <is>
          <t>I-P-0132</t>
        </is>
      </c>
      <c r="B5291" s="12" t="inlineStr">
        <is>
          <t>I</t>
        </is>
      </c>
      <c r="C5291" s="12" t="inlineStr">
        <is>
          <t>Modular / portable power</t>
        </is>
      </c>
      <c r="D5291" s="12" t="inlineStr">
        <is>
          <t>Motor 3 of 5, 30 kW (VFD output)</t>
        </is>
      </c>
      <c r="E5291" s="12" t="inlineStr"/>
      <c r="F5291" s="12" t="inlineStr">
        <is>
          <t>PCM: power control module</t>
        </is>
      </c>
      <c r="G5291" s="12" t="inlineStr"/>
      <c r="H5291" s="12" t="inlineStr">
        <is>
          <t>RICE 4 radiators (5)</t>
        </is>
      </c>
      <c r="I5291" s="12" t="inlineStr">
        <is>
          <t>LV 600 V</t>
        </is>
      </c>
      <c r="J5291" s="12" t="inlineStr">
        <is>
          <t>VFD cable 600 V 3/C Cu XHHW-2, 3 symmetrical grounds, overall Cu tape shield, TC-ER</t>
        </is>
      </c>
      <c r="K5291" s="12" t="inlineStr">
        <is>
          <t>VFD|3/C+3G|6</t>
        </is>
      </c>
      <c r="L5291" s="12" t="inlineStr">
        <is>
          <t>3/C+3G</t>
        </is>
      </c>
      <c r="M5291" s="12" t="inlineStr">
        <is>
          <t>6</t>
        </is>
      </c>
      <c r="N5291" s="12" t="n">
        <v>1</v>
      </c>
      <c r="O5291" s="12" t="n">
        <v>1</v>
      </c>
      <c r="P5291" s="12" t="n">
        <v>480</v>
      </c>
      <c r="Q5291" s="12" t="n">
        <v>30</v>
      </c>
      <c r="R5291" s="12" t="n">
        <v>42</v>
      </c>
      <c r="S5291" s="12" t="inlineStr">
        <is>
          <t>Tray</t>
        </is>
      </c>
      <c r="T5291" s="15" t="n">
        <v>80</v>
      </c>
      <c r="U5291" s="15" t="n">
        <v>206</v>
      </c>
      <c r="V5291" s="15">
        <f>ROUNDUP((T5291+U5291+2*'Read Me'!$B$13)*(1+'Read Me'!$B$12),-1)</f>
        <v/>
      </c>
      <c r="W5291" s="15">
        <f>V5291*N5291*O5291</f>
        <v/>
      </c>
      <c r="X5291" s="12">
        <f>IF(LEFT(I5291,2)="MV",2*N5291*IF(L5291="1/C",O5291,1),0)</f>
        <v/>
      </c>
      <c r="Y5291" s="12">
        <f>IF(OR(LEFT(K5291,4)="LVAX",LEFT(K5291,6)="MV15AX",LEFT(K5291,4)="CTAX",LEFT(K5291,2)="W|"),2*N5291*O5291,0)</f>
        <v/>
      </c>
      <c r="Z5291" s="12" t="inlineStr">
        <is>
          <t>VD 2.4 %</t>
        </is>
      </c>
      <c r="AA5291" s="12">
        <f>N5291*O5291</f>
        <v/>
      </c>
    </row>
    <row r="5292">
      <c r="A5292" s="12" t="inlineStr">
        <is>
          <t>I-P-0133</t>
        </is>
      </c>
      <c r="B5292" s="12" t="inlineStr">
        <is>
          <t>I</t>
        </is>
      </c>
      <c r="C5292" s="12" t="inlineStr">
        <is>
          <t>Modular / portable power</t>
        </is>
      </c>
      <c r="D5292" s="12" t="inlineStr">
        <is>
          <t>Motor 4 of 5, 30 kW (VFD output)</t>
        </is>
      </c>
      <c r="E5292" s="12" t="inlineStr"/>
      <c r="F5292" s="12" t="inlineStr">
        <is>
          <t>PCM: power control module</t>
        </is>
      </c>
      <c r="G5292" s="12" t="inlineStr"/>
      <c r="H5292" s="12" t="inlineStr">
        <is>
          <t>RICE 4 radiators (5)</t>
        </is>
      </c>
      <c r="I5292" s="12" t="inlineStr">
        <is>
          <t>LV 600 V</t>
        </is>
      </c>
      <c r="J5292" s="12" t="inlineStr">
        <is>
          <t>VFD cable 600 V 3/C Cu XHHW-2, 3 symmetrical grounds, overall Cu tape shield, TC-ER</t>
        </is>
      </c>
      <c r="K5292" s="12" t="inlineStr">
        <is>
          <t>VFD|3/C+3G|6</t>
        </is>
      </c>
      <c r="L5292" s="12" t="inlineStr">
        <is>
          <t>3/C+3G</t>
        </is>
      </c>
      <c r="M5292" s="12" t="inlineStr">
        <is>
          <t>6</t>
        </is>
      </c>
      <c r="N5292" s="12" t="n">
        <v>1</v>
      </c>
      <c r="O5292" s="12" t="n">
        <v>1</v>
      </c>
      <c r="P5292" s="12" t="n">
        <v>480</v>
      </c>
      <c r="Q5292" s="12" t="n">
        <v>30</v>
      </c>
      <c r="R5292" s="12" t="n">
        <v>42</v>
      </c>
      <c r="S5292" s="12" t="inlineStr">
        <is>
          <t>Tray</t>
        </is>
      </c>
      <c r="T5292" s="15" t="n">
        <v>80</v>
      </c>
      <c r="U5292" s="15" t="n">
        <v>206</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I-P-0134</t>
        </is>
      </c>
      <c r="B5293" s="12" t="inlineStr">
        <is>
          <t>I</t>
        </is>
      </c>
      <c r="C5293" s="12" t="inlineStr">
        <is>
          <t>Modular / portable power</t>
        </is>
      </c>
      <c r="D5293" s="12" t="inlineStr">
        <is>
          <t>Motor 5 of 5, 30 kW (VFD output)</t>
        </is>
      </c>
      <c r="E5293" s="12" t="inlineStr"/>
      <c r="F5293" s="12" t="inlineStr">
        <is>
          <t>PCM: power control module</t>
        </is>
      </c>
      <c r="G5293" s="12" t="inlineStr"/>
      <c r="H5293" s="12" t="inlineStr">
        <is>
          <t>RICE 4 radiators (5)</t>
        </is>
      </c>
      <c r="I5293" s="12" t="inlineStr">
        <is>
          <t>LV 600 V</t>
        </is>
      </c>
      <c r="J5293" s="12" t="inlineStr">
        <is>
          <t>VFD cable 600 V 3/C Cu XHHW-2, 3 symmetrical grounds, overall Cu tape shield, TC-ER</t>
        </is>
      </c>
      <c r="K5293" s="12" t="inlineStr">
        <is>
          <t>VFD|3/C+3G|6</t>
        </is>
      </c>
      <c r="L5293" s="12" t="inlineStr">
        <is>
          <t>3/C+3G</t>
        </is>
      </c>
      <c r="M5293" s="12" t="inlineStr">
        <is>
          <t>6</t>
        </is>
      </c>
      <c r="N5293" s="12" t="n">
        <v>1</v>
      </c>
      <c r="O5293" s="12" t="n">
        <v>1</v>
      </c>
      <c r="P5293" s="12" t="n">
        <v>480</v>
      </c>
      <c r="Q5293" s="12" t="n">
        <v>30</v>
      </c>
      <c r="R5293" s="12" t="n">
        <v>42</v>
      </c>
      <c r="S5293" s="12" t="inlineStr">
        <is>
          <t>Tray</t>
        </is>
      </c>
      <c r="T5293" s="15" t="n">
        <v>80</v>
      </c>
      <c r="U5293" s="15" t="n">
        <v>206</v>
      </c>
      <c r="V5293" s="15">
        <f>ROUNDUP((T5293+U5293+2*'Read Me'!$B$13)*(1+'Read Me'!$B$12),-1)</f>
        <v/>
      </c>
      <c r="W5293" s="15">
        <f>V5293*N5293*O5293</f>
        <v/>
      </c>
      <c r="X5293" s="12">
        <f>IF(LEFT(I5293,2)="MV",2*N5293*IF(L5293="1/C",O5293,1),0)</f>
        <v/>
      </c>
      <c r="Y5293" s="12">
        <f>IF(OR(LEFT(K5293,4)="LVAX",LEFT(K5293,6)="MV15AX",LEFT(K5293,4)="CTAX",LEFT(K5293,2)="W|"),2*N5293*O5293,0)</f>
        <v/>
      </c>
      <c r="Z5293" s="12" t="inlineStr">
        <is>
          <t>VD 2.4 %</t>
        </is>
      </c>
      <c r="AA5293" s="12">
        <f>N5293*O5293</f>
        <v/>
      </c>
    </row>
    <row r="5294">
      <c r="A5294" s="12" t="inlineStr">
        <is>
          <t>I-P-0135</t>
        </is>
      </c>
      <c r="B5294" s="12" t="inlineStr">
        <is>
          <t>I</t>
        </is>
      </c>
      <c r="C5294" s="12" t="inlineStr">
        <is>
          <t>Modular / portable power</t>
        </is>
      </c>
      <c r="D5294" s="12" t="inlineStr">
        <is>
          <t>Motor 1 of 1, 15 kW</t>
        </is>
      </c>
      <c r="E5294" s="12" t="inlineStr"/>
      <c r="F5294" s="12" t="inlineStr">
        <is>
          <t>PCM: power control module</t>
        </is>
      </c>
      <c r="G5294" s="12" t="inlineStr"/>
      <c r="H5294" s="12" t="inlineStr">
        <is>
          <t>RICE 5 SCR + oxidation catalyst and stack</t>
        </is>
      </c>
      <c r="I5294" s="12" t="inlineStr">
        <is>
          <t>LV 600 V</t>
        </is>
      </c>
      <c r="J5294" s="12" t="inlineStr">
        <is>
          <t>Type TC-ER 600 V 3/C Cu XHHW-2 + ground, PVC jacket</t>
        </is>
      </c>
      <c r="K5294" s="12" t="inlineStr">
        <is>
          <t>LV|3/C+G|8</t>
        </is>
      </c>
      <c r="L5294" s="12" t="inlineStr">
        <is>
          <t>3/C+G</t>
        </is>
      </c>
      <c r="M5294" s="12" t="inlineStr">
        <is>
          <t>8</t>
        </is>
      </c>
      <c r="N5294" s="12" t="n">
        <v>1</v>
      </c>
      <c r="O5294" s="12" t="n">
        <v>1</v>
      </c>
      <c r="P5294" s="12" t="n">
        <v>480</v>
      </c>
      <c r="Q5294" s="12" t="n">
        <v>15</v>
      </c>
      <c r="R5294" s="12" t="n">
        <v>21.2</v>
      </c>
      <c r="S5294" s="12" t="inlineStr">
        <is>
          <t>Duct bank</t>
        </is>
      </c>
      <c r="T5294" s="15" t="n">
        <v>158</v>
      </c>
      <c r="U5294" s="15" t="n">
        <v>164</v>
      </c>
      <c r="V5294" s="15">
        <f>ROUNDUP((T5294+U5294+2*'Read Me'!$B$13)*(1+'Read Me'!$B$12),-1)</f>
        <v/>
      </c>
      <c r="W5294" s="15">
        <f>V5294*N5294*O5294</f>
        <v/>
      </c>
      <c r="X5294" s="12">
        <f>IF(LEFT(I5294,2)="MV",2*N5294*IF(L5294="1/C",O5294,1),0)</f>
        <v/>
      </c>
      <c r="Y5294" s="12">
        <f>IF(OR(LEFT(K5294,4)="LVAX",LEFT(K5294,6)="MV15AX",LEFT(K5294,4)="CTAX",LEFT(K5294,2)="W|"),2*N5294*O5294,0)</f>
        <v/>
      </c>
      <c r="Z5294" s="12" t="inlineStr">
        <is>
          <t>VD 2.1 %</t>
        </is>
      </c>
      <c r="AA5294" s="12">
        <f>N5294*O5294</f>
        <v/>
      </c>
    </row>
    <row r="5295">
      <c r="A5295" s="12" t="inlineStr">
        <is>
          <t>I-P-0136</t>
        </is>
      </c>
      <c r="B5295" s="12" t="inlineStr">
        <is>
          <t>I</t>
        </is>
      </c>
      <c r="C5295" s="12" t="inlineStr">
        <is>
          <t>Modular / portable power</t>
        </is>
      </c>
      <c r="D5295" s="12" t="inlineStr">
        <is>
          <t>Area / platform lighting circuit 1 (6 fixtures)</t>
        </is>
      </c>
      <c r="E5295" s="12" t="inlineStr"/>
      <c r="F5295" s="12" t="inlineStr">
        <is>
          <t>PCM: power control module</t>
        </is>
      </c>
      <c r="G5295" s="12" t="inlineStr"/>
      <c r="H5295" s="12" t="inlineStr">
        <is>
          <t>RICE 5 SCR + oxidation catalyst and stack</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3</v>
      </c>
      <c r="R5295" s="12" t="n">
        <v>5</v>
      </c>
      <c r="S5295" s="12" t="inlineStr">
        <is>
          <t>Duct bank</t>
        </is>
      </c>
      <c r="T5295" s="15" t="n">
        <v>458</v>
      </c>
      <c r="U5295" s="15" t="n">
        <v>164</v>
      </c>
      <c r="V5295" s="15">
        <f>ROUNDUP((T5295+U5295+2*'Read Me'!$B$13)*(1+'Read Me'!$B$12),-1)</f>
        <v/>
      </c>
      <c r="W5295" s="15">
        <f>V5295*N5295*O5295</f>
        <v/>
      </c>
      <c r="X5295" s="12">
        <f>IF(LEFT(I5295,2)="MV",2*N5295*IF(L5295="1/C",O5295,1),0)</f>
        <v/>
      </c>
      <c r="Y5295" s="12">
        <f>IF(OR(LEFT(K5295,4)="LVAX",LEFT(K5295,6)="MV15AX",LEFT(K5295,4)="CTAX",LEFT(K5295,2)="W|"),2*N5295*O5295,0)</f>
        <v/>
      </c>
      <c r="Z5295" s="12" t="inlineStr">
        <is>
          <t>fixture-to-fixture run included</t>
        </is>
      </c>
      <c r="AA5295" s="12">
        <f>N5295*O5295</f>
        <v/>
      </c>
    </row>
    <row r="5296">
      <c r="A5296" s="12" t="inlineStr">
        <is>
          <t>I-P-0137</t>
        </is>
      </c>
      <c r="B5296" s="12" t="inlineStr">
        <is>
          <t>I</t>
        </is>
      </c>
      <c r="C5296" s="12" t="inlineStr">
        <is>
          <t>Modular / portable power</t>
        </is>
      </c>
      <c r="D5296" s="12" t="inlineStr">
        <is>
          <t>Motor 1 of 5, 30 kW (VFD output)</t>
        </is>
      </c>
      <c r="E5296" s="12" t="inlineStr"/>
      <c r="F5296" s="12" t="inlineStr">
        <is>
          <t>PCM: power control module</t>
        </is>
      </c>
      <c r="G5296" s="12" t="inlineStr"/>
      <c r="H5296" s="12" t="inlineStr">
        <is>
          <t>RICE 5 radiators (5)</t>
        </is>
      </c>
      <c r="I5296" s="12" t="inlineStr">
        <is>
          <t>LV 600 V</t>
        </is>
      </c>
      <c r="J5296" s="12" t="inlineStr">
        <is>
          <t>VFD cable 600 V 3/C Cu XHHW-2, 3 symmetrical grounds, overall Cu tape shield, TC-ER</t>
        </is>
      </c>
      <c r="K5296" s="12" t="inlineStr">
        <is>
          <t>VFD|3/C+3G|6</t>
        </is>
      </c>
      <c r="L5296" s="12" t="inlineStr">
        <is>
          <t>3/C+3G</t>
        </is>
      </c>
      <c r="M5296" s="12" t="inlineStr">
        <is>
          <t>6</t>
        </is>
      </c>
      <c r="N5296" s="12" t="n">
        <v>1</v>
      </c>
      <c r="O5296" s="12" t="n">
        <v>1</v>
      </c>
      <c r="P5296" s="12" t="n">
        <v>480</v>
      </c>
      <c r="Q5296" s="12" t="n">
        <v>30</v>
      </c>
      <c r="R5296" s="12" t="n">
        <v>42</v>
      </c>
      <c r="S5296" s="12" t="inlineStr">
        <is>
          <t>Tray</t>
        </is>
      </c>
      <c r="T5296" s="15" t="n">
        <v>80</v>
      </c>
      <c r="U5296" s="15" t="n">
        <v>178</v>
      </c>
      <c r="V5296" s="15">
        <f>ROUNDUP((T5296+U5296+2*'Read Me'!$B$13)*(1+'Read Me'!$B$12),-1)</f>
        <v/>
      </c>
      <c r="W5296" s="15">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I-P-0138</t>
        </is>
      </c>
      <c r="B5297" s="12" t="inlineStr">
        <is>
          <t>I</t>
        </is>
      </c>
      <c r="C5297" s="12" t="inlineStr">
        <is>
          <t>Modular / portable power</t>
        </is>
      </c>
      <c r="D5297" s="12" t="inlineStr">
        <is>
          <t>Motor 2 of 5, 30 kW (VFD output)</t>
        </is>
      </c>
      <c r="E5297" s="12" t="inlineStr"/>
      <c r="F5297" s="12" t="inlineStr">
        <is>
          <t>PCM: power control module</t>
        </is>
      </c>
      <c r="G5297" s="12" t="inlineStr"/>
      <c r="H5297" s="12" t="inlineStr">
        <is>
          <t>RICE 5 radiators (5)</t>
        </is>
      </c>
      <c r="I5297" s="12" t="inlineStr">
        <is>
          <t>LV 600 V</t>
        </is>
      </c>
      <c r="J5297" s="12" t="inlineStr">
        <is>
          <t>VFD cable 600 V 3/C Cu XHHW-2, 3 symmetrical grounds, overall Cu tape shield, TC-ER</t>
        </is>
      </c>
      <c r="K5297" s="12" t="inlineStr">
        <is>
          <t>VFD|3/C+3G|6</t>
        </is>
      </c>
      <c r="L5297" s="12" t="inlineStr">
        <is>
          <t>3/C+3G</t>
        </is>
      </c>
      <c r="M5297" s="12" t="inlineStr">
        <is>
          <t>6</t>
        </is>
      </c>
      <c r="N5297" s="12" t="n">
        <v>1</v>
      </c>
      <c r="O5297" s="12" t="n">
        <v>1</v>
      </c>
      <c r="P5297" s="12" t="n">
        <v>480</v>
      </c>
      <c r="Q5297" s="12" t="n">
        <v>30</v>
      </c>
      <c r="R5297" s="12" t="n">
        <v>42</v>
      </c>
      <c r="S5297" s="12" t="inlineStr">
        <is>
          <t>Tray</t>
        </is>
      </c>
      <c r="T5297" s="15" t="n">
        <v>80</v>
      </c>
      <c r="U5297" s="15" t="n">
        <v>178</v>
      </c>
      <c r="V5297" s="15">
        <f>ROUNDUP((T5297+U5297+2*'Read Me'!$B$13)*(1+'Read Me'!$B$12),-1)</f>
        <v/>
      </c>
      <c r="W5297" s="15">
        <f>V5297*N5297*O5297</f>
        <v/>
      </c>
      <c r="X5297" s="12">
        <f>IF(LEFT(I5297,2)="MV",2*N5297*IF(L5297="1/C",O5297,1),0)</f>
        <v/>
      </c>
      <c r="Y5297" s="12">
        <f>IF(OR(LEFT(K5297,4)="LVAX",LEFT(K5297,6)="MV15AX",LEFT(K5297,4)="CTAX",LEFT(K5297,2)="W|"),2*N5297*O5297,0)</f>
        <v/>
      </c>
      <c r="Z5297" s="12" t="inlineStr">
        <is>
          <t>VD 2.1 %</t>
        </is>
      </c>
      <c r="AA5297" s="12">
        <f>N5297*O5297</f>
        <v/>
      </c>
    </row>
    <row r="5298">
      <c r="A5298" s="12" t="inlineStr">
        <is>
          <t>I-P-0139</t>
        </is>
      </c>
      <c r="B5298" s="12" t="inlineStr">
        <is>
          <t>I</t>
        </is>
      </c>
      <c r="C5298" s="12" t="inlineStr">
        <is>
          <t>Modular / portable power</t>
        </is>
      </c>
      <c r="D5298" s="12" t="inlineStr">
        <is>
          <t>Motor 3 of 5, 30 kW (VFD output)</t>
        </is>
      </c>
      <c r="E5298" s="12" t="inlineStr"/>
      <c r="F5298" s="12" t="inlineStr">
        <is>
          <t>PCM: power control module</t>
        </is>
      </c>
      <c r="G5298" s="12" t="inlineStr"/>
      <c r="H5298" s="12" t="inlineStr">
        <is>
          <t>RICE 5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178</v>
      </c>
      <c r="V5298" s="15">
        <f>ROUNDUP((T5298+U5298+2*'Read Me'!$B$13)*(1+'Read Me'!$B$12),-1)</f>
        <v/>
      </c>
      <c r="W5298" s="15">
        <f>V5298*N5298*O5298</f>
        <v/>
      </c>
      <c r="X5298" s="12">
        <f>IF(LEFT(I5298,2)="MV",2*N5298*IF(L5298="1/C",O5298,1),0)</f>
        <v/>
      </c>
      <c r="Y5298" s="12">
        <f>IF(OR(LEFT(K5298,4)="LVAX",LEFT(K5298,6)="MV15AX",LEFT(K5298,4)="CTAX",LEFT(K5298,2)="W|"),2*N5298*O5298,0)</f>
        <v/>
      </c>
      <c r="Z5298" s="12" t="inlineStr">
        <is>
          <t>VD 2.1 %</t>
        </is>
      </c>
      <c r="AA5298" s="12">
        <f>N5298*O5298</f>
        <v/>
      </c>
    </row>
    <row r="5299">
      <c r="A5299" s="12" t="inlineStr">
        <is>
          <t>I-P-0140</t>
        </is>
      </c>
      <c r="B5299" s="12" t="inlineStr">
        <is>
          <t>I</t>
        </is>
      </c>
      <c r="C5299" s="12" t="inlineStr">
        <is>
          <t>Modular / portable power</t>
        </is>
      </c>
      <c r="D5299" s="12" t="inlineStr">
        <is>
          <t>Motor 4 of 5, 30 kW (VFD output)</t>
        </is>
      </c>
      <c r="E5299" s="12" t="inlineStr"/>
      <c r="F5299" s="12" t="inlineStr">
        <is>
          <t>PCM: power control module</t>
        </is>
      </c>
      <c r="G5299" s="12" t="inlineStr"/>
      <c r="H5299" s="12" t="inlineStr">
        <is>
          <t>RICE 5 radiators (5)</t>
        </is>
      </c>
      <c r="I5299" s="12" t="inlineStr">
        <is>
          <t>LV 600 V</t>
        </is>
      </c>
      <c r="J5299" s="12" t="inlineStr">
        <is>
          <t>VFD cable 600 V 3/C Cu XHHW-2, 3 symmetrical grounds, overall Cu tape shield, TC-ER</t>
        </is>
      </c>
      <c r="K5299" s="12" t="inlineStr">
        <is>
          <t>VFD|3/C+3G|6</t>
        </is>
      </c>
      <c r="L5299" s="12" t="inlineStr">
        <is>
          <t>3/C+3G</t>
        </is>
      </c>
      <c r="M5299" s="12" t="inlineStr">
        <is>
          <t>6</t>
        </is>
      </c>
      <c r="N5299" s="12" t="n">
        <v>1</v>
      </c>
      <c r="O5299" s="12" t="n">
        <v>1</v>
      </c>
      <c r="P5299" s="12" t="n">
        <v>480</v>
      </c>
      <c r="Q5299" s="12" t="n">
        <v>30</v>
      </c>
      <c r="R5299" s="12" t="n">
        <v>42</v>
      </c>
      <c r="S5299" s="12" t="inlineStr">
        <is>
          <t>Tray</t>
        </is>
      </c>
      <c r="T5299" s="15" t="n">
        <v>80</v>
      </c>
      <c r="U5299" s="15" t="n">
        <v>178</v>
      </c>
      <c r="V5299" s="15">
        <f>ROUNDUP((T5299+U5299+2*'Read Me'!$B$13)*(1+'Read Me'!$B$12),-1)</f>
        <v/>
      </c>
      <c r="W5299" s="15">
        <f>V5299*N5299*O5299</f>
        <v/>
      </c>
      <c r="X5299" s="12">
        <f>IF(LEFT(I5299,2)="MV",2*N5299*IF(L5299="1/C",O5299,1),0)</f>
        <v/>
      </c>
      <c r="Y5299" s="12">
        <f>IF(OR(LEFT(K5299,4)="LVAX",LEFT(K5299,6)="MV15AX",LEFT(K5299,4)="CTAX",LEFT(K5299,2)="W|"),2*N5299*O5299,0)</f>
        <v/>
      </c>
      <c r="Z5299" s="12" t="inlineStr">
        <is>
          <t>VD 2.1 %</t>
        </is>
      </c>
      <c r="AA5299" s="12">
        <f>N5299*O5299</f>
        <v/>
      </c>
    </row>
    <row r="5300">
      <c r="A5300" s="12" t="inlineStr">
        <is>
          <t>I-P-0141</t>
        </is>
      </c>
      <c r="B5300" s="12" t="inlineStr">
        <is>
          <t>I</t>
        </is>
      </c>
      <c r="C5300" s="12" t="inlineStr">
        <is>
          <t>Modular / portable power</t>
        </is>
      </c>
      <c r="D5300" s="12" t="inlineStr">
        <is>
          <t>Motor 5 of 5, 30 kW (VFD output)</t>
        </is>
      </c>
      <c r="E5300" s="12" t="inlineStr"/>
      <c r="F5300" s="12" t="inlineStr">
        <is>
          <t>PCM: power control module</t>
        </is>
      </c>
      <c r="G5300" s="12" t="inlineStr"/>
      <c r="H5300" s="12" t="inlineStr">
        <is>
          <t>RICE 5 radiators (5)</t>
        </is>
      </c>
      <c r="I5300" s="12" t="inlineStr">
        <is>
          <t>LV 600 V</t>
        </is>
      </c>
      <c r="J5300" s="12" t="inlineStr">
        <is>
          <t>VFD cable 600 V 3/C Cu XHHW-2, 3 symmetrical grounds, overall Cu tape shield, TC-ER</t>
        </is>
      </c>
      <c r="K5300" s="12" t="inlineStr">
        <is>
          <t>VFD|3/C+3G|6</t>
        </is>
      </c>
      <c r="L5300" s="12" t="inlineStr">
        <is>
          <t>3/C+3G</t>
        </is>
      </c>
      <c r="M5300" s="12" t="inlineStr">
        <is>
          <t>6</t>
        </is>
      </c>
      <c r="N5300" s="12" t="n">
        <v>1</v>
      </c>
      <c r="O5300" s="12" t="n">
        <v>1</v>
      </c>
      <c r="P5300" s="12" t="n">
        <v>480</v>
      </c>
      <c r="Q5300" s="12" t="n">
        <v>30</v>
      </c>
      <c r="R5300" s="12" t="n">
        <v>42</v>
      </c>
      <c r="S5300" s="12" t="inlineStr">
        <is>
          <t>Tray</t>
        </is>
      </c>
      <c r="T5300" s="15" t="n">
        <v>80</v>
      </c>
      <c r="U5300" s="15" t="n">
        <v>178</v>
      </c>
      <c r="V5300" s="15">
        <f>ROUNDUP((T5300+U5300+2*'Read Me'!$B$13)*(1+'Read Me'!$B$12),-1)</f>
        <v/>
      </c>
      <c r="W5300" s="15">
        <f>V5300*N5300*O5300</f>
        <v/>
      </c>
      <c r="X5300" s="12">
        <f>IF(LEFT(I5300,2)="MV",2*N5300*IF(L5300="1/C",O5300,1),0)</f>
        <v/>
      </c>
      <c r="Y5300" s="12">
        <f>IF(OR(LEFT(K5300,4)="LVAX",LEFT(K5300,6)="MV15AX",LEFT(K5300,4)="CTAX",LEFT(K5300,2)="W|"),2*N5300*O5300,0)</f>
        <v/>
      </c>
      <c r="Z5300" s="12" t="inlineStr">
        <is>
          <t>VD 2.1 %</t>
        </is>
      </c>
      <c r="AA5300" s="12">
        <f>N5300*O5300</f>
        <v/>
      </c>
    </row>
    <row r="5301">
      <c r="A5301" s="12" t="inlineStr">
        <is>
          <t>I-P-0142</t>
        </is>
      </c>
      <c r="B5301" s="12" t="inlineStr">
        <is>
          <t>I</t>
        </is>
      </c>
      <c r="C5301" s="12" t="inlineStr">
        <is>
          <t>Modular / portable power</t>
        </is>
      </c>
      <c r="D5301" s="12" t="inlineStr">
        <is>
          <t>Motor 1 of 1, 15 kW</t>
        </is>
      </c>
      <c r="E5301" s="12" t="inlineStr"/>
      <c r="F5301" s="12" t="inlineStr">
        <is>
          <t>PCM: power control module</t>
        </is>
      </c>
      <c r="G5301" s="12" t="inlineStr"/>
      <c r="H5301" s="12" t="inlineStr">
        <is>
          <t>RICE 6 SCR + oxidation catalyst and stack</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15</v>
      </c>
      <c r="R5301" s="12" t="n">
        <v>21.2</v>
      </c>
      <c r="S5301" s="12" t="inlineStr">
        <is>
          <t>Duct bank</t>
        </is>
      </c>
      <c r="T5301" s="15" t="n">
        <v>113</v>
      </c>
      <c r="U5301" s="15" t="n">
        <v>153</v>
      </c>
      <c r="V5301" s="15">
        <f>ROUNDUP((T5301+U5301+2*'Read Me'!$B$13)*(1+'Read Me'!$B$12),-1)</f>
        <v/>
      </c>
      <c r="W5301" s="15">
        <f>V5301*N5301*O5301</f>
        <v/>
      </c>
      <c r="X5301" s="12">
        <f>IF(LEFT(I5301,2)="MV",2*N5301*IF(L5301="1/C",O5301,1),0)</f>
        <v/>
      </c>
      <c r="Y5301" s="12">
        <f>IF(OR(LEFT(K5301,4)="LVAX",LEFT(K5301,6)="MV15AX",LEFT(K5301,4)="CTAX",LEFT(K5301,2)="W|"),2*N5301*O5301,0)</f>
        <v/>
      </c>
      <c r="Z5301" s="12" t="inlineStr">
        <is>
          <t>VD 2.7 %</t>
        </is>
      </c>
      <c r="AA5301" s="12">
        <f>N5301*O5301</f>
        <v/>
      </c>
    </row>
    <row r="5302">
      <c r="A5302" s="12" t="inlineStr">
        <is>
          <t>I-P-0143</t>
        </is>
      </c>
      <c r="B5302" s="12" t="inlineStr">
        <is>
          <t>I</t>
        </is>
      </c>
      <c r="C5302" s="12" t="inlineStr">
        <is>
          <t>Modular / portable power</t>
        </is>
      </c>
      <c r="D5302" s="12" t="inlineStr">
        <is>
          <t>Area / platform lighting circuit 1 (6 fixtures)</t>
        </is>
      </c>
      <c r="E5302" s="12" t="inlineStr"/>
      <c r="F5302" s="12" t="inlineStr">
        <is>
          <t>PCM: power control module</t>
        </is>
      </c>
      <c r="G5302" s="12" t="inlineStr"/>
      <c r="H5302" s="12" t="inlineStr">
        <is>
          <t>RICE 6 SCR + oxidation catalyst and stack</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3</v>
      </c>
      <c r="R5302" s="12" t="n">
        <v>5</v>
      </c>
      <c r="S5302" s="12" t="inlineStr">
        <is>
          <t>Duct bank</t>
        </is>
      </c>
      <c r="T5302" s="15" t="n">
        <v>413</v>
      </c>
      <c r="U5302" s="15" t="n">
        <v>153</v>
      </c>
      <c r="V5302" s="15">
        <f>ROUNDUP((T5302+U5302+2*'Read Me'!$B$13)*(1+'Read Me'!$B$12),-1)</f>
        <v/>
      </c>
      <c r="W5302" s="15">
        <f>V5302*N5302*O5302</f>
        <v/>
      </c>
      <c r="X5302" s="12">
        <f>IF(LEFT(I5302,2)="MV",2*N5302*IF(L5302="1/C",O5302,1),0)</f>
        <v/>
      </c>
      <c r="Y5302" s="12">
        <f>IF(OR(LEFT(K5302,4)="LVAX",LEFT(K5302,6)="MV15AX",LEFT(K5302,4)="CTAX",LEFT(K5302,2)="W|"),2*N5302*O5302,0)</f>
        <v/>
      </c>
      <c r="Z5302" s="12" t="inlineStr">
        <is>
          <t>fixture-to-fixture run included</t>
        </is>
      </c>
      <c r="AA5302" s="12">
        <f>N5302*O5302</f>
        <v/>
      </c>
    </row>
    <row r="5303">
      <c r="A5303" s="12" t="inlineStr">
        <is>
          <t>I-P-0144</t>
        </is>
      </c>
      <c r="B5303" s="12" t="inlineStr">
        <is>
          <t>I</t>
        </is>
      </c>
      <c r="C5303" s="12" t="inlineStr">
        <is>
          <t>Modular / portable power</t>
        </is>
      </c>
      <c r="D5303" s="12" t="inlineStr">
        <is>
          <t>Motor 1 of 5, 30 kW (VFD output)</t>
        </is>
      </c>
      <c r="E5303" s="12" t="inlineStr"/>
      <c r="F5303" s="12" t="inlineStr">
        <is>
          <t>PCM: power control module</t>
        </is>
      </c>
      <c r="G5303" s="12" t="inlineStr"/>
      <c r="H5303" s="12" t="inlineStr">
        <is>
          <t>RICE 6 radiators (5)</t>
        </is>
      </c>
      <c r="I5303" s="12" t="inlineStr">
        <is>
          <t>LV 600 V</t>
        </is>
      </c>
      <c r="J5303" s="12" t="inlineStr">
        <is>
          <t>VFD cable 600 V 3/C Cu XHHW-2, 3 symmetrical grounds, overall Cu tape shield, TC-ER</t>
        </is>
      </c>
      <c r="K5303" s="12" t="inlineStr">
        <is>
          <t>VFD|3/C+3G|6</t>
        </is>
      </c>
      <c r="L5303" s="12" t="inlineStr">
        <is>
          <t>3/C+3G</t>
        </is>
      </c>
      <c r="M5303" s="12" t="inlineStr">
        <is>
          <t>6</t>
        </is>
      </c>
      <c r="N5303" s="12" t="n">
        <v>1</v>
      </c>
      <c r="O5303" s="12" t="n">
        <v>1</v>
      </c>
      <c r="P5303" s="12" t="n">
        <v>480</v>
      </c>
      <c r="Q5303" s="12" t="n">
        <v>30</v>
      </c>
      <c r="R5303" s="12" t="n">
        <v>42</v>
      </c>
      <c r="S5303" s="12" t="inlineStr">
        <is>
          <t>Tray</t>
        </is>
      </c>
      <c r="T5303" s="15" t="n">
        <v>80</v>
      </c>
      <c r="U5303" s="15" t="n">
        <v>150</v>
      </c>
      <c r="V5303" s="15">
        <f>ROUNDUP((T5303+U5303+2*'Read Me'!$B$13)*(1+'Read Me'!$B$12),-1)</f>
        <v/>
      </c>
      <c r="W5303" s="15">
        <f>V5303*N5303*O5303</f>
        <v/>
      </c>
      <c r="X5303" s="12">
        <f>IF(LEFT(I5303,2)="MV",2*N5303*IF(L5303="1/C",O5303,1),0)</f>
        <v/>
      </c>
      <c r="Y5303" s="12">
        <f>IF(OR(LEFT(K5303,4)="LVAX",LEFT(K5303,6)="MV15AX",LEFT(K5303,4)="CTAX",LEFT(K5303,2)="W|"),2*N5303*O5303,0)</f>
        <v/>
      </c>
      <c r="Z5303" s="12" t="inlineStr">
        <is>
          <t>VD 1.9 %</t>
        </is>
      </c>
      <c r="AA5303" s="12">
        <f>N5303*O5303</f>
        <v/>
      </c>
    </row>
    <row r="5304">
      <c r="A5304" s="12" t="inlineStr">
        <is>
          <t>I-P-0145</t>
        </is>
      </c>
      <c r="B5304" s="12" t="inlineStr">
        <is>
          <t>I</t>
        </is>
      </c>
      <c r="C5304" s="12" t="inlineStr">
        <is>
          <t>Modular / portable power</t>
        </is>
      </c>
      <c r="D5304" s="12" t="inlineStr">
        <is>
          <t>Motor 2 of 5, 30 kW (VFD output)</t>
        </is>
      </c>
      <c r="E5304" s="12" t="inlineStr"/>
      <c r="F5304" s="12" t="inlineStr">
        <is>
          <t>PCM: power control module</t>
        </is>
      </c>
      <c r="G5304" s="12" t="inlineStr"/>
      <c r="H5304" s="12" t="inlineStr">
        <is>
          <t>RICE 6 radiators (5)</t>
        </is>
      </c>
      <c r="I5304" s="12" t="inlineStr">
        <is>
          <t>LV 600 V</t>
        </is>
      </c>
      <c r="J5304" s="12" t="inlineStr">
        <is>
          <t>VFD cable 600 V 3/C Cu XHHW-2, 3 symmetrical grounds, overall Cu tape shield, TC-ER</t>
        </is>
      </c>
      <c r="K5304" s="12" t="inlineStr">
        <is>
          <t>VFD|3/C+3G|6</t>
        </is>
      </c>
      <c r="L5304" s="12" t="inlineStr">
        <is>
          <t>3/C+3G</t>
        </is>
      </c>
      <c r="M5304" s="12" t="inlineStr">
        <is>
          <t>6</t>
        </is>
      </c>
      <c r="N5304" s="12" t="n">
        <v>1</v>
      </c>
      <c r="O5304" s="12" t="n">
        <v>1</v>
      </c>
      <c r="P5304" s="12" t="n">
        <v>480</v>
      </c>
      <c r="Q5304" s="12" t="n">
        <v>30</v>
      </c>
      <c r="R5304" s="12" t="n">
        <v>42</v>
      </c>
      <c r="S5304" s="12" t="inlineStr">
        <is>
          <t>Tray</t>
        </is>
      </c>
      <c r="T5304" s="15" t="n">
        <v>80</v>
      </c>
      <c r="U5304" s="15" t="n">
        <v>150</v>
      </c>
      <c r="V5304" s="15">
        <f>ROUNDUP((T5304+U5304+2*'Read Me'!$B$13)*(1+'Read Me'!$B$12),-1)</f>
        <v/>
      </c>
      <c r="W5304" s="15">
        <f>V5304*N5304*O5304</f>
        <v/>
      </c>
      <c r="X5304" s="12">
        <f>IF(LEFT(I5304,2)="MV",2*N5304*IF(L5304="1/C",O5304,1),0)</f>
        <v/>
      </c>
      <c r="Y5304" s="12">
        <f>IF(OR(LEFT(K5304,4)="LVAX",LEFT(K5304,6)="MV15AX",LEFT(K5304,4)="CTAX",LEFT(K5304,2)="W|"),2*N5304*O5304,0)</f>
        <v/>
      </c>
      <c r="Z5304" s="12" t="inlineStr">
        <is>
          <t>VD 1.9 %</t>
        </is>
      </c>
      <c r="AA5304" s="12">
        <f>N5304*O5304</f>
        <v/>
      </c>
    </row>
    <row r="5305">
      <c r="A5305" s="12" t="inlineStr">
        <is>
          <t>I-P-0146</t>
        </is>
      </c>
      <c r="B5305" s="12" t="inlineStr">
        <is>
          <t>I</t>
        </is>
      </c>
      <c r="C5305" s="12" t="inlineStr">
        <is>
          <t>Modular / portable power</t>
        </is>
      </c>
      <c r="D5305" s="12" t="inlineStr">
        <is>
          <t>Motor 3 of 5, 30 kW (VFD output)</t>
        </is>
      </c>
      <c r="E5305" s="12" t="inlineStr"/>
      <c r="F5305" s="12" t="inlineStr">
        <is>
          <t>PCM: power control module</t>
        </is>
      </c>
      <c r="G5305" s="12" t="inlineStr"/>
      <c r="H5305" s="12" t="inlineStr">
        <is>
          <t>RICE 6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150</v>
      </c>
      <c r="V5305" s="15">
        <f>ROUNDUP((T5305+U5305+2*'Read Me'!$B$13)*(1+'Read Me'!$B$12),-1)</f>
        <v/>
      </c>
      <c r="W5305" s="15">
        <f>V5305*N5305*O5305</f>
        <v/>
      </c>
      <c r="X5305" s="12">
        <f>IF(LEFT(I5305,2)="MV",2*N5305*IF(L5305="1/C",O5305,1),0)</f>
        <v/>
      </c>
      <c r="Y5305" s="12">
        <f>IF(OR(LEFT(K5305,4)="LVAX",LEFT(K5305,6)="MV15AX",LEFT(K5305,4)="CTAX",LEFT(K5305,2)="W|"),2*N5305*O5305,0)</f>
        <v/>
      </c>
      <c r="Z5305" s="12" t="inlineStr">
        <is>
          <t>VD 1.9 %</t>
        </is>
      </c>
      <c r="AA5305" s="12">
        <f>N5305*O5305</f>
        <v/>
      </c>
    </row>
    <row r="5306">
      <c r="A5306" s="12" t="inlineStr">
        <is>
          <t>I-P-0147</t>
        </is>
      </c>
      <c r="B5306" s="12" t="inlineStr">
        <is>
          <t>I</t>
        </is>
      </c>
      <c r="C5306" s="12" t="inlineStr">
        <is>
          <t>Modular / portable power</t>
        </is>
      </c>
      <c r="D5306" s="12" t="inlineStr">
        <is>
          <t>Motor 4 of 5, 30 kW (VFD output)</t>
        </is>
      </c>
      <c r="E5306" s="12" t="inlineStr"/>
      <c r="F5306" s="12" t="inlineStr">
        <is>
          <t>PCM: power control module</t>
        </is>
      </c>
      <c r="G5306" s="12" t="inlineStr"/>
      <c r="H5306" s="12" t="inlineStr">
        <is>
          <t>RICE 6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150</v>
      </c>
      <c r="V5306" s="15">
        <f>ROUNDUP((T5306+U5306+2*'Read Me'!$B$13)*(1+'Read Me'!$B$12),-1)</f>
        <v/>
      </c>
      <c r="W5306" s="15">
        <f>V5306*N5306*O5306</f>
        <v/>
      </c>
      <c r="X5306" s="12">
        <f>IF(LEFT(I5306,2)="MV",2*N5306*IF(L5306="1/C",O5306,1),0)</f>
        <v/>
      </c>
      <c r="Y5306" s="12">
        <f>IF(OR(LEFT(K5306,4)="LVAX",LEFT(K5306,6)="MV15AX",LEFT(K5306,4)="CTAX",LEFT(K5306,2)="W|"),2*N5306*O5306,0)</f>
        <v/>
      </c>
      <c r="Z5306" s="12" t="inlineStr">
        <is>
          <t>VD 1.9 %</t>
        </is>
      </c>
      <c r="AA5306" s="12">
        <f>N5306*O5306</f>
        <v/>
      </c>
    </row>
    <row r="5307">
      <c r="A5307" s="12" t="inlineStr">
        <is>
          <t>I-P-0148</t>
        </is>
      </c>
      <c r="B5307" s="12" t="inlineStr">
        <is>
          <t>I</t>
        </is>
      </c>
      <c r="C5307" s="12" t="inlineStr">
        <is>
          <t>Modular / portable power</t>
        </is>
      </c>
      <c r="D5307" s="12" t="inlineStr">
        <is>
          <t>Motor 5 of 5, 30 kW (VFD output)</t>
        </is>
      </c>
      <c r="E5307" s="12" t="inlineStr"/>
      <c r="F5307" s="12" t="inlineStr">
        <is>
          <t>PCM: power control module</t>
        </is>
      </c>
      <c r="G5307" s="12" t="inlineStr"/>
      <c r="H5307" s="12" t="inlineStr">
        <is>
          <t>RICE 6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150</v>
      </c>
      <c r="V5307" s="15">
        <f>ROUNDUP((T5307+U5307+2*'Read Me'!$B$13)*(1+'Read Me'!$B$12),-1)</f>
        <v/>
      </c>
      <c r="W5307" s="15">
        <f>V5307*N5307*O5307</f>
        <v/>
      </c>
      <c r="X5307" s="12">
        <f>IF(LEFT(I5307,2)="MV",2*N5307*IF(L5307="1/C",O5307,1),0)</f>
        <v/>
      </c>
      <c r="Y5307" s="12">
        <f>IF(OR(LEFT(K5307,4)="LVAX",LEFT(K5307,6)="MV15AX",LEFT(K5307,4)="CTAX",LEFT(K5307,2)="W|"),2*N5307*O5307,0)</f>
        <v/>
      </c>
      <c r="Z5307" s="12" t="inlineStr">
        <is>
          <t>VD 1.9 %</t>
        </is>
      </c>
      <c r="AA5307" s="12">
        <f>N5307*O5307</f>
        <v/>
      </c>
    </row>
    <row r="5308">
      <c r="A5308" s="12" t="inlineStr">
        <is>
          <t>I-P-0149</t>
        </is>
      </c>
      <c r="B5308" s="12" t="inlineStr">
        <is>
          <t>I</t>
        </is>
      </c>
      <c r="C5308" s="12" t="inlineStr">
        <is>
          <t>Modular / portable power</t>
        </is>
      </c>
      <c r="D5308" s="12" t="inlineStr">
        <is>
          <t>Motor 1 of 1, 15 kW</t>
        </is>
      </c>
      <c r="E5308" s="12" t="inlineStr"/>
      <c r="F5308" s="12" t="inlineStr">
        <is>
          <t>PCM: power control module</t>
        </is>
      </c>
      <c r="G5308" s="12" t="inlineStr"/>
      <c r="H5308" s="12" t="inlineStr">
        <is>
          <t>RICE 7 SCR + oxidation catalyst and stack</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15</v>
      </c>
      <c r="R5308" s="12" t="n">
        <v>21.2</v>
      </c>
      <c r="S5308" s="12" t="inlineStr">
        <is>
          <t>Duct bank</t>
        </is>
      </c>
      <c r="T5308" s="15" t="n">
        <v>113</v>
      </c>
      <c r="U5308" s="15" t="n">
        <v>125</v>
      </c>
      <c r="V5308" s="15">
        <f>ROUNDUP((T5308+U5308+2*'Read Me'!$B$13)*(1+'Read Me'!$B$12),-1)</f>
        <v/>
      </c>
      <c r="W5308" s="15">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I-P-0150</t>
        </is>
      </c>
      <c r="B5309" s="12" t="inlineStr">
        <is>
          <t>I</t>
        </is>
      </c>
      <c r="C5309" s="12" t="inlineStr">
        <is>
          <t>Modular / portable power</t>
        </is>
      </c>
      <c r="D5309" s="12" t="inlineStr">
        <is>
          <t>Area / platform lighting circuit 1 (6 fixtures)</t>
        </is>
      </c>
      <c r="E5309" s="12" t="inlineStr"/>
      <c r="F5309" s="12" t="inlineStr">
        <is>
          <t>PCM: power control module</t>
        </is>
      </c>
      <c r="G5309" s="12" t="inlineStr"/>
      <c r="H5309" s="12" t="inlineStr">
        <is>
          <t>RICE 7 SCR + oxidation catalyst and stack</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3</v>
      </c>
      <c r="R5309" s="12" t="n">
        <v>5</v>
      </c>
      <c r="S5309" s="12" t="inlineStr">
        <is>
          <t>Duct bank</t>
        </is>
      </c>
      <c r="T5309" s="15" t="n">
        <v>413</v>
      </c>
      <c r="U5309" s="15" t="n">
        <v>125</v>
      </c>
      <c r="V5309" s="15">
        <f>ROUNDUP((T5309+U5309+2*'Read Me'!$B$13)*(1+'Read Me'!$B$12),-1)</f>
        <v/>
      </c>
      <c r="W5309" s="15">
        <f>V5309*N5309*O5309</f>
        <v/>
      </c>
      <c r="X5309" s="12">
        <f>IF(LEFT(I5309,2)="MV",2*N5309*IF(L5309="1/C",O5309,1),0)</f>
        <v/>
      </c>
      <c r="Y5309" s="12">
        <f>IF(OR(LEFT(K5309,4)="LVAX",LEFT(K5309,6)="MV15AX",LEFT(K5309,4)="CTAX",LEFT(K5309,2)="W|"),2*N5309*O5309,0)</f>
        <v/>
      </c>
      <c r="Z5309" s="12" t="inlineStr">
        <is>
          <t>fixture-to-fixture run included</t>
        </is>
      </c>
      <c r="AA5309" s="12">
        <f>N5309*O5309</f>
        <v/>
      </c>
    </row>
    <row r="5310">
      <c r="A5310" s="12" t="inlineStr">
        <is>
          <t>I-P-0151</t>
        </is>
      </c>
      <c r="B5310" s="12" t="inlineStr">
        <is>
          <t>I</t>
        </is>
      </c>
      <c r="C5310" s="12" t="inlineStr">
        <is>
          <t>Modular / portable power</t>
        </is>
      </c>
      <c r="D5310" s="12" t="inlineStr">
        <is>
          <t>Motor 1 of 5, 30 kW (VFD output)</t>
        </is>
      </c>
      <c r="E5310" s="12" t="inlineStr"/>
      <c r="F5310" s="12" t="inlineStr">
        <is>
          <t>PCM: power control module</t>
        </is>
      </c>
      <c r="G5310" s="12" t="inlineStr"/>
      <c r="H5310" s="12" t="inlineStr">
        <is>
          <t>RICE 7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122</v>
      </c>
      <c r="V5310" s="15">
        <f>ROUNDUP((T5310+U5310+2*'Read Me'!$B$13)*(1+'Read Me'!$B$12),-1)</f>
        <v/>
      </c>
      <c r="W5310" s="15">
        <f>V5310*N5310*O5310</f>
        <v/>
      </c>
      <c r="X5310" s="12">
        <f>IF(LEFT(I5310,2)="MV",2*N5310*IF(L5310="1/C",O5310,1),0)</f>
        <v/>
      </c>
      <c r="Y5310" s="12">
        <f>IF(OR(LEFT(K5310,4)="LVAX",LEFT(K5310,6)="MV15AX",LEFT(K5310,4)="CTAX",LEFT(K5310,2)="W|"),2*N5310*O5310,0)</f>
        <v/>
      </c>
      <c r="Z5310" s="12" t="inlineStr">
        <is>
          <t>VD 1.7 %</t>
        </is>
      </c>
      <c r="AA5310" s="12">
        <f>N5310*O5310</f>
        <v/>
      </c>
    </row>
    <row r="5311">
      <c r="A5311" s="12" t="inlineStr">
        <is>
          <t>I-P-0152</t>
        </is>
      </c>
      <c r="B5311" s="12" t="inlineStr">
        <is>
          <t>I</t>
        </is>
      </c>
      <c r="C5311" s="12" t="inlineStr">
        <is>
          <t>Modular / portable power</t>
        </is>
      </c>
      <c r="D5311" s="12" t="inlineStr">
        <is>
          <t>Motor 2 of 5, 30 kW (VFD output)</t>
        </is>
      </c>
      <c r="E5311" s="12" t="inlineStr"/>
      <c r="F5311" s="12" t="inlineStr">
        <is>
          <t>PCM: power control module</t>
        </is>
      </c>
      <c r="G5311" s="12" t="inlineStr"/>
      <c r="H5311" s="12" t="inlineStr">
        <is>
          <t>RICE 7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122</v>
      </c>
      <c r="V5311" s="15">
        <f>ROUNDUP((T5311+U5311+2*'Read Me'!$B$13)*(1+'Read Me'!$B$12),-1)</f>
        <v/>
      </c>
      <c r="W5311" s="15">
        <f>V5311*N5311*O5311</f>
        <v/>
      </c>
      <c r="X5311" s="12">
        <f>IF(LEFT(I5311,2)="MV",2*N5311*IF(L5311="1/C",O5311,1),0)</f>
        <v/>
      </c>
      <c r="Y5311" s="12">
        <f>IF(OR(LEFT(K5311,4)="LVAX",LEFT(K5311,6)="MV15AX",LEFT(K5311,4)="CTAX",LEFT(K5311,2)="W|"),2*N5311*O5311,0)</f>
        <v/>
      </c>
      <c r="Z5311" s="12" t="inlineStr">
        <is>
          <t>VD 1.7 %</t>
        </is>
      </c>
      <c r="AA5311" s="12">
        <f>N5311*O5311</f>
        <v/>
      </c>
    </row>
    <row r="5312">
      <c r="A5312" s="12" t="inlineStr">
        <is>
          <t>I-P-0153</t>
        </is>
      </c>
      <c r="B5312" s="12" t="inlineStr">
        <is>
          <t>I</t>
        </is>
      </c>
      <c r="C5312" s="12" t="inlineStr">
        <is>
          <t>Modular / portable power</t>
        </is>
      </c>
      <c r="D5312" s="12" t="inlineStr">
        <is>
          <t>Motor 3 of 5, 30 kW (VFD output)</t>
        </is>
      </c>
      <c r="E5312" s="12" t="inlineStr"/>
      <c r="F5312" s="12" t="inlineStr">
        <is>
          <t>PCM: power control module</t>
        </is>
      </c>
      <c r="G5312" s="12" t="inlineStr"/>
      <c r="H5312" s="12" t="inlineStr">
        <is>
          <t>RICE 7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122</v>
      </c>
      <c r="V5312" s="15">
        <f>ROUNDUP((T5312+U5312+2*'Read Me'!$B$13)*(1+'Read Me'!$B$12),-1)</f>
        <v/>
      </c>
      <c r="W5312" s="15">
        <f>V5312*N5312*O5312</f>
        <v/>
      </c>
      <c r="X5312" s="12">
        <f>IF(LEFT(I5312,2)="MV",2*N5312*IF(L5312="1/C",O5312,1),0)</f>
        <v/>
      </c>
      <c r="Y5312" s="12">
        <f>IF(OR(LEFT(K5312,4)="LVAX",LEFT(K5312,6)="MV15AX",LEFT(K5312,4)="CTAX",LEFT(K5312,2)="W|"),2*N5312*O5312,0)</f>
        <v/>
      </c>
      <c r="Z5312" s="12" t="inlineStr">
        <is>
          <t>VD 1.7 %</t>
        </is>
      </c>
      <c r="AA5312" s="12">
        <f>N5312*O5312</f>
        <v/>
      </c>
    </row>
    <row r="5313">
      <c r="A5313" s="12" t="inlineStr">
        <is>
          <t>I-P-0154</t>
        </is>
      </c>
      <c r="B5313" s="12" t="inlineStr">
        <is>
          <t>I</t>
        </is>
      </c>
      <c r="C5313" s="12" t="inlineStr">
        <is>
          <t>Modular / portable power</t>
        </is>
      </c>
      <c r="D5313" s="12" t="inlineStr">
        <is>
          <t>Motor 4 of 5, 30 kW (VFD output)</t>
        </is>
      </c>
      <c r="E5313" s="12" t="inlineStr"/>
      <c r="F5313" s="12" t="inlineStr">
        <is>
          <t>PCM: power control module</t>
        </is>
      </c>
      <c r="G5313" s="12" t="inlineStr"/>
      <c r="H5313" s="12" t="inlineStr">
        <is>
          <t>RICE 7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122</v>
      </c>
      <c r="V5313" s="15">
        <f>ROUNDUP((T5313+U5313+2*'Read Me'!$B$13)*(1+'Read Me'!$B$12),-1)</f>
        <v/>
      </c>
      <c r="W5313" s="15">
        <f>V5313*N5313*O5313</f>
        <v/>
      </c>
      <c r="X5313" s="12">
        <f>IF(LEFT(I5313,2)="MV",2*N5313*IF(L5313="1/C",O5313,1),0)</f>
        <v/>
      </c>
      <c r="Y5313" s="12">
        <f>IF(OR(LEFT(K5313,4)="LVAX",LEFT(K5313,6)="MV15AX",LEFT(K5313,4)="CTAX",LEFT(K5313,2)="W|"),2*N5313*O5313,0)</f>
        <v/>
      </c>
      <c r="Z5313" s="12" t="inlineStr">
        <is>
          <t>VD 1.7 %</t>
        </is>
      </c>
      <c r="AA5313" s="12">
        <f>N5313*O5313</f>
        <v/>
      </c>
    </row>
    <row r="5314">
      <c r="A5314" s="12" t="inlineStr">
        <is>
          <t>I-P-0155</t>
        </is>
      </c>
      <c r="B5314" s="12" t="inlineStr">
        <is>
          <t>I</t>
        </is>
      </c>
      <c r="C5314" s="12" t="inlineStr">
        <is>
          <t>Modular / portable power</t>
        </is>
      </c>
      <c r="D5314" s="12" t="inlineStr">
        <is>
          <t>Motor 5 of 5, 30 kW (VFD output)</t>
        </is>
      </c>
      <c r="E5314" s="12" t="inlineStr"/>
      <c r="F5314" s="12" t="inlineStr">
        <is>
          <t>PCM: power control module</t>
        </is>
      </c>
      <c r="G5314" s="12" t="inlineStr"/>
      <c r="H5314" s="12" t="inlineStr">
        <is>
          <t>RICE 7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122</v>
      </c>
      <c r="V5314" s="15">
        <f>ROUNDUP((T5314+U5314+2*'Read Me'!$B$13)*(1+'Read Me'!$B$12),-1)</f>
        <v/>
      </c>
      <c r="W5314" s="15">
        <f>V5314*N5314*O5314</f>
        <v/>
      </c>
      <c r="X5314" s="12">
        <f>IF(LEFT(I5314,2)="MV",2*N5314*IF(L5314="1/C",O5314,1),0)</f>
        <v/>
      </c>
      <c r="Y5314" s="12">
        <f>IF(OR(LEFT(K5314,4)="LVAX",LEFT(K5314,6)="MV15AX",LEFT(K5314,4)="CTAX",LEFT(K5314,2)="W|"),2*N5314*O5314,0)</f>
        <v/>
      </c>
      <c r="Z5314" s="12" t="inlineStr">
        <is>
          <t>VD 1.7 %</t>
        </is>
      </c>
      <c r="AA5314" s="12">
        <f>N5314*O5314</f>
        <v/>
      </c>
    </row>
    <row r="5315">
      <c r="A5315" s="12" t="inlineStr">
        <is>
          <t>I-P-0156</t>
        </is>
      </c>
      <c r="B5315" s="12" t="inlineStr">
        <is>
          <t>I</t>
        </is>
      </c>
      <c r="C5315" s="12" t="inlineStr">
        <is>
          <t>Modular / portable power</t>
        </is>
      </c>
      <c r="D5315" s="12" t="inlineStr">
        <is>
          <t>Motor 1 of 1, 15 kW</t>
        </is>
      </c>
      <c r="E5315" s="12" t="inlineStr"/>
      <c r="F5315" s="12" t="inlineStr">
        <is>
          <t>PCM: power control module</t>
        </is>
      </c>
      <c r="G5315" s="12" t="inlineStr"/>
      <c r="H5315" s="12" t="inlineStr">
        <is>
          <t>RICE 8 SCR + oxidation catalyst and stack</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15</v>
      </c>
      <c r="R5315" s="12" t="n">
        <v>21.2</v>
      </c>
      <c r="S5315" s="12" t="inlineStr">
        <is>
          <t>Duct bank</t>
        </is>
      </c>
      <c r="T5315" s="15" t="n">
        <v>113</v>
      </c>
      <c r="U5315" s="15" t="n">
        <v>97</v>
      </c>
      <c r="V5315" s="15">
        <f>ROUNDUP((T5315+U5315+2*'Read Me'!$B$13)*(1+'Read Me'!$B$12),-1)</f>
        <v/>
      </c>
      <c r="W5315" s="15">
        <f>V5315*N5315*O5315</f>
        <v/>
      </c>
      <c r="X5315" s="12">
        <f>IF(LEFT(I5315,2)="MV",2*N5315*IF(L5315="1/C",O5315,1),0)</f>
        <v/>
      </c>
      <c r="Y5315" s="12">
        <f>IF(OR(LEFT(K5315,4)="LVAX",LEFT(K5315,6)="MV15AX",LEFT(K5315,4)="CTAX",LEFT(K5315,2)="W|"),2*N5315*O5315,0)</f>
        <v/>
      </c>
      <c r="Z5315" s="12" t="inlineStr">
        <is>
          <t>VD 2.1 %</t>
        </is>
      </c>
      <c r="AA5315" s="12">
        <f>N5315*O5315</f>
        <v/>
      </c>
    </row>
    <row r="5316">
      <c r="A5316" s="12" t="inlineStr">
        <is>
          <t>I-P-0157</t>
        </is>
      </c>
      <c r="B5316" s="12" t="inlineStr">
        <is>
          <t>I</t>
        </is>
      </c>
      <c r="C5316" s="12" t="inlineStr">
        <is>
          <t>Modular / portable power</t>
        </is>
      </c>
      <c r="D5316" s="12" t="inlineStr">
        <is>
          <t>Area / platform lighting circuit 1 (6 fixtures)</t>
        </is>
      </c>
      <c r="E5316" s="12" t="inlineStr"/>
      <c r="F5316" s="12" t="inlineStr">
        <is>
          <t>PCM: power control module</t>
        </is>
      </c>
      <c r="G5316" s="12" t="inlineStr"/>
      <c r="H5316" s="12" t="inlineStr">
        <is>
          <t>RICE 8 SCR + oxidation catalyst and stack</t>
        </is>
      </c>
      <c r="I5316" s="12" t="inlineStr">
        <is>
          <t>LV 600 V</t>
        </is>
      </c>
      <c r="J5316" s="12" t="inlineStr">
        <is>
          <t>Type TC-ER 600 V 3/C Cu XHHW-2 + ground, PVC jacket</t>
        </is>
      </c>
      <c r="K5316" s="12" t="inlineStr">
        <is>
          <t>LV|3/C+G|10</t>
        </is>
      </c>
      <c r="L5316" s="12" t="inlineStr">
        <is>
          <t>3/C+G</t>
        </is>
      </c>
      <c r="M5316" s="12" t="inlineStr">
        <is>
          <t>10</t>
        </is>
      </c>
      <c r="N5316" s="12" t="n">
        <v>1</v>
      </c>
      <c r="O5316" s="12" t="n">
        <v>1</v>
      </c>
      <c r="P5316" s="12" t="n">
        <v>480</v>
      </c>
      <c r="Q5316" s="12" t="n">
        <v>3</v>
      </c>
      <c r="R5316" s="12" t="n">
        <v>5</v>
      </c>
      <c r="S5316" s="12" t="inlineStr">
        <is>
          <t>Duct bank</t>
        </is>
      </c>
      <c r="T5316" s="15" t="n">
        <v>413</v>
      </c>
      <c r="U5316" s="15" t="n">
        <v>97</v>
      </c>
      <c r="V5316" s="15">
        <f>ROUNDUP((T5316+U5316+2*'Read Me'!$B$13)*(1+'Read Me'!$B$12),-1)</f>
        <v/>
      </c>
      <c r="W5316" s="15">
        <f>V5316*N5316*O5316</f>
        <v/>
      </c>
      <c r="X5316" s="12">
        <f>IF(LEFT(I5316,2)="MV",2*N5316*IF(L5316="1/C",O5316,1),0)</f>
        <v/>
      </c>
      <c r="Y5316" s="12">
        <f>IF(OR(LEFT(K5316,4)="LVAX",LEFT(K5316,6)="MV15AX",LEFT(K5316,4)="CTAX",LEFT(K5316,2)="W|"),2*N5316*O5316,0)</f>
        <v/>
      </c>
      <c r="Z5316" s="12" t="inlineStr">
        <is>
          <t>fixture-to-fixture run included</t>
        </is>
      </c>
      <c r="AA5316" s="12">
        <f>N5316*O5316</f>
        <v/>
      </c>
    </row>
    <row r="5317">
      <c r="A5317" s="12" t="inlineStr">
        <is>
          <t>I-P-0158</t>
        </is>
      </c>
      <c r="B5317" s="12" t="inlineStr">
        <is>
          <t>I</t>
        </is>
      </c>
      <c r="C5317" s="12" t="inlineStr">
        <is>
          <t>Modular / portable power</t>
        </is>
      </c>
      <c r="D5317" s="12" t="inlineStr">
        <is>
          <t>Motor 1 of 5, 30 kW (VFD output)</t>
        </is>
      </c>
      <c r="E5317" s="12" t="inlineStr"/>
      <c r="F5317" s="12" t="inlineStr">
        <is>
          <t>PCM: power control module</t>
        </is>
      </c>
      <c r="G5317" s="12" t="inlineStr"/>
      <c r="H5317" s="12" t="inlineStr">
        <is>
          <t>RICE 8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94</v>
      </c>
      <c r="V5317" s="15">
        <f>ROUNDUP((T5317+U5317+2*'Read Me'!$B$13)*(1+'Read Me'!$B$12),-1)</f>
        <v/>
      </c>
      <c r="W5317" s="15">
        <f>V5317*N5317*O5317</f>
        <v/>
      </c>
      <c r="X5317" s="12">
        <f>IF(LEFT(I5317,2)="MV",2*N5317*IF(L5317="1/C",O5317,1),0)</f>
        <v/>
      </c>
      <c r="Y5317" s="12">
        <f>IF(OR(LEFT(K5317,4)="LVAX",LEFT(K5317,6)="MV15AX",LEFT(K5317,4)="CTAX",LEFT(K5317,2)="W|"),2*N5317*O5317,0)</f>
        <v/>
      </c>
      <c r="Z5317" s="12" t="inlineStr">
        <is>
          <t>VD 1.4 %</t>
        </is>
      </c>
      <c r="AA5317" s="12">
        <f>N5317*O5317</f>
        <v/>
      </c>
    </row>
    <row r="5318">
      <c r="A5318" s="12" t="inlineStr">
        <is>
          <t>I-P-0159</t>
        </is>
      </c>
      <c r="B5318" s="12" t="inlineStr">
        <is>
          <t>I</t>
        </is>
      </c>
      <c r="C5318" s="12" t="inlineStr">
        <is>
          <t>Modular / portable power</t>
        </is>
      </c>
      <c r="D5318" s="12" t="inlineStr">
        <is>
          <t>Motor 2 of 5, 30 kW (VFD output)</t>
        </is>
      </c>
      <c r="E5318" s="12" t="inlineStr"/>
      <c r="F5318" s="12" t="inlineStr">
        <is>
          <t>PCM: power control module</t>
        </is>
      </c>
      <c r="G5318" s="12" t="inlineStr"/>
      <c r="H5318" s="12" t="inlineStr">
        <is>
          <t>RICE 8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94</v>
      </c>
      <c r="V5318" s="15">
        <f>ROUNDUP((T5318+U5318+2*'Read Me'!$B$13)*(1+'Read Me'!$B$12),-1)</f>
        <v/>
      </c>
      <c r="W5318" s="15">
        <f>V5318*N5318*O5318</f>
        <v/>
      </c>
      <c r="X5318" s="12">
        <f>IF(LEFT(I5318,2)="MV",2*N5318*IF(L5318="1/C",O5318,1),0)</f>
        <v/>
      </c>
      <c r="Y5318" s="12">
        <f>IF(OR(LEFT(K5318,4)="LVAX",LEFT(K5318,6)="MV15AX",LEFT(K5318,4)="CTAX",LEFT(K5318,2)="W|"),2*N5318*O5318,0)</f>
        <v/>
      </c>
      <c r="Z5318" s="12" t="inlineStr">
        <is>
          <t>VD 1.4 %</t>
        </is>
      </c>
      <c r="AA5318" s="12">
        <f>N5318*O5318</f>
        <v/>
      </c>
    </row>
    <row r="5319">
      <c r="A5319" s="12" t="inlineStr">
        <is>
          <t>I-P-0160</t>
        </is>
      </c>
      <c r="B5319" s="12" t="inlineStr">
        <is>
          <t>I</t>
        </is>
      </c>
      <c r="C5319" s="12" t="inlineStr">
        <is>
          <t>Modular / portable power</t>
        </is>
      </c>
      <c r="D5319" s="12" t="inlineStr">
        <is>
          <t>Motor 3 of 5, 30 kW (VFD output)</t>
        </is>
      </c>
      <c r="E5319" s="12" t="inlineStr"/>
      <c r="F5319" s="12" t="inlineStr">
        <is>
          <t>PCM: power control module</t>
        </is>
      </c>
      <c r="G5319" s="12" t="inlineStr"/>
      <c r="H5319" s="12" t="inlineStr">
        <is>
          <t>RICE 8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94</v>
      </c>
      <c r="V5319" s="15">
        <f>ROUNDUP((T5319+U5319+2*'Read Me'!$B$13)*(1+'Read Me'!$B$12),-1)</f>
        <v/>
      </c>
      <c r="W5319" s="15">
        <f>V5319*N5319*O5319</f>
        <v/>
      </c>
      <c r="X5319" s="12">
        <f>IF(LEFT(I5319,2)="MV",2*N5319*IF(L5319="1/C",O5319,1),0)</f>
        <v/>
      </c>
      <c r="Y5319" s="12">
        <f>IF(OR(LEFT(K5319,4)="LVAX",LEFT(K5319,6)="MV15AX",LEFT(K5319,4)="CTAX",LEFT(K5319,2)="W|"),2*N5319*O5319,0)</f>
        <v/>
      </c>
      <c r="Z5319" s="12" t="inlineStr">
        <is>
          <t>VD 1.4 %</t>
        </is>
      </c>
      <c r="AA5319" s="12">
        <f>N5319*O5319</f>
        <v/>
      </c>
    </row>
    <row r="5320">
      <c r="A5320" s="12" t="inlineStr">
        <is>
          <t>I-P-0161</t>
        </is>
      </c>
      <c r="B5320" s="12" t="inlineStr">
        <is>
          <t>I</t>
        </is>
      </c>
      <c r="C5320" s="12" t="inlineStr">
        <is>
          <t>Modular / portable power</t>
        </is>
      </c>
      <c r="D5320" s="12" t="inlineStr">
        <is>
          <t>Motor 4 of 5, 30 kW (VFD output)</t>
        </is>
      </c>
      <c r="E5320" s="12" t="inlineStr"/>
      <c r="F5320" s="12" t="inlineStr">
        <is>
          <t>PCM: power control module</t>
        </is>
      </c>
      <c r="G5320" s="12" t="inlineStr"/>
      <c r="H5320" s="12" t="inlineStr">
        <is>
          <t>RICE 8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94</v>
      </c>
      <c r="V5320" s="15">
        <f>ROUNDUP((T5320+U5320+2*'Read Me'!$B$13)*(1+'Read Me'!$B$12),-1)</f>
        <v/>
      </c>
      <c r="W5320" s="15">
        <f>V5320*N5320*O5320</f>
        <v/>
      </c>
      <c r="X5320" s="12">
        <f>IF(LEFT(I5320,2)="MV",2*N5320*IF(L5320="1/C",O5320,1),0)</f>
        <v/>
      </c>
      <c r="Y5320" s="12">
        <f>IF(OR(LEFT(K5320,4)="LVAX",LEFT(K5320,6)="MV15AX",LEFT(K5320,4)="CTAX",LEFT(K5320,2)="W|"),2*N5320*O5320,0)</f>
        <v/>
      </c>
      <c r="Z5320" s="12" t="inlineStr">
        <is>
          <t>VD 1.4 %</t>
        </is>
      </c>
      <c r="AA5320" s="12">
        <f>N5320*O5320</f>
        <v/>
      </c>
    </row>
    <row r="5321">
      <c r="A5321" s="12" t="inlineStr">
        <is>
          <t>I-P-0162</t>
        </is>
      </c>
      <c r="B5321" s="12" t="inlineStr">
        <is>
          <t>I</t>
        </is>
      </c>
      <c r="C5321" s="12" t="inlineStr">
        <is>
          <t>Modular / portable power</t>
        </is>
      </c>
      <c r="D5321" s="12" t="inlineStr">
        <is>
          <t>Motor 5 of 5, 30 kW (VFD output)</t>
        </is>
      </c>
      <c r="E5321" s="12" t="inlineStr"/>
      <c r="F5321" s="12" t="inlineStr">
        <is>
          <t>PCM: power control module</t>
        </is>
      </c>
      <c r="G5321" s="12" t="inlineStr"/>
      <c r="H5321" s="12" t="inlineStr">
        <is>
          <t>RICE 8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94</v>
      </c>
      <c r="V5321" s="15">
        <f>ROUNDUP((T5321+U5321+2*'Read Me'!$B$13)*(1+'Read Me'!$B$12),-1)</f>
        <v/>
      </c>
      <c r="W5321" s="15">
        <f>V5321*N5321*O5321</f>
        <v/>
      </c>
      <c r="X5321" s="12">
        <f>IF(LEFT(I5321,2)="MV",2*N5321*IF(L5321="1/C",O5321,1),0)</f>
        <v/>
      </c>
      <c r="Y5321" s="12">
        <f>IF(OR(LEFT(K5321,4)="LVAX",LEFT(K5321,6)="MV15AX",LEFT(K5321,4)="CTAX",LEFT(K5321,2)="W|"),2*N5321*O5321,0)</f>
        <v/>
      </c>
      <c r="Z5321" s="12" t="inlineStr">
        <is>
          <t>VD 1.4 %</t>
        </is>
      </c>
      <c r="AA5321" s="12">
        <f>N5321*O5321</f>
        <v/>
      </c>
    </row>
    <row r="5322">
      <c r="A5322" s="12" t="inlineStr">
        <is>
          <t>I-P-0163</t>
        </is>
      </c>
      <c r="B5322" s="12" t="inlineStr">
        <is>
          <t>I</t>
        </is>
      </c>
      <c r="C5322" s="12" t="inlineStr">
        <is>
          <t>Modular / portable power</t>
        </is>
      </c>
      <c r="D5322" s="12" t="inlineStr">
        <is>
          <t>LV panel / distribution feeder</t>
        </is>
      </c>
      <c r="E5322" s="12" t="inlineStr"/>
      <c r="F5322" s="12" t="inlineStr">
        <is>
          <t>PCM: power control module</t>
        </is>
      </c>
      <c r="G5322" s="12" t="inlineStr"/>
      <c r="H5322" s="12" t="inlineStr">
        <is>
          <t>RICE CEMS</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30</v>
      </c>
      <c r="R5322" s="12" t="n">
        <v>42.5</v>
      </c>
      <c r="S5322" s="12" t="inlineStr">
        <is>
          <t>Duct bank</t>
        </is>
      </c>
      <c r="T5322" s="15" t="n">
        <v>158</v>
      </c>
      <c r="U5322" s="15" t="n">
        <v>32</v>
      </c>
      <c r="V5322" s="15">
        <f>ROUNDUP((T5322+U5322+2*'Read Me'!$B$13)*(1+'Read Me'!$B$12),-1)</f>
        <v/>
      </c>
      <c r="W5322" s="15">
        <f>V5322*N5322*O5322</f>
        <v/>
      </c>
      <c r="X5322" s="12">
        <f>IF(LEFT(I5322,2)="MV",2*N5322*IF(L5322="1/C",O5322,1),0)</f>
        <v/>
      </c>
      <c r="Y5322" s="12">
        <f>IF(OR(LEFT(K5322,4)="LVAX",LEFT(K5322,6)="MV15AX",LEFT(K5322,4)="CTAX",LEFT(K5322,2)="W|"),2*N5322*O5322,0)</f>
        <v/>
      </c>
      <c r="Z5322" s="12" t="inlineStr">
        <is>
          <t>VD 1.6 %</t>
        </is>
      </c>
      <c r="AA5322" s="12">
        <f>N5322*O5322</f>
        <v/>
      </c>
    </row>
    <row r="5323">
      <c r="A5323" s="12" t="inlineStr">
        <is>
          <t>I-P-0164</t>
        </is>
      </c>
      <c r="B5323" s="12" t="inlineStr">
        <is>
          <t>I</t>
        </is>
      </c>
      <c r="C5323" s="12" t="inlineStr">
        <is>
          <t>Modular / portable power</t>
        </is>
      </c>
      <c r="D5323" s="12" t="inlineStr">
        <is>
          <t>LV power feeder</t>
        </is>
      </c>
      <c r="E5323" s="12" t="inlineStr"/>
      <c r="F5323" s="12" t="inlineStr">
        <is>
          <t>PCM: power control module</t>
        </is>
      </c>
      <c r="G5323" s="12" t="inlineStr">
        <is>
          <t>RICE</t>
        </is>
      </c>
      <c r="H5323" s="12" t="inlineStr">
        <is>
          <t>RICE engine hall (8 engines)</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15</v>
      </c>
      <c r="R5323" s="12" t="n">
        <v>21.2</v>
      </c>
      <c r="S5323" s="12" t="inlineStr">
        <is>
          <t>Duct bank</t>
        </is>
      </c>
      <c r="T5323" s="15" t="n">
        <v>57</v>
      </c>
      <c r="U5323" s="15" t="n">
        <v>83</v>
      </c>
      <c r="V5323" s="15">
        <f>ROUNDUP((T5323+U5323+2*'Read Me'!$B$13)*(1+'Read Me'!$B$12),-1)</f>
        <v/>
      </c>
      <c r="W5323" s="15">
        <f>V5323*N5323*O5323</f>
        <v/>
      </c>
      <c r="X5323" s="12">
        <f>IF(LEFT(I5323,2)="MV",2*N5323*IF(L5323="1/C",O5323,1),0)</f>
        <v/>
      </c>
      <c r="Y5323" s="12">
        <f>IF(OR(LEFT(K5323,4)="LVAX",LEFT(K5323,6)="MV15AX",LEFT(K5323,4)="CTAX",LEFT(K5323,2)="W|"),2*N5323*O5323,0)</f>
        <v/>
      </c>
      <c r="Z5323" s="12" t="inlineStr">
        <is>
          <t>VD 1.4 %</t>
        </is>
      </c>
      <c r="AA5323" s="12">
        <f>N5323*O5323</f>
        <v/>
      </c>
    </row>
    <row r="5324">
      <c r="A5324" s="12" t="inlineStr">
        <is>
          <t>I-P-0165</t>
        </is>
      </c>
      <c r="B5324" s="12" t="inlineStr">
        <is>
          <t>I</t>
        </is>
      </c>
      <c r="C5324" s="12" t="inlineStr">
        <is>
          <t>Modular / portable power</t>
        </is>
      </c>
      <c r="D5324" s="12" t="inlineStr">
        <is>
          <t>Motor 1 of 6, 22 kW</t>
        </is>
      </c>
      <c r="E5324" s="12" t="inlineStr"/>
      <c r="F5324" s="12" t="inlineStr">
        <is>
          <t>PCM: power control module</t>
        </is>
      </c>
      <c r="G5324" s="12" t="inlineStr">
        <is>
          <t>RICE-1</t>
        </is>
      </c>
      <c r="H5324" s="12" t="inlineStr">
        <is>
          <t>RICE engine-generator 1</t>
        </is>
      </c>
      <c r="I5324" s="12" t="inlineStr">
        <is>
          <t>LV 600 V</t>
        </is>
      </c>
      <c r="J5324" s="12" t="inlineStr">
        <is>
          <t>Type TC-ER 600 V 3/C Cu XHHW-2 + ground, PVC jacket</t>
        </is>
      </c>
      <c r="K5324" s="12" t="inlineStr">
        <is>
          <t>LV|3/C+G|4</t>
        </is>
      </c>
      <c r="L5324" s="12" t="inlineStr">
        <is>
          <t>3/C+G</t>
        </is>
      </c>
      <c r="M5324" s="12" t="inlineStr">
        <is>
          <t>4</t>
        </is>
      </c>
      <c r="N5324" s="12" t="n">
        <v>1</v>
      </c>
      <c r="O5324" s="12" t="n">
        <v>1</v>
      </c>
      <c r="P5324" s="12" t="n">
        <v>480</v>
      </c>
      <c r="Q5324" s="12" t="n">
        <v>22</v>
      </c>
      <c r="R5324" s="12" t="n">
        <v>31.1</v>
      </c>
      <c r="S5324" s="12" t="inlineStr">
        <is>
          <t>Duct bank</t>
        </is>
      </c>
      <c r="T5324" s="15" t="n">
        <v>516</v>
      </c>
      <c r="U5324" s="15" t="n">
        <v>137</v>
      </c>
      <c r="V5324" s="15">
        <f>ROUNDUP((T5324+U5324+2*'Read Me'!$B$13)*(1+'Read Me'!$B$12),-1)</f>
        <v/>
      </c>
      <c r="W5324" s="15">
        <f>V5324*N5324*O5324</f>
        <v/>
      </c>
      <c r="X5324" s="12">
        <f>IF(LEFT(I5324,2)="MV",2*N5324*IF(L5324="1/C",O5324,1),0)</f>
        <v/>
      </c>
      <c r="Y5324" s="12">
        <f>IF(OR(LEFT(K5324,4)="LVAX",LEFT(K5324,6)="MV15AX",LEFT(K5324,4)="CTAX",LEFT(K5324,2)="W|"),2*N5324*O5324,0)</f>
        <v/>
      </c>
      <c r="Z5324" s="12" t="inlineStr">
        <is>
          <t>VD 2.5 %</t>
        </is>
      </c>
      <c r="AA5324" s="12">
        <f>N5324*O5324</f>
        <v/>
      </c>
    </row>
    <row r="5325">
      <c r="A5325" s="12" t="inlineStr">
        <is>
          <t>I-P-0166</t>
        </is>
      </c>
      <c r="B5325" s="12" t="inlineStr">
        <is>
          <t>I</t>
        </is>
      </c>
      <c r="C5325" s="12" t="inlineStr">
        <is>
          <t>Modular / portable power</t>
        </is>
      </c>
      <c r="D5325" s="12" t="inlineStr">
        <is>
          <t>Motor 2 of 6, 22 kW</t>
        </is>
      </c>
      <c r="E5325" s="12" t="inlineStr"/>
      <c r="F5325" s="12" t="inlineStr">
        <is>
          <t>PCM: power control module</t>
        </is>
      </c>
      <c r="G5325" s="12" t="inlineStr">
        <is>
          <t>RICE-1</t>
        </is>
      </c>
      <c r="H5325" s="12" t="inlineStr">
        <is>
          <t>RICE engine-generator 1</t>
        </is>
      </c>
      <c r="I5325" s="12" t="inlineStr">
        <is>
          <t>LV 600 V</t>
        </is>
      </c>
      <c r="J5325" s="12" t="inlineStr">
        <is>
          <t>Type TC-ER 600 V 3/C Cu XHHW-2 + ground, PVC jacket</t>
        </is>
      </c>
      <c r="K5325" s="12" t="inlineStr">
        <is>
          <t>LV|3/C+G|4</t>
        </is>
      </c>
      <c r="L5325" s="12" t="inlineStr">
        <is>
          <t>3/C+G</t>
        </is>
      </c>
      <c r="M5325" s="12" t="inlineStr">
        <is>
          <t>4</t>
        </is>
      </c>
      <c r="N5325" s="12" t="n">
        <v>1</v>
      </c>
      <c r="O5325" s="12" t="n">
        <v>1</v>
      </c>
      <c r="P5325" s="12" t="n">
        <v>480</v>
      </c>
      <c r="Q5325" s="12" t="n">
        <v>22</v>
      </c>
      <c r="R5325" s="12" t="n">
        <v>31.1</v>
      </c>
      <c r="S5325" s="12" t="inlineStr">
        <is>
          <t>Duct bank</t>
        </is>
      </c>
      <c r="T5325" s="15" t="n">
        <v>516</v>
      </c>
      <c r="U5325" s="15" t="n">
        <v>137</v>
      </c>
      <c r="V5325" s="15">
        <f>ROUNDUP((T5325+U5325+2*'Read Me'!$B$13)*(1+'Read Me'!$B$12),-1)</f>
        <v/>
      </c>
      <c r="W5325" s="15">
        <f>V5325*N5325*O5325</f>
        <v/>
      </c>
      <c r="X5325" s="12">
        <f>IF(LEFT(I5325,2)="MV",2*N5325*IF(L5325="1/C",O5325,1),0)</f>
        <v/>
      </c>
      <c r="Y5325" s="12">
        <f>IF(OR(LEFT(K5325,4)="LVAX",LEFT(K5325,6)="MV15AX",LEFT(K5325,4)="CTAX",LEFT(K5325,2)="W|"),2*N5325*O5325,0)</f>
        <v/>
      </c>
      <c r="Z5325" s="12" t="inlineStr">
        <is>
          <t>VD 2.5 %</t>
        </is>
      </c>
      <c r="AA5325" s="12">
        <f>N5325*O5325</f>
        <v/>
      </c>
    </row>
    <row r="5326">
      <c r="A5326" s="12" t="inlineStr">
        <is>
          <t>I-P-0167</t>
        </is>
      </c>
      <c r="B5326" s="12" t="inlineStr">
        <is>
          <t>I</t>
        </is>
      </c>
      <c r="C5326" s="12" t="inlineStr">
        <is>
          <t>Modular / portable power</t>
        </is>
      </c>
      <c r="D5326" s="12" t="inlineStr">
        <is>
          <t>Motor 3 of 6, 22 kW</t>
        </is>
      </c>
      <c r="E5326" s="12" t="inlineStr"/>
      <c r="F5326" s="12" t="inlineStr">
        <is>
          <t>PCM: power control module</t>
        </is>
      </c>
      <c r="G5326" s="12" t="inlineStr">
        <is>
          <t>RICE-1</t>
        </is>
      </c>
      <c r="H5326" s="12" t="inlineStr">
        <is>
          <t>RICE engine-generator 1</t>
        </is>
      </c>
      <c r="I5326" s="12" t="inlineStr">
        <is>
          <t>LV 600 V</t>
        </is>
      </c>
      <c r="J5326" s="12" t="inlineStr">
        <is>
          <t>Type TC-ER 600 V 3/C Cu XHHW-2 + ground, PVC jacket</t>
        </is>
      </c>
      <c r="K5326" s="12" t="inlineStr">
        <is>
          <t>LV|3/C+G|4</t>
        </is>
      </c>
      <c r="L5326" s="12" t="inlineStr">
        <is>
          <t>3/C+G</t>
        </is>
      </c>
      <c r="M5326" s="12" t="inlineStr">
        <is>
          <t>4</t>
        </is>
      </c>
      <c r="N5326" s="12" t="n">
        <v>1</v>
      </c>
      <c r="O5326" s="12" t="n">
        <v>1</v>
      </c>
      <c r="P5326" s="12" t="n">
        <v>480</v>
      </c>
      <c r="Q5326" s="12" t="n">
        <v>22</v>
      </c>
      <c r="R5326" s="12" t="n">
        <v>31.1</v>
      </c>
      <c r="S5326" s="12" t="inlineStr">
        <is>
          <t>Duct bank</t>
        </is>
      </c>
      <c r="T5326" s="15" t="n">
        <v>516</v>
      </c>
      <c r="U5326" s="15" t="n">
        <v>137</v>
      </c>
      <c r="V5326" s="15">
        <f>ROUNDUP((T5326+U5326+2*'Read Me'!$B$13)*(1+'Read Me'!$B$12),-1)</f>
        <v/>
      </c>
      <c r="W5326" s="15">
        <f>V5326*N5326*O5326</f>
        <v/>
      </c>
      <c r="X5326" s="12">
        <f>IF(LEFT(I5326,2)="MV",2*N5326*IF(L5326="1/C",O5326,1),0)</f>
        <v/>
      </c>
      <c r="Y5326" s="12">
        <f>IF(OR(LEFT(K5326,4)="LVAX",LEFT(K5326,6)="MV15AX",LEFT(K5326,4)="CTAX",LEFT(K5326,2)="W|"),2*N5326*O5326,0)</f>
        <v/>
      </c>
      <c r="Z5326" s="12" t="inlineStr">
        <is>
          <t>VD 2.5 %</t>
        </is>
      </c>
      <c r="AA5326" s="12">
        <f>N5326*O5326</f>
        <v/>
      </c>
    </row>
    <row r="5327">
      <c r="A5327" s="12" t="inlineStr">
        <is>
          <t>I-P-0168</t>
        </is>
      </c>
      <c r="B5327" s="12" t="inlineStr">
        <is>
          <t>I</t>
        </is>
      </c>
      <c r="C5327" s="12" t="inlineStr">
        <is>
          <t>Modular / portable power</t>
        </is>
      </c>
      <c r="D5327" s="12" t="inlineStr">
        <is>
          <t>Motor 4 of 6, 22 kW</t>
        </is>
      </c>
      <c r="E5327" s="12" t="inlineStr"/>
      <c r="F5327" s="12" t="inlineStr">
        <is>
          <t>PCM: power control module</t>
        </is>
      </c>
      <c r="G5327" s="12" t="inlineStr">
        <is>
          <t>RICE-1</t>
        </is>
      </c>
      <c r="H5327" s="12" t="inlineStr">
        <is>
          <t>RICE engine-generator 1</t>
        </is>
      </c>
      <c r="I5327" s="12" t="inlineStr">
        <is>
          <t>LV 600 V</t>
        </is>
      </c>
      <c r="J5327" s="12" t="inlineStr">
        <is>
          <t>Type TC-ER 600 V 3/C Cu XHHW-2 + ground, PVC jacket</t>
        </is>
      </c>
      <c r="K5327" s="12" t="inlineStr">
        <is>
          <t>LV|3/C+G|4</t>
        </is>
      </c>
      <c r="L5327" s="12" t="inlineStr">
        <is>
          <t>3/C+G</t>
        </is>
      </c>
      <c r="M5327" s="12" t="inlineStr">
        <is>
          <t>4</t>
        </is>
      </c>
      <c r="N5327" s="12" t="n">
        <v>1</v>
      </c>
      <c r="O5327" s="12" t="n">
        <v>1</v>
      </c>
      <c r="P5327" s="12" t="n">
        <v>480</v>
      </c>
      <c r="Q5327" s="12" t="n">
        <v>22</v>
      </c>
      <c r="R5327" s="12" t="n">
        <v>31.1</v>
      </c>
      <c r="S5327" s="12" t="inlineStr">
        <is>
          <t>Duct bank</t>
        </is>
      </c>
      <c r="T5327" s="15" t="n">
        <v>516</v>
      </c>
      <c r="U5327" s="15" t="n">
        <v>137</v>
      </c>
      <c r="V5327" s="15">
        <f>ROUNDUP((T5327+U5327+2*'Read Me'!$B$13)*(1+'Read Me'!$B$12),-1)</f>
        <v/>
      </c>
      <c r="W5327" s="15">
        <f>V5327*N5327*O5327</f>
        <v/>
      </c>
      <c r="X5327" s="12">
        <f>IF(LEFT(I5327,2)="MV",2*N5327*IF(L5327="1/C",O5327,1),0)</f>
        <v/>
      </c>
      <c r="Y5327" s="12">
        <f>IF(OR(LEFT(K5327,4)="LVAX",LEFT(K5327,6)="MV15AX",LEFT(K5327,4)="CTAX",LEFT(K5327,2)="W|"),2*N5327*O5327,0)</f>
        <v/>
      </c>
      <c r="Z5327" s="12" t="inlineStr">
        <is>
          <t>VD 2.5 %</t>
        </is>
      </c>
      <c r="AA5327" s="12">
        <f>N5327*O5327</f>
        <v/>
      </c>
    </row>
    <row r="5328">
      <c r="A5328" s="12" t="inlineStr">
        <is>
          <t>I-P-0169</t>
        </is>
      </c>
      <c r="B5328" s="12" t="inlineStr">
        <is>
          <t>I</t>
        </is>
      </c>
      <c r="C5328" s="12" t="inlineStr">
        <is>
          <t>Modular / portable power</t>
        </is>
      </c>
      <c r="D5328" s="12" t="inlineStr">
        <is>
          <t>Motor 5 of 6, 22 kW</t>
        </is>
      </c>
      <c r="E5328" s="12" t="inlineStr"/>
      <c r="F5328" s="12" t="inlineStr">
        <is>
          <t>PCM: power control module</t>
        </is>
      </c>
      <c r="G5328" s="12" t="inlineStr">
        <is>
          <t>RICE-1</t>
        </is>
      </c>
      <c r="H5328" s="12" t="inlineStr">
        <is>
          <t>RICE engine-generator 1</t>
        </is>
      </c>
      <c r="I5328" s="12" t="inlineStr">
        <is>
          <t>LV 600 V</t>
        </is>
      </c>
      <c r="J5328" s="12" t="inlineStr">
        <is>
          <t>Type TC-ER 600 V 3/C Cu XHHW-2 + ground, PVC jacket</t>
        </is>
      </c>
      <c r="K5328" s="12" t="inlineStr">
        <is>
          <t>LV|3/C+G|4</t>
        </is>
      </c>
      <c r="L5328" s="12" t="inlineStr">
        <is>
          <t>3/C+G</t>
        </is>
      </c>
      <c r="M5328" s="12" t="inlineStr">
        <is>
          <t>4</t>
        </is>
      </c>
      <c r="N5328" s="12" t="n">
        <v>1</v>
      </c>
      <c r="O5328" s="12" t="n">
        <v>1</v>
      </c>
      <c r="P5328" s="12" t="n">
        <v>480</v>
      </c>
      <c r="Q5328" s="12" t="n">
        <v>22</v>
      </c>
      <c r="R5328" s="12" t="n">
        <v>31.1</v>
      </c>
      <c r="S5328" s="12" t="inlineStr">
        <is>
          <t>Duct bank</t>
        </is>
      </c>
      <c r="T5328" s="15" t="n">
        <v>516</v>
      </c>
      <c r="U5328" s="15" t="n">
        <v>137</v>
      </c>
      <c r="V5328" s="15">
        <f>ROUNDUP((T5328+U5328+2*'Read Me'!$B$13)*(1+'Read Me'!$B$12),-1)</f>
        <v/>
      </c>
      <c r="W5328" s="15">
        <f>V5328*N5328*O5328</f>
        <v/>
      </c>
      <c r="X5328" s="12">
        <f>IF(LEFT(I5328,2)="MV",2*N5328*IF(L5328="1/C",O5328,1),0)</f>
        <v/>
      </c>
      <c r="Y5328" s="12">
        <f>IF(OR(LEFT(K5328,4)="LVAX",LEFT(K5328,6)="MV15AX",LEFT(K5328,4)="CTAX",LEFT(K5328,2)="W|"),2*N5328*O5328,0)</f>
        <v/>
      </c>
      <c r="Z5328" s="12" t="inlineStr">
        <is>
          <t>VD 2.5 %</t>
        </is>
      </c>
      <c r="AA5328" s="12">
        <f>N5328*O5328</f>
        <v/>
      </c>
    </row>
    <row r="5329">
      <c r="A5329" s="12" t="inlineStr">
        <is>
          <t>I-P-0170</t>
        </is>
      </c>
      <c r="B5329" s="12" t="inlineStr">
        <is>
          <t>I</t>
        </is>
      </c>
      <c r="C5329" s="12" t="inlineStr">
        <is>
          <t>Modular / portable power</t>
        </is>
      </c>
      <c r="D5329" s="12" t="inlineStr">
        <is>
          <t>Motor 6 of 6, 22 kW</t>
        </is>
      </c>
      <c r="E5329" s="12" t="inlineStr"/>
      <c r="F5329" s="12" t="inlineStr">
        <is>
          <t>PCM: power control module</t>
        </is>
      </c>
      <c r="G5329" s="12" t="inlineStr">
        <is>
          <t>RICE-1</t>
        </is>
      </c>
      <c r="H5329" s="12" t="inlineStr">
        <is>
          <t>RICE engine-generator 1</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5" t="n">
        <v>516</v>
      </c>
      <c r="U5329" s="15" t="n">
        <v>137</v>
      </c>
      <c r="V5329" s="15">
        <f>ROUNDUP((T5329+U5329+2*'Read Me'!$B$13)*(1+'Read Me'!$B$12),-1)</f>
        <v/>
      </c>
      <c r="W5329" s="15">
        <f>V5329*N5329*O5329</f>
        <v/>
      </c>
      <c r="X5329" s="12">
        <f>IF(LEFT(I5329,2)="MV",2*N5329*IF(L5329="1/C",O5329,1),0)</f>
        <v/>
      </c>
      <c r="Y5329" s="12">
        <f>IF(OR(LEFT(K5329,4)="LVAX",LEFT(K5329,6)="MV15AX",LEFT(K5329,4)="CTAX",LEFT(K5329,2)="W|"),2*N5329*O5329,0)</f>
        <v/>
      </c>
      <c r="Z5329" s="12" t="inlineStr">
        <is>
          <t>VD 2.5 %</t>
        </is>
      </c>
      <c r="AA5329" s="12">
        <f>N5329*O5329</f>
        <v/>
      </c>
    </row>
    <row r="5330">
      <c r="A5330" s="12" t="inlineStr">
        <is>
          <t>I-P-0171</t>
        </is>
      </c>
      <c r="B5330" s="12" t="inlineStr">
        <is>
          <t>I</t>
        </is>
      </c>
      <c r="C5330" s="12" t="inlineStr">
        <is>
          <t>Modular / portable power</t>
        </is>
      </c>
      <c r="D5330" s="12" t="inlineStr">
        <is>
          <t>480 V welding receptacle 1</t>
        </is>
      </c>
      <c r="E5330" s="12" t="inlineStr"/>
      <c r="F5330" s="12" t="inlineStr">
        <is>
          <t>PCM: power control module</t>
        </is>
      </c>
      <c r="G5330" s="12" t="inlineStr">
        <is>
          <t>RICE-1</t>
        </is>
      </c>
      <c r="H5330" s="12" t="inlineStr">
        <is>
          <t>RICE engine-generator 1</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60</v>
      </c>
      <c r="R5330" s="12" t="n">
        <v>76</v>
      </c>
      <c r="S5330" s="12" t="inlineStr">
        <is>
          <t>Duct bank</t>
        </is>
      </c>
      <c r="T5330" s="15" t="n">
        <v>516</v>
      </c>
      <c r="U5330" s="15" t="n">
        <v>137</v>
      </c>
      <c r="V5330" s="15">
        <f>ROUNDUP((T5330+U5330+2*'Read Me'!$B$13)*(1+'Read Me'!$B$12),-1)</f>
        <v/>
      </c>
      <c r="W5330" s="15">
        <f>V5330*N5330*O5330</f>
        <v/>
      </c>
      <c r="X5330" s="12">
        <f>IF(LEFT(I5330,2)="MV",2*N5330*IF(L5330="1/C",O5330,1),0)</f>
        <v/>
      </c>
      <c r="Y5330" s="12">
        <f>IF(OR(LEFT(K5330,4)="LVAX",LEFT(K5330,6)="MV15AX",LEFT(K5330,4)="CTAX",LEFT(K5330,2)="W|"),2*N5330*O5330,0)</f>
        <v/>
      </c>
      <c r="Z5330" s="12" t="inlineStr">
        <is>
          <t>VD 2.4 %</t>
        </is>
      </c>
      <c r="AA5330" s="12">
        <f>N5330*O5330</f>
        <v/>
      </c>
    </row>
    <row r="5331">
      <c r="A5331" s="12" t="inlineStr">
        <is>
          <t>I-P-0172</t>
        </is>
      </c>
      <c r="B5331" s="12" t="inlineStr">
        <is>
          <t>I</t>
        </is>
      </c>
      <c r="C5331" s="12" t="inlineStr">
        <is>
          <t>Modular / portable power</t>
        </is>
      </c>
      <c r="D5331" s="12" t="inlineStr">
        <is>
          <t>480 V welding receptacle 2</t>
        </is>
      </c>
      <c r="E5331" s="12" t="inlineStr"/>
      <c r="F5331" s="12" t="inlineStr">
        <is>
          <t>PCM: power control module</t>
        </is>
      </c>
      <c r="G5331" s="12" t="inlineStr">
        <is>
          <t>RICE-1</t>
        </is>
      </c>
      <c r="H5331" s="12" t="inlineStr">
        <is>
          <t>RICE engine-generator 1</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60</v>
      </c>
      <c r="R5331" s="12" t="n">
        <v>76</v>
      </c>
      <c r="S5331" s="12" t="inlineStr">
        <is>
          <t>Duct bank</t>
        </is>
      </c>
      <c r="T5331" s="15" t="n">
        <v>516</v>
      </c>
      <c r="U5331" s="15" t="n">
        <v>137</v>
      </c>
      <c r="V5331" s="15">
        <f>ROUNDUP((T5331+U5331+2*'Read Me'!$B$13)*(1+'Read Me'!$B$12),-1)</f>
        <v/>
      </c>
      <c r="W5331" s="15">
        <f>V5331*N5331*O5331</f>
        <v/>
      </c>
      <c r="X5331" s="12">
        <f>IF(LEFT(I5331,2)="MV",2*N5331*IF(L5331="1/C",O5331,1),0)</f>
        <v/>
      </c>
      <c r="Y5331" s="12">
        <f>IF(OR(LEFT(K5331,4)="LVAX",LEFT(K5331,6)="MV15AX",LEFT(K5331,4)="CTAX",LEFT(K5331,2)="W|"),2*N5331*O5331,0)</f>
        <v/>
      </c>
      <c r="Z5331" s="12" t="inlineStr">
        <is>
          <t>VD 2.4 %</t>
        </is>
      </c>
      <c r="AA5331" s="12">
        <f>N5331*O5331</f>
        <v/>
      </c>
    </row>
    <row r="5332">
      <c r="A5332" s="12" t="inlineStr">
        <is>
          <t>I-P-0173</t>
        </is>
      </c>
      <c r="B5332" s="12" t="inlineStr">
        <is>
          <t>I</t>
        </is>
      </c>
      <c r="C5332" s="12" t="inlineStr">
        <is>
          <t>Modular / portable power</t>
        </is>
      </c>
      <c r="D5332" s="12" t="inlineStr">
        <is>
          <t>480 V welding receptacle 3</t>
        </is>
      </c>
      <c r="E5332" s="12" t="inlineStr"/>
      <c r="F5332" s="12" t="inlineStr">
        <is>
          <t>PCM: power control module</t>
        </is>
      </c>
      <c r="G5332" s="12" t="inlineStr">
        <is>
          <t>RICE-1</t>
        </is>
      </c>
      <c r="H5332" s="12" t="inlineStr">
        <is>
          <t>RICE engine-generator 1</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60</v>
      </c>
      <c r="R5332" s="12" t="n">
        <v>76</v>
      </c>
      <c r="S5332" s="12" t="inlineStr">
        <is>
          <t>Duct bank</t>
        </is>
      </c>
      <c r="T5332" s="15" t="n">
        <v>516</v>
      </c>
      <c r="U5332" s="15" t="n">
        <v>137</v>
      </c>
      <c r="V5332" s="15">
        <f>ROUNDUP((T5332+U5332+2*'Read Me'!$B$13)*(1+'Read Me'!$B$12),-1)</f>
        <v/>
      </c>
      <c r="W5332" s="15">
        <f>V5332*N5332*O5332</f>
        <v/>
      </c>
      <c r="X5332" s="12">
        <f>IF(LEFT(I5332,2)="MV",2*N5332*IF(L5332="1/C",O5332,1),0)</f>
        <v/>
      </c>
      <c r="Y5332" s="12">
        <f>IF(OR(LEFT(K5332,4)="LVAX",LEFT(K5332,6)="MV15AX",LEFT(K5332,4)="CTAX",LEFT(K5332,2)="W|"),2*N5332*O5332,0)</f>
        <v/>
      </c>
      <c r="Z5332" s="12" t="inlineStr">
        <is>
          <t>VD 2.4 %</t>
        </is>
      </c>
      <c r="AA5332" s="12">
        <f>N5332*O5332</f>
        <v/>
      </c>
    </row>
    <row r="5333">
      <c r="A5333" s="12" t="inlineStr">
        <is>
          <t>I-P-0174</t>
        </is>
      </c>
      <c r="B5333" s="12" t="inlineStr">
        <is>
          <t>I</t>
        </is>
      </c>
      <c r="C5333" s="12" t="inlineStr">
        <is>
          <t>Modular / portable power</t>
        </is>
      </c>
      <c r="D5333" s="12" t="inlineStr">
        <is>
          <t>480 V welding receptacle 4</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60</v>
      </c>
      <c r="R5333" s="12" t="n">
        <v>76</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2.4 %</t>
        </is>
      </c>
      <c r="AA5333" s="12">
        <f>N5333*O5333</f>
        <v/>
      </c>
    </row>
    <row r="5334">
      <c r="A5334" s="12" t="inlineStr">
        <is>
          <t>I-P-0175</t>
        </is>
      </c>
      <c r="B5334" s="12" t="inlineStr">
        <is>
          <t>I</t>
        </is>
      </c>
      <c r="C5334" s="12" t="inlineStr">
        <is>
          <t>Modular / portable power</t>
        </is>
      </c>
      <c r="D5334" s="12" t="inlineStr">
        <is>
          <t>Motor 1 of 6, 22 kW</t>
        </is>
      </c>
      <c r="E5334" s="12" t="inlineStr"/>
      <c r="F5334" s="12" t="inlineStr">
        <is>
          <t>PCM: power control module</t>
        </is>
      </c>
      <c r="G5334" s="12" t="inlineStr">
        <is>
          <t>RICE-2</t>
        </is>
      </c>
      <c r="H5334" s="12" t="inlineStr">
        <is>
          <t>RICE engine-generator 2</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109</v>
      </c>
      <c r="V5334" s="15">
        <f>ROUNDUP((T5334+U5334+2*'Read Me'!$B$13)*(1+'Read Me'!$B$12),-1)</f>
        <v/>
      </c>
      <c r="W5334" s="15">
        <f>V5334*N5334*O5334</f>
        <v/>
      </c>
      <c r="X5334" s="12">
        <f>IF(LEFT(I5334,2)="MV",2*N5334*IF(L5334="1/C",O5334,1),0)</f>
        <v/>
      </c>
      <c r="Y5334" s="12">
        <f>IF(OR(LEFT(K5334,4)="LVAX",LEFT(K5334,6)="MV15AX",LEFT(K5334,4)="CTAX",LEFT(K5334,2)="W|"),2*N5334*O5334,0)</f>
        <v/>
      </c>
      <c r="Z5334" s="12" t="inlineStr">
        <is>
          <t>VD 2.4 %</t>
        </is>
      </c>
      <c r="AA5334" s="12">
        <f>N5334*O5334</f>
        <v/>
      </c>
    </row>
    <row r="5335">
      <c r="A5335" s="12" t="inlineStr">
        <is>
          <t>I-P-0176</t>
        </is>
      </c>
      <c r="B5335" s="12" t="inlineStr">
        <is>
          <t>I</t>
        </is>
      </c>
      <c r="C5335" s="12" t="inlineStr">
        <is>
          <t>Modular / portable power</t>
        </is>
      </c>
      <c r="D5335" s="12" t="inlineStr">
        <is>
          <t>Motor 2 of 6, 22 kW</t>
        </is>
      </c>
      <c r="E5335" s="12" t="inlineStr"/>
      <c r="F5335" s="12" t="inlineStr">
        <is>
          <t>PCM: power control module</t>
        </is>
      </c>
      <c r="G5335" s="12" t="inlineStr">
        <is>
          <t>RICE-2</t>
        </is>
      </c>
      <c r="H5335" s="12" t="inlineStr">
        <is>
          <t>RICE engine-generator 2</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516</v>
      </c>
      <c r="U5335" s="15" t="n">
        <v>109</v>
      </c>
      <c r="V5335" s="15">
        <f>ROUNDUP((T5335+U5335+2*'Read Me'!$B$13)*(1+'Read Me'!$B$12),-1)</f>
        <v/>
      </c>
      <c r="W5335" s="15">
        <f>V5335*N5335*O5335</f>
        <v/>
      </c>
      <c r="X5335" s="12">
        <f>IF(LEFT(I5335,2)="MV",2*N5335*IF(L5335="1/C",O5335,1),0)</f>
        <v/>
      </c>
      <c r="Y5335" s="12">
        <f>IF(OR(LEFT(K5335,4)="LVAX",LEFT(K5335,6)="MV15AX",LEFT(K5335,4)="CTAX",LEFT(K5335,2)="W|"),2*N5335*O5335,0)</f>
        <v/>
      </c>
      <c r="Z5335" s="12" t="inlineStr">
        <is>
          <t>VD 2.4 %</t>
        </is>
      </c>
      <c r="AA5335" s="12">
        <f>N5335*O5335</f>
        <v/>
      </c>
    </row>
    <row r="5336">
      <c r="A5336" s="12" t="inlineStr">
        <is>
          <t>I-P-0177</t>
        </is>
      </c>
      <c r="B5336" s="12" t="inlineStr">
        <is>
          <t>I</t>
        </is>
      </c>
      <c r="C5336" s="12" t="inlineStr">
        <is>
          <t>Modular / portable power</t>
        </is>
      </c>
      <c r="D5336" s="12" t="inlineStr">
        <is>
          <t>Motor 3 of 6, 22 kW</t>
        </is>
      </c>
      <c r="E5336" s="12" t="inlineStr"/>
      <c r="F5336" s="12" t="inlineStr">
        <is>
          <t>PCM: power control module</t>
        </is>
      </c>
      <c r="G5336" s="12" t="inlineStr">
        <is>
          <t>RICE-2</t>
        </is>
      </c>
      <c r="H5336" s="12" t="inlineStr">
        <is>
          <t>RICE engine-generator 2</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516</v>
      </c>
      <c r="U5336" s="15" t="n">
        <v>109</v>
      </c>
      <c r="V5336" s="15">
        <f>ROUNDUP((T5336+U5336+2*'Read Me'!$B$13)*(1+'Read Me'!$B$12),-1)</f>
        <v/>
      </c>
      <c r="W5336" s="15">
        <f>V5336*N5336*O5336</f>
        <v/>
      </c>
      <c r="X5336" s="12">
        <f>IF(LEFT(I5336,2)="MV",2*N5336*IF(L5336="1/C",O5336,1),0)</f>
        <v/>
      </c>
      <c r="Y5336" s="12">
        <f>IF(OR(LEFT(K5336,4)="LVAX",LEFT(K5336,6)="MV15AX",LEFT(K5336,4)="CTAX",LEFT(K5336,2)="W|"),2*N5336*O5336,0)</f>
        <v/>
      </c>
      <c r="Z5336" s="12" t="inlineStr">
        <is>
          <t>VD 2.4 %</t>
        </is>
      </c>
      <c r="AA5336" s="12">
        <f>N5336*O5336</f>
        <v/>
      </c>
    </row>
    <row r="5337">
      <c r="A5337" s="12" t="inlineStr">
        <is>
          <t>I-P-0178</t>
        </is>
      </c>
      <c r="B5337" s="12" t="inlineStr">
        <is>
          <t>I</t>
        </is>
      </c>
      <c r="C5337" s="12" t="inlineStr">
        <is>
          <t>Modular / portable power</t>
        </is>
      </c>
      <c r="D5337" s="12" t="inlineStr">
        <is>
          <t>Motor 4 of 6, 22 kW</t>
        </is>
      </c>
      <c r="E5337" s="12" t="inlineStr"/>
      <c r="F5337" s="12" t="inlineStr">
        <is>
          <t>PCM: power control module</t>
        </is>
      </c>
      <c r="G5337" s="12" t="inlineStr">
        <is>
          <t>RICE-2</t>
        </is>
      </c>
      <c r="H5337" s="12" t="inlineStr">
        <is>
          <t>RICE engine-generator 2</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516</v>
      </c>
      <c r="U5337" s="15" t="n">
        <v>109</v>
      </c>
      <c r="V5337" s="15">
        <f>ROUNDUP((T5337+U5337+2*'Read Me'!$B$13)*(1+'Read Me'!$B$12),-1)</f>
        <v/>
      </c>
      <c r="W5337" s="15">
        <f>V5337*N5337*O5337</f>
        <v/>
      </c>
      <c r="X5337" s="12">
        <f>IF(LEFT(I5337,2)="MV",2*N5337*IF(L5337="1/C",O5337,1),0)</f>
        <v/>
      </c>
      <c r="Y5337" s="12">
        <f>IF(OR(LEFT(K5337,4)="LVAX",LEFT(K5337,6)="MV15AX",LEFT(K5337,4)="CTAX",LEFT(K5337,2)="W|"),2*N5337*O5337,0)</f>
        <v/>
      </c>
      <c r="Z5337" s="12" t="inlineStr">
        <is>
          <t>VD 2.4 %</t>
        </is>
      </c>
      <c r="AA5337" s="12">
        <f>N5337*O5337</f>
        <v/>
      </c>
    </row>
    <row r="5338">
      <c r="A5338" s="12" t="inlineStr">
        <is>
          <t>I-P-0179</t>
        </is>
      </c>
      <c r="B5338" s="12" t="inlineStr">
        <is>
          <t>I</t>
        </is>
      </c>
      <c r="C5338" s="12" t="inlineStr">
        <is>
          <t>Modular / portable power</t>
        </is>
      </c>
      <c r="D5338" s="12" t="inlineStr">
        <is>
          <t>Motor 5 of 6, 22 kW</t>
        </is>
      </c>
      <c r="E5338" s="12" t="inlineStr"/>
      <c r="F5338" s="12" t="inlineStr">
        <is>
          <t>PCM: power control module</t>
        </is>
      </c>
      <c r="G5338" s="12" t="inlineStr">
        <is>
          <t>RICE-2</t>
        </is>
      </c>
      <c r="H5338" s="12" t="inlineStr">
        <is>
          <t>RICE engine-generator 2</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516</v>
      </c>
      <c r="U5338" s="15" t="n">
        <v>109</v>
      </c>
      <c r="V5338" s="15">
        <f>ROUNDUP((T5338+U5338+2*'Read Me'!$B$13)*(1+'Read Me'!$B$12),-1)</f>
        <v/>
      </c>
      <c r="W5338" s="15">
        <f>V5338*N5338*O5338</f>
        <v/>
      </c>
      <c r="X5338" s="12">
        <f>IF(LEFT(I5338,2)="MV",2*N5338*IF(L5338="1/C",O5338,1),0)</f>
        <v/>
      </c>
      <c r="Y5338" s="12">
        <f>IF(OR(LEFT(K5338,4)="LVAX",LEFT(K5338,6)="MV15AX",LEFT(K5338,4)="CTAX",LEFT(K5338,2)="W|"),2*N5338*O5338,0)</f>
        <v/>
      </c>
      <c r="Z5338" s="12" t="inlineStr">
        <is>
          <t>VD 2.4 %</t>
        </is>
      </c>
      <c r="AA5338" s="12">
        <f>N5338*O5338</f>
        <v/>
      </c>
    </row>
    <row r="5339">
      <c r="A5339" s="12" t="inlineStr">
        <is>
          <t>I-P-0180</t>
        </is>
      </c>
      <c r="B5339" s="12" t="inlineStr">
        <is>
          <t>I</t>
        </is>
      </c>
      <c r="C5339" s="12" t="inlineStr">
        <is>
          <t>Modular / portable power</t>
        </is>
      </c>
      <c r="D5339" s="12" t="inlineStr">
        <is>
          <t>Motor 6 of 6, 22 kW</t>
        </is>
      </c>
      <c r="E5339" s="12" t="inlineStr"/>
      <c r="F5339" s="12" t="inlineStr">
        <is>
          <t>PCM: power control module</t>
        </is>
      </c>
      <c r="G5339" s="12" t="inlineStr">
        <is>
          <t>RICE-2</t>
        </is>
      </c>
      <c r="H5339" s="12" t="inlineStr">
        <is>
          <t>RICE engine-generator 2</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516</v>
      </c>
      <c r="U5339" s="15" t="n">
        <v>109</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I-P-0181</t>
        </is>
      </c>
      <c r="B5340" s="12" t="inlineStr">
        <is>
          <t>I</t>
        </is>
      </c>
      <c r="C5340" s="12" t="inlineStr">
        <is>
          <t>Modular / portable power</t>
        </is>
      </c>
      <c r="D5340" s="12" t="inlineStr">
        <is>
          <t>480 V welding receptacle 1</t>
        </is>
      </c>
      <c r="E5340" s="12" t="inlineStr"/>
      <c r="F5340" s="12" t="inlineStr">
        <is>
          <t>PCM: power control module</t>
        </is>
      </c>
      <c r="G5340" s="12" t="inlineStr">
        <is>
          <t>RICE-2</t>
        </is>
      </c>
      <c r="H5340" s="12" t="inlineStr">
        <is>
          <t>RICE engine-generator 2</t>
        </is>
      </c>
      <c r="I5340" s="12" t="inlineStr">
        <is>
          <t>LV 600 V</t>
        </is>
      </c>
      <c r="J5340" s="12" t="inlineStr">
        <is>
          <t>Type TC-ER 600 V 3/C Cu XHHW-2 + ground, PVC jacket</t>
        </is>
      </c>
      <c r="K5340" s="12" t="inlineStr">
        <is>
          <t>LV|3/C+G|1</t>
        </is>
      </c>
      <c r="L5340" s="12" t="inlineStr">
        <is>
          <t>3/C+G</t>
        </is>
      </c>
      <c r="M5340" s="12" t="inlineStr">
        <is>
          <t>1</t>
        </is>
      </c>
      <c r="N5340" s="12" t="n">
        <v>1</v>
      </c>
      <c r="O5340" s="12" t="n">
        <v>1</v>
      </c>
      <c r="P5340" s="12" t="n">
        <v>480</v>
      </c>
      <c r="Q5340" s="12" t="n">
        <v>60</v>
      </c>
      <c r="R5340" s="12" t="n">
        <v>76</v>
      </c>
      <c r="S5340" s="12" t="inlineStr">
        <is>
          <t>Duct bank</t>
        </is>
      </c>
      <c r="T5340" s="15" t="n">
        <v>516</v>
      </c>
      <c r="U5340" s="15" t="n">
        <v>109</v>
      </c>
      <c r="V5340" s="15">
        <f>ROUNDUP((T5340+U5340+2*'Read Me'!$B$13)*(1+'Read Me'!$B$12),-1)</f>
        <v/>
      </c>
      <c r="W5340" s="15">
        <f>V5340*N5340*O5340</f>
        <v/>
      </c>
      <c r="X5340" s="12">
        <f>IF(LEFT(I5340,2)="MV",2*N5340*IF(L5340="1/C",O5340,1),0)</f>
        <v/>
      </c>
      <c r="Y5340" s="12">
        <f>IF(OR(LEFT(K5340,4)="LVAX",LEFT(K5340,6)="MV15AX",LEFT(K5340,4)="CTAX",LEFT(K5340,2)="W|"),2*N5340*O5340,0)</f>
        <v/>
      </c>
      <c r="Z5340" s="12" t="inlineStr">
        <is>
          <t>VD 2.9 %</t>
        </is>
      </c>
      <c r="AA5340" s="12">
        <f>N5340*O5340</f>
        <v/>
      </c>
    </row>
    <row r="5341">
      <c r="A5341" s="12" t="inlineStr">
        <is>
          <t>I-P-0182</t>
        </is>
      </c>
      <c r="B5341" s="12" t="inlineStr">
        <is>
          <t>I</t>
        </is>
      </c>
      <c r="C5341" s="12" t="inlineStr">
        <is>
          <t>Modular / portable power</t>
        </is>
      </c>
      <c r="D5341" s="12" t="inlineStr">
        <is>
          <t>480 V welding receptacle 2</t>
        </is>
      </c>
      <c r="E5341" s="12" t="inlineStr"/>
      <c r="F5341" s="12" t="inlineStr">
        <is>
          <t>PCM: power control module</t>
        </is>
      </c>
      <c r="G5341" s="12" t="inlineStr">
        <is>
          <t>RICE-2</t>
        </is>
      </c>
      <c r="H5341" s="12" t="inlineStr">
        <is>
          <t>RICE engine-generator 2</t>
        </is>
      </c>
      <c r="I5341" s="12" t="inlineStr">
        <is>
          <t>LV 600 V</t>
        </is>
      </c>
      <c r="J5341" s="12" t="inlineStr">
        <is>
          <t>Type TC-ER 600 V 3/C Cu XHHW-2 + ground, PVC jacket</t>
        </is>
      </c>
      <c r="K5341" s="12" t="inlineStr">
        <is>
          <t>LV|3/C+G|1</t>
        </is>
      </c>
      <c r="L5341" s="12" t="inlineStr">
        <is>
          <t>3/C+G</t>
        </is>
      </c>
      <c r="M5341" s="12" t="inlineStr">
        <is>
          <t>1</t>
        </is>
      </c>
      <c r="N5341" s="12" t="n">
        <v>1</v>
      </c>
      <c r="O5341" s="12" t="n">
        <v>1</v>
      </c>
      <c r="P5341" s="12" t="n">
        <v>480</v>
      </c>
      <c r="Q5341" s="12" t="n">
        <v>60</v>
      </c>
      <c r="R5341" s="12" t="n">
        <v>76</v>
      </c>
      <c r="S5341" s="12" t="inlineStr">
        <is>
          <t>Duct bank</t>
        </is>
      </c>
      <c r="T5341" s="15" t="n">
        <v>516</v>
      </c>
      <c r="U5341" s="15" t="n">
        <v>109</v>
      </c>
      <c r="V5341" s="15">
        <f>ROUNDUP((T5341+U5341+2*'Read Me'!$B$13)*(1+'Read Me'!$B$12),-1)</f>
        <v/>
      </c>
      <c r="W5341" s="15">
        <f>V5341*N5341*O5341</f>
        <v/>
      </c>
      <c r="X5341" s="12">
        <f>IF(LEFT(I5341,2)="MV",2*N5341*IF(L5341="1/C",O5341,1),0)</f>
        <v/>
      </c>
      <c r="Y5341" s="12">
        <f>IF(OR(LEFT(K5341,4)="LVAX",LEFT(K5341,6)="MV15AX",LEFT(K5341,4)="CTAX",LEFT(K5341,2)="W|"),2*N5341*O5341,0)</f>
        <v/>
      </c>
      <c r="Z5341" s="12" t="inlineStr">
        <is>
          <t>VD 2.9 %</t>
        </is>
      </c>
      <c r="AA5341" s="12">
        <f>N5341*O5341</f>
        <v/>
      </c>
    </row>
    <row r="5342">
      <c r="A5342" s="12" t="inlineStr">
        <is>
          <t>I-P-0183</t>
        </is>
      </c>
      <c r="B5342" s="12" t="inlineStr">
        <is>
          <t>I</t>
        </is>
      </c>
      <c r="C5342" s="12" t="inlineStr">
        <is>
          <t>Modular / portable power</t>
        </is>
      </c>
      <c r="D5342" s="12" t="inlineStr">
        <is>
          <t>480 V welding receptacle 3</t>
        </is>
      </c>
      <c r="E5342" s="12" t="inlineStr"/>
      <c r="F5342" s="12" t="inlineStr">
        <is>
          <t>PCM: power control module</t>
        </is>
      </c>
      <c r="G5342" s="12" t="inlineStr">
        <is>
          <t>RICE-2</t>
        </is>
      </c>
      <c r="H5342" s="12" t="inlineStr">
        <is>
          <t>RICE engine-generator 2</t>
        </is>
      </c>
      <c r="I5342" s="12" t="inlineStr">
        <is>
          <t>LV 600 V</t>
        </is>
      </c>
      <c r="J5342" s="12" t="inlineStr">
        <is>
          <t>Type TC-ER 600 V 3/C Cu XHHW-2 + ground, PVC jacket</t>
        </is>
      </c>
      <c r="K5342" s="12" t="inlineStr">
        <is>
          <t>LV|3/C+G|1</t>
        </is>
      </c>
      <c r="L5342" s="12" t="inlineStr">
        <is>
          <t>3/C+G</t>
        </is>
      </c>
      <c r="M5342" s="12" t="inlineStr">
        <is>
          <t>1</t>
        </is>
      </c>
      <c r="N5342" s="12" t="n">
        <v>1</v>
      </c>
      <c r="O5342" s="12" t="n">
        <v>1</v>
      </c>
      <c r="P5342" s="12" t="n">
        <v>480</v>
      </c>
      <c r="Q5342" s="12" t="n">
        <v>60</v>
      </c>
      <c r="R5342" s="12" t="n">
        <v>76</v>
      </c>
      <c r="S5342" s="12" t="inlineStr">
        <is>
          <t>Duct bank</t>
        </is>
      </c>
      <c r="T5342" s="15" t="n">
        <v>516</v>
      </c>
      <c r="U5342" s="15" t="n">
        <v>109</v>
      </c>
      <c r="V5342" s="15">
        <f>ROUNDUP((T5342+U5342+2*'Read Me'!$B$13)*(1+'Read Me'!$B$12),-1)</f>
        <v/>
      </c>
      <c r="W5342" s="15">
        <f>V5342*N5342*O5342</f>
        <v/>
      </c>
      <c r="X5342" s="12">
        <f>IF(LEFT(I5342,2)="MV",2*N5342*IF(L5342="1/C",O5342,1),0)</f>
        <v/>
      </c>
      <c r="Y5342" s="12">
        <f>IF(OR(LEFT(K5342,4)="LVAX",LEFT(K5342,6)="MV15AX",LEFT(K5342,4)="CTAX",LEFT(K5342,2)="W|"),2*N5342*O5342,0)</f>
        <v/>
      </c>
      <c r="Z5342" s="12" t="inlineStr">
        <is>
          <t>VD 2.9 %</t>
        </is>
      </c>
      <c r="AA5342" s="12">
        <f>N5342*O5342</f>
        <v/>
      </c>
    </row>
    <row r="5343">
      <c r="A5343" s="12" t="inlineStr">
        <is>
          <t>I-P-0184</t>
        </is>
      </c>
      <c r="B5343" s="12" t="inlineStr">
        <is>
          <t>I</t>
        </is>
      </c>
      <c r="C5343" s="12" t="inlineStr">
        <is>
          <t>Modular / portable power</t>
        </is>
      </c>
      <c r="D5343" s="12" t="inlineStr">
        <is>
          <t>480 V welding receptacle 4</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LV|3/C+G|1</t>
        </is>
      </c>
      <c r="L5343" s="12" t="inlineStr">
        <is>
          <t>3/C+G</t>
        </is>
      </c>
      <c r="M5343" s="12" t="inlineStr">
        <is>
          <t>1</t>
        </is>
      </c>
      <c r="N5343" s="12" t="n">
        <v>1</v>
      </c>
      <c r="O5343" s="12" t="n">
        <v>1</v>
      </c>
      <c r="P5343" s="12" t="n">
        <v>480</v>
      </c>
      <c r="Q5343" s="12" t="n">
        <v>60</v>
      </c>
      <c r="R5343" s="12" t="n">
        <v>76</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2.9 %</t>
        </is>
      </c>
      <c r="AA5343" s="12">
        <f>N5343*O5343</f>
        <v/>
      </c>
    </row>
    <row r="5344">
      <c r="A5344" s="12" t="inlineStr">
        <is>
          <t>I-P-0185</t>
        </is>
      </c>
      <c r="B5344" s="12" t="inlineStr">
        <is>
          <t>I</t>
        </is>
      </c>
      <c r="C5344" s="12" t="inlineStr">
        <is>
          <t>Modular / portable power</t>
        </is>
      </c>
      <c r="D5344" s="12" t="inlineStr">
        <is>
          <t>Motor 1 of 6, 22 kW</t>
        </is>
      </c>
      <c r="E5344" s="12" t="inlineStr"/>
      <c r="F5344" s="12" t="inlineStr">
        <is>
          <t>PCM: power control module</t>
        </is>
      </c>
      <c r="G5344" s="12" t="inlineStr">
        <is>
          <t>RICE-3</t>
        </is>
      </c>
      <c r="H5344" s="12" t="inlineStr">
        <is>
          <t>RICE engine-generator 3</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81</v>
      </c>
      <c r="V5344" s="15">
        <f>ROUNDUP((T5344+U5344+2*'Read Me'!$B$13)*(1+'Read Me'!$B$12),-1)</f>
        <v/>
      </c>
      <c r="W5344" s="15">
        <f>V5344*N5344*O5344</f>
        <v/>
      </c>
      <c r="X5344" s="12">
        <f>IF(LEFT(I5344,2)="MV",2*N5344*IF(L5344="1/C",O5344,1),0)</f>
        <v/>
      </c>
      <c r="Y5344" s="12">
        <f>IF(OR(LEFT(K5344,4)="LVAX",LEFT(K5344,6)="MV15AX",LEFT(K5344,4)="CTAX",LEFT(K5344,2)="W|"),2*N5344*O5344,0)</f>
        <v/>
      </c>
      <c r="Z5344" s="12" t="inlineStr">
        <is>
          <t>VD 2.3 %</t>
        </is>
      </c>
      <c r="AA5344" s="12">
        <f>N5344*O5344</f>
        <v/>
      </c>
    </row>
    <row r="5345">
      <c r="A5345" s="12" t="inlineStr">
        <is>
          <t>I-P-0186</t>
        </is>
      </c>
      <c r="B5345" s="12" t="inlineStr">
        <is>
          <t>I</t>
        </is>
      </c>
      <c r="C5345" s="12" t="inlineStr">
        <is>
          <t>Modular / portable power</t>
        </is>
      </c>
      <c r="D5345" s="12" t="inlineStr">
        <is>
          <t>Motor 2 of 6, 22 kW</t>
        </is>
      </c>
      <c r="E5345" s="12" t="inlineStr"/>
      <c r="F5345" s="12" t="inlineStr">
        <is>
          <t>PCM: power control module</t>
        </is>
      </c>
      <c r="G5345" s="12" t="inlineStr">
        <is>
          <t>RICE-3</t>
        </is>
      </c>
      <c r="H5345" s="12" t="inlineStr">
        <is>
          <t>RICE engine-generator 3</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81</v>
      </c>
      <c r="V5345" s="15">
        <f>ROUNDUP((T5345+U5345+2*'Read Me'!$B$13)*(1+'Read Me'!$B$12),-1)</f>
        <v/>
      </c>
      <c r="W5345" s="15">
        <f>V5345*N5345*O5345</f>
        <v/>
      </c>
      <c r="X5345" s="12">
        <f>IF(LEFT(I5345,2)="MV",2*N5345*IF(L5345="1/C",O5345,1),0)</f>
        <v/>
      </c>
      <c r="Y5345" s="12">
        <f>IF(OR(LEFT(K5345,4)="LVAX",LEFT(K5345,6)="MV15AX",LEFT(K5345,4)="CTAX",LEFT(K5345,2)="W|"),2*N5345*O5345,0)</f>
        <v/>
      </c>
      <c r="Z5345" s="12" t="inlineStr">
        <is>
          <t>VD 2.3 %</t>
        </is>
      </c>
      <c r="AA5345" s="12">
        <f>N5345*O5345</f>
        <v/>
      </c>
    </row>
    <row r="5346">
      <c r="A5346" s="12" t="inlineStr">
        <is>
          <t>I-P-0187</t>
        </is>
      </c>
      <c r="B5346" s="12" t="inlineStr">
        <is>
          <t>I</t>
        </is>
      </c>
      <c r="C5346" s="12" t="inlineStr">
        <is>
          <t>Modular / portable power</t>
        </is>
      </c>
      <c r="D5346" s="12" t="inlineStr">
        <is>
          <t>Motor 3 of 6, 22 kW</t>
        </is>
      </c>
      <c r="E5346" s="12" t="inlineStr"/>
      <c r="F5346" s="12" t="inlineStr">
        <is>
          <t>PCM: power control module</t>
        </is>
      </c>
      <c r="G5346" s="12" t="inlineStr">
        <is>
          <t>RICE-3</t>
        </is>
      </c>
      <c r="H5346" s="12" t="inlineStr">
        <is>
          <t>RICE engine-generator 3</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81</v>
      </c>
      <c r="V5346" s="15">
        <f>ROUNDUP((T5346+U5346+2*'Read Me'!$B$13)*(1+'Read Me'!$B$12),-1)</f>
        <v/>
      </c>
      <c r="W5346" s="15">
        <f>V5346*N5346*O5346</f>
        <v/>
      </c>
      <c r="X5346" s="12">
        <f>IF(LEFT(I5346,2)="MV",2*N5346*IF(L5346="1/C",O5346,1),0)</f>
        <v/>
      </c>
      <c r="Y5346" s="12">
        <f>IF(OR(LEFT(K5346,4)="LVAX",LEFT(K5346,6)="MV15AX",LEFT(K5346,4)="CTAX",LEFT(K5346,2)="W|"),2*N5346*O5346,0)</f>
        <v/>
      </c>
      <c r="Z5346" s="12" t="inlineStr">
        <is>
          <t>VD 2.3 %</t>
        </is>
      </c>
      <c r="AA5346" s="12">
        <f>N5346*O5346</f>
        <v/>
      </c>
    </row>
    <row r="5347">
      <c r="A5347" s="12" t="inlineStr">
        <is>
          <t>I-P-0188</t>
        </is>
      </c>
      <c r="B5347" s="12" t="inlineStr">
        <is>
          <t>I</t>
        </is>
      </c>
      <c r="C5347" s="12" t="inlineStr">
        <is>
          <t>Modular / portable power</t>
        </is>
      </c>
      <c r="D5347" s="12" t="inlineStr">
        <is>
          <t>Motor 4 of 6, 22 kW</t>
        </is>
      </c>
      <c r="E5347" s="12" t="inlineStr"/>
      <c r="F5347" s="12" t="inlineStr">
        <is>
          <t>PCM: power control module</t>
        </is>
      </c>
      <c r="G5347" s="12" t="inlineStr">
        <is>
          <t>RICE-3</t>
        </is>
      </c>
      <c r="H5347" s="12" t="inlineStr">
        <is>
          <t>RICE engine-generator 3</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81</v>
      </c>
      <c r="V5347" s="15">
        <f>ROUNDUP((T5347+U5347+2*'Read Me'!$B$13)*(1+'Read Me'!$B$12),-1)</f>
        <v/>
      </c>
      <c r="W5347" s="15">
        <f>V5347*N5347*O5347</f>
        <v/>
      </c>
      <c r="X5347" s="12">
        <f>IF(LEFT(I5347,2)="MV",2*N5347*IF(L5347="1/C",O5347,1),0)</f>
        <v/>
      </c>
      <c r="Y5347" s="12">
        <f>IF(OR(LEFT(K5347,4)="LVAX",LEFT(K5347,6)="MV15AX",LEFT(K5347,4)="CTAX",LEFT(K5347,2)="W|"),2*N5347*O5347,0)</f>
        <v/>
      </c>
      <c r="Z5347" s="12" t="inlineStr">
        <is>
          <t>VD 2.3 %</t>
        </is>
      </c>
      <c r="AA5347" s="12">
        <f>N5347*O5347</f>
        <v/>
      </c>
    </row>
    <row r="5348">
      <c r="A5348" s="12" t="inlineStr">
        <is>
          <t>I-P-0189</t>
        </is>
      </c>
      <c r="B5348" s="12" t="inlineStr">
        <is>
          <t>I</t>
        </is>
      </c>
      <c r="C5348" s="12" t="inlineStr">
        <is>
          <t>Modular / portable power</t>
        </is>
      </c>
      <c r="D5348" s="12" t="inlineStr">
        <is>
          <t>Motor 5 of 6, 22 kW</t>
        </is>
      </c>
      <c r="E5348" s="12" t="inlineStr"/>
      <c r="F5348" s="12" t="inlineStr">
        <is>
          <t>PCM: power control module</t>
        </is>
      </c>
      <c r="G5348" s="12" t="inlineStr">
        <is>
          <t>RICE-3</t>
        </is>
      </c>
      <c r="H5348" s="12" t="inlineStr">
        <is>
          <t>RICE engine-generator 3</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81</v>
      </c>
      <c r="V5348" s="15">
        <f>ROUNDUP((T5348+U5348+2*'Read Me'!$B$13)*(1+'Read Me'!$B$12),-1)</f>
        <v/>
      </c>
      <c r="W5348" s="15">
        <f>V5348*N5348*O5348</f>
        <v/>
      </c>
      <c r="X5348" s="12">
        <f>IF(LEFT(I5348,2)="MV",2*N5348*IF(L5348="1/C",O5348,1),0)</f>
        <v/>
      </c>
      <c r="Y5348" s="12">
        <f>IF(OR(LEFT(K5348,4)="LVAX",LEFT(K5348,6)="MV15AX",LEFT(K5348,4)="CTAX",LEFT(K5348,2)="W|"),2*N5348*O5348,0)</f>
        <v/>
      </c>
      <c r="Z5348" s="12" t="inlineStr">
        <is>
          <t>VD 2.3 %</t>
        </is>
      </c>
      <c r="AA5348" s="12">
        <f>N5348*O5348</f>
        <v/>
      </c>
    </row>
    <row r="5349">
      <c r="A5349" s="12" t="inlineStr">
        <is>
          <t>I-P-0190</t>
        </is>
      </c>
      <c r="B5349" s="12" t="inlineStr">
        <is>
          <t>I</t>
        </is>
      </c>
      <c r="C5349" s="12" t="inlineStr">
        <is>
          <t>Modular / portable power</t>
        </is>
      </c>
      <c r="D5349" s="12" t="inlineStr">
        <is>
          <t>Motor 6 of 6, 22 kW</t>
        </is>
      </c>
      <c r="E5349" s="12" t="inlineStr"/>
      <c r="F5349" s="12" t="inlineStr">
        <is>
          <t>PCM: power control module</t>
        </is>
      </c>
      <c r="G5349" s="12" t="inlineStr">
        <is>
          <t>RICE-3</t>
        </is>
      </c>
      <c r="H5349" s="12" t="inlineStr">
        <is>
          <t>RICE engine-generator 3</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81</v>
      </c>
      <c r="V5349" s="15">
        <f>ROUNDUP((T5349+U5349+2*'Read Me'!$B$13)*(1+'Read Me'!$B$12),-1)</f>
        <v/>
      </c>
      <c r="W5349" s="15">
        <f>V5349*N5349*O5349</f>
        <v/>
      </c>
      <c r="X5349" s="12">
        <f>IF(LEFT(I5349,2)="MV",2*N5349*IF(L5349="1/C",O5349,1),0)</f>
        <v/>
      </c>
      <c r="Y5349" s="12">
        <f>IF(OR(LEFT(K5349,4)="LVAX",LEFT(K5349,6)="MV15AX",LEFT(K5349,4)="CTAX",LEFT(K5349,2)="W|"),2*N5349*O5349,0)</f>
        <v/>
      </c>
      <c r="Z5349" s="12" t="inlineStr">
        <is>
          <t>VD 2.3 %</t>
        </is>
      </c>
      <c r="AA5349" s="12">
        <f>N5349*O5349</f>
        <v/>
      </c>
    </row>
    <row r="5350">
      <c r="A5350" s="12" t="inlineStr">
        <is>
          <t>I-P-0191</t>
        </is>
      </c>
      <c r="B5350" s="12" t="inlineStr">
        <is>
          <t>I</t>
        </is>
      </c>
      <c r="C5350" s="12" t="inlineStr">
        <is>
          <t>Modular / portable power</t>
        </is>
      </c>
      <c r="D5350" s="12" t="inlineStr">
        <is>
          <t>480 V welding receptacle 1</t>
        </is>
      </c>
      <c r="E5350" s="12" t="inlineStr"/>
      <c r="F5350" s="12" t="inlineStr">
        <is>
          <t>PCM: power control module</t>
        </is>
      </c>
      <c r="G5350" s="12" t="inlineStr">
        <is>
          <t>RICE-3</t>
        </is>
      </c>
      <c r="H5350" s="12" t="inlineStr">
        <is>
          <t>RICE engine-generator 3</t>
        </is>
      </c>
      <c r="I5350" s="12" t="inlineStr">
        <is>
          <t>LV 600 V</t>
        </is>
      </c>
      <c r="J5350" s="12" t="inlineStr">
        <is>
          <t>Type TC-ER 600 V 3/C Cu XHHW-2 + ground, PVC jacket</t>
        </is>
      </c>
      <c r="K5350" s="12" t="inlineStr">
        <is>
          <t>LV|3/C+G|1</t>
        </is>
      </c>
      <c r="L5350" s="12" t="inlineStr">
        <is>
          <t>3/C+G</t>
        </is>
      </c>
      <c r="M5350" s="12" t="inlineStr">
        <is>
          <t>1</t>
        </is>
      </c>
      <c r="N5350" s="12" t="n">
        <v>1</v>
      </c>
      <c r="O5350" s="12" t="n">
        <v>1</v>
      </c>
      <c r="P5350" s="12" t="n">
        <v>480</v>
      </c>
      <c r="Q5350" s="12" t="n">
        <v>60</v>
      </c>
      <c r="R5350" s="12" t="n">
        <v>76</v>
      </c>
      <c r="S5350" s="12" t="inlineStr">
        <is>
          <t>Duct bank</t>
        </is>
      </c>
      <c r="T5350" s="15" t="n">
        <v>516</v>
      </c>
      <c r="U5350" s="15" t="n">
        <v>81</v>
      </c>
      <c r="V5350" s="15">
        <f>ROUNDUP((T5350+U5350+2*'Read Me'!$B$13)*(1+'Read Me'!$B$12),-1)</f>
        <v/>
      </c>
      <c r="W5350" s="15">
        <f>V5350*N5350*O5350</f>
        <v/>
      </c>
      <c r="X5350" s="12">
        <f>IF(LEFT(I5350,2)="MV",2*N5350*IF(L5350="1/C",O5350,1),0)</f>
        <v/>
      </c>
      <c r="Y5350" s="12">
        <f>IF(OR(LEFT(K5350,4)="LVAX",LEFT(K5350,6)="MV15AX",LEFT(K5350,4)="CTAX",LEFT(K5350,2)="W|"),2*N5350*O5350,0)</f>
        <v/>
      </c>
      <c r="Z5350" s="12" t="inlineStr">
        <is>
          <t>VD 2.8 %</t>
        </is>
      </c>
      <c r="AA5350" s="12">
        <f>N5350*O5350</f>
        <v/>
      </c>
    </row>
    <row r="5351">
      <c r="A5351" s="12" t="inlineStr">
        <is>
          <t>I-P-0192</t>
        </is>
      </c>
      <c r="B5351" s="12" t="inlineStr">
        <is>
          <t>I</t>
        </is>
      </c>
      <c r="C5351" s="12" t="inlineStr">
        <is>
          <t>Modular / portable power</t>
        </is>
      </c>
      <c r="D5351" s="12" t="inlineStr">
        <is>
          <t>480 V welding receptacle 2</t>
        </is>
      </c>
      <c r="E5351" s="12" t="inlineStr"/>
      <c r="F5351" s="12" t="inlineStr">
        <is>
          <t>PCM: power control module</t>
        </is>
      </c>
      <c r="G5351" s="12" t="inlineStr">
        <is>
          <t>RICE-3</t>
        </is>
      </c>
      <c r="H5351" s="12" t="inlineStr">
        <is>
          <t>RICE engine-generator 3</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60</v>
      </c>
      <c r="R5351" s="12" t="n">
        <v>76</v>
      </c>
      <c r="S5351" s="12" t="inlineStr">
        <is>
          <t>Duct bank</t>
        </is>
      </c>
      <c r="T5351" s="15" t="n">
        <v>516</v>
      </c>
      <c r="U5351" s="15" t="n">
        <v>81</v>
      </c>
      <c r="V5351" s="15">
        <f>ROUNDUP((T5351+U5351+2*'Read Me'!$B$13)*(1+'Read Me'!$B$12),-1)</f>
        <v/>
      </c>
      <c r="W5351" s="15">
        <f>V5351*N5351*O5351</f>
        <v/>
      </c>
      <c r="X5351" s="12">
        <f>IF(LEFT(I5351,2)="MV",2*N5351*IF(L5351="1/C",O5351,1),0)</f>
        <v/>
      </c>
      <c r="Y5351" s="12">
        <f>IF(OR(LEFT(K5351,4)="LVAX",LEFT(K5351,6)="MV15AX",LEFT(K5351,4)="CTAX",LEFT(K5351,2)="W|"),2*N5351*O5351,0)</f>
        <v/>
      </c>
      <c r="Z5351" s="12" t="inlineStr">
        <is>
          <t>VD 2.8 %</t>
        </is>
      </c>
      <c r="AA5351" s="12">
        <f>N5351*O5351</f>
        <v/>
      </c>
    </row>
    <row r="5352">
      <c r="A5352" s="12" t="inlineStr">
        <is>
          <t>I-P-0193</t>
        </is>
      </c>
      <c r="B5352" s="12" t="inlineStr">
        <is>
          <t>I</t>
        </is>
      </c>
      <c r="C5352" s="12" t="inlineStr">
        <is>
          <t>Modular / portable power</t>
        </is>
      </c>
      <c r="D5352" s="12" t="inlineStr">
        <is>
          <t>480 V welding receptacle 3</t>
        </is>
      </c>
      <c r="E5352" s="12" t="inlineStr"/>
      <c r="F5352" s="12" t="inlineStr">
        <is>
          <t>PCM: power control module</t>
        </is>
      </c>
      <c r="G5352" s="12" t="inlineStr">
        <is>
          <t>RICE-3</t>
        </is>
      </c>
      <c r="H5352" s="12" t="inlineStr">
        <is>
          <t>RICE engine-generator 3</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60</v>
      </c>
      <c r="R5352" s="12" t="n">
        <v>76</v>
      </c>
      <c r="S5352" s="12" t="inlineStr">
        <is>
          <t>Duct bank</t>
        </is>
      </c>
      <c r="T5352" s="15" t="n">
        <v>516</v>
      </c>
      <c r="U5352" s="15" t="n">
        <v>81</v>
      </c>
      <c r="V5352" s="15">
        <f>ROUNDUP((T5352+U5352+2*'Read Me'!$B$13)*(1+'Read Me'!$B$12),-1)</f>
        <v/>
      </c>
      <c r="W5352" s="15">
        <f>V5352*N5352*O5352</f>
        <v/>
      </c>
      <c r="X5352" s="12">
        <f>IF(LEFT(I5352,2)="MV",2*N5352*IF(L5352="1/C",O5352,1),0)</f>
        <v/>
      </c>
      <c r="Y5352" s="12">
        <f>IF(OR(LEFT(K5352,4)="LVAX",LEFT(K5352,6)="MV15AX",LEFT(K5352,4)="CTAX",LEFT(K5352,2)="W|"),2*N5352*O5352,0)</f>
        <v/>
      </c>
      <c r="Z5352" s="12" t="inlineStr">
        <is>
          <t>VD 2.8 %</t>
        </is>
      </c>
      <c r="AA5352" s="12">
        <f>N5352*O5352</f>
        <v/>
      </c>
    </row>
    <row r="5353">
      <c r="A5353" s="12" t="inlineStr">
        <is>
          <t>I-P-0194</t>
        </is>
      </c>
      <c r="B5353" s="12" t="inlineStr">
        <is>
          <t>I</t>
        </is>
      </c>
      <c r="C5353" s="12" t="inlineStr">
        <is>
          <t>Modular / portable power</t>
        </is>
      </c>
      <c r="D5353" s="12" t="inlineStr">
        <is>
          <t>480 V welding receptacle 4</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LV|3/C+G|1</t>
        </is>
      </c>
      <c r="L5353" s="12" t="inlineStr">
        <is>
          <t>3/C+G</t>
        </is>
      </c>
      <c r="M5353" s="12" t="inlineStr">
        <is>
          <t>1</t>
        </is>
      </c>
      <c r="N5353" s="12" t="n">
        <v>1</v>
      </c>
      <c r="O5353" s="12" t="n">
        <v>1</v>
      </c>
      <c r="P5353" s="12" t="n">
        <v>480</v>
      </c>
      <c r="Q5353" s="12" t="n">
        <v>60</v>
      </c>
      <c r="R5353" s="12" t="n">
        <v>76</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2.8 %</t>
        </is>
      </c>
      <c r="AA5353" s="12">
        <f>N5353*O5353</f>
        <v/>
      </c>
    </row>
    <row r="5354">
      <c r="A5354" s="12" t="inlineStr">
        <is>
          <t>I-P-0195</t>
        </is>
      </c>
      <c r="B5354" s="12" t="inlineStr">
        <is>
          <t>I</t>
        </is>
      </c>
      <c r="C5354" s="12" t="inlineStr">
        <is>
          <t>Modular / portable power</t>
        </is>
      </c>
      <c r="D5354" s="12" t="inlineStr">
        <is>
          <t>Motor 1 of 6, 22 kW</t>
        </is>
      </c>
      <c r="E5354" s="12" t="inlineStr"/>
      <c r="F5354" s="12" t="inlineStr">
        <is>
          <t>PCM: power control module</t>
        </is>
      </c>
      <c r="G5354" s="12" t="inlineStr">
        <is>
          <t>RICE-4</t>
        </is>
      </c>
      <c r="H5354" s="12" t="inlineStr">
        <is>
          <t>RICE engine-generator 4</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53</v>
      </c>
      <c r="V5354" s="15">
        <f>ROUNDUP((T5354+U5354+2*'Read Me'!$B$13)*(1+'Read Me'!$B$12),-1)</f>
        <v/>
      </c>
      <c r="W5354" s="15">
        <f>V5354*N5354*O5354</f>
        <v/>
      </c>
      <c r="X5354" s="12">
        <f>IF(LEFT(I5354,2)="MV",2*N5354*IF(L5354="1/C",O5354,1),0)</f>
        <v/>
      </c>
      <c r="Y5354" s="12">
        <f>IF(OR(LEFT(K5354,4)="LVAX",LEFT(K5354,6)="MV15AX",LEFT(K5354,4)="CTAX",LEFT(K5354,2)="W|"),2*N5354*O5354,0)</f>
        <v/>
      </c>
      <c r="Z5354" s="12" t="inlineStr">
        <is>
          <t>VD 2.2 %</t>
        </is>
      </c>
      <c r="AA5354" s="12">
        <f>N5354*O5354</f>
        <v/>
      </c>
    </row>
    <row r="5355">
      <c r="A5355" s="12" t="inlineStr">
        <is>
          <t>I-P-0196</t>
        </is>
      </c>
      <c r="B5355" s="12" t="inlineStr">
        <is>
          <t>I</t>
        </is>
      </c>
      <c r="C5355" s="12" t="inlineStr">
        <is>
          <t>Modular / portable power</t>
        </is>
      </c>
      <c r="D5355" s="12" t="inlineStr">
        <is>
          <t>Motor 2 of 6, 22 kW</t>
        </is>
      </c>
      <c r="E5355" s="12" t="inlineStr"/>
      <c r="F5355" s="12" t="inlineStr">
        <is>
          <t>PCM: power control module</t>
        </is>
      </c>
      <c r="G5355" s="12" t="inlineStr">
        <is>
          <t>RICE-4</t>
        </is>
      </c>
      <c r="H5355" s="12" t="inlineStr">
        <is>
          <t>RICE engine-generator 4</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53</v>
      </c>
      <c r="V5355" s="15">
        <f>ROUNDUP((T5355+U5355+2*'Read Me'!$B$13)*(1+'Read Me'!$B$12),-1)</f>
        <v/>
      </c>
      <c r="W5355" s="15">
        <f>V5355*N5355*O5355</f>
        <v/>
      </c>
      <c r="X5355" s="12">
        <f>IF(LEFT(I5355,2)="MV",2*N5355*IF(L5355="1/C",O5355,1),0)</f>
        <v/>
      </c>
      <c r="Y5355" s="12">
        <f>IF(OR(LEFT(K5355,4)="LVAX",LEFT(K5355,6)="MV15AX",LEFT(K5355,4)="CTAX",LEFT(K5355,2)="W|"),2*N5355*O5355,0)</f>
        <v/>
      </c>
      <c r="Z5355" s="12" t="inlineStr">
        <is>
          <t>VD 2.2 %</t>
        </is>
      </c>
      <c r="AA5355" s="12">
        <f>N5355*O5355</f>
        <v/>
      </c>
    </row>
    <row r="5356">
      <c r="A5356" s="12" t="inlineStr">
        <is>
          <t>I-P-0197</t>
        </is>
      </c>
      <c r="B5356" s="12" t="inlineStr">
        <is>
          <t>I</t>
        </is>
      </c>
      <c r="C5356" s="12" t="inlineStr">
        <is>
          <t>Modular / portable power</t>
        </is>
      </c>
      <c r="D5356" s="12" t="inlineStr">
        <is>
          <t>Motor 3 of 6, 22 kW</t>
        </is>
      </c>
      <c r="E5356" s="12" t="inlineStr"/>
      <c r="F5356" s="12" t="inlineStr">
        <is>
          <t>PCM: power control module</t>
        </is>
      </c>
      <c r="G5356" s="12" t="inlineStr">
        <is>
          <t>RICE-4</t>
        </is>
      </c>
      <c r="H5356" s="12" t="inlineStr">
        <is>
          <t>RICE engine-generator 4</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53</v>
      </c>
      <c r="V5356" s="15">
        <f>ROUNDUP((T5356+U5356+2*'Read Me'!$B$13)*(1+'Read Me'!$B$12),-1)</f>
        <v/>
      </c>
      <c r="W5356" s="15">
        <f>V5356*N5356*O5356</f>
        <v/>
      </c>
      <c r="X5356" s="12">
        <f>IF(LEFT(I5356,2)="MV",2*N5356*IF(L5356="1/C",O5356,1),0)</f>
        <v/>
      </c>
      <c r="Y5356" s="12">
        <f>IF(OR(LEFT(K5356,4)="LVAX",LEFT(K5356,6)="MV15AX",LEFT(K5356,4)="CTAX",LEFT(K5356,2)="W|"),2*N5356*O5356,0)</f>
        <v/>
      </c>
      <c r="Z5356" s="12" t="inlineStr">
        <is>
          <t>VD 2.2 %</t>
        </is>
      </c>
      <c r="AA5356" s="12">
        <f>N5356*O5356</f>
        <v/>
      </c>
    </row>
    <row r="5357">
      <c r="A5357" s="12" t="inlineStr">
        <is>
          <t>I-P-0198</t>
        </is>
      </c>
      <c r="B5357" s="12" t="inlineStr">
        <is>
          <t>I</t>
        </is>
      </c>
      <c r="C5357" s="12" t="inlineStr">
        <is>
          <t>Modular / portable power</t>
        </is>
      </c>
      <c r="D5357" s="12" t="inlineStr">
        <is>
          <t>Motor 4 of 6, 22 kW</t>
        </is>
      </c>
      <c r="E5357" s="12" t="inlineStr"/>
      <c r="F5357" s="12" t="inlineStr">
        <is>
          <t>PCM: power control module</t>
        </is>
      </c>
      <c r="G5357" s="12" t="inlineStr">
        <is>
          <t>RICE-4</t>
        </is>
      </c>
      <c r="H5357" s="12" t="inlineStr">
        <is>
          <t>RICE engine-generator 4</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53</v>
      </c>
      <c r="V5357" s="15">
        <f>ROUNDUP((T5357+U5357+2*'Read Me'!$B$13)*(1+'Read Me'!$B$12),-1)</f>
        <v/>
      </c>
      <c r="W5357" s="15">
        <f>V5357*N5357*O5357</f>
        <v/>
      </c>
      <c r="X5357" s="12">
        <f>IF(LEFT(I5357,2)="MV",2*N5357*IF(L5357="1/C",O5357,1),0)</f>
        <v/>
      </c>
      <c r="Y5357" s="12">
        <f>IF(OR(LEFT(K5357,4)="LVAX",LEFT(K5357,6)="MV15AX",LEFT(K5357,4)="CTAX",LEFT(K5357,2)="W|"),2*N5357*O5357,0)</f>
        <v/>
      </c>
      <c r="Z5357" s="12" t="inlineStr">
        <is>
          <t>VD 2.2 %</t>
        </is>
      </c>
      <c r="AA5357" s="12">
        <f>N5357*O5357</f>
        <v/>
      </c>
    </row>
    <row r="5358">
      <c r="A5358" s="12" t="inlineStr">
        <is>
          <t>I-P-0199</t>
        </is>
      </c>
      <c r="B5358" s="12" t="inlineStr">
        <is>
          <t>I</t>
        </is>
      </c>
      <c r="C5358" s="12" t="inlineStr">
        <is>
          <t>Modular / portable power</t>
        </is>
      </c>
      <c r="D5358" s="12" t="inlineStr">
        <is>
          <t>Motor 5 of 6, 22 kW</t>
        </is>
      </c>
      <c r="E5358" s="12" t="inlineStr"/>
      <c r="F5358" s="12" t="inlineStr">
        <is>
          <t>PCM: power control module</t>
        </is>
      </c>
      <c r="G5358" s="12" t="inlineStr">
        <is>
          <t>RICE-4</t>
        </is>
      </c>
      <c r="H5358" s="12" t="inlineStr">
        <is>
          <t>RICE engine-generator 4</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53</v>
      </c>
      <c r="V5358" s="15">
        <f>ROUNDUP((T5358+U5358+2*'Read Me'!$B$13)*(1+'Read Me'!$B$12),-1)</f>
        <v/>
      </c>
      <c r="W5358" s="15">
        <f>V5358*N5358*O5358</f>
        <v/>
      </c>
      <c r="X5358" s="12">
        <f>IF(LEFT(I5358,2)="MV",2*N5358*IF(L5358="1/C",O5358,1),0)</f>
        <v/>
      </c>
      <c r="Y5358" s="12">
        <f>IF(OR(LEFT(K5358,4)="LVAX",LEFT(K5358,6)="MV15AX",LEFT(K5358,4)="CTAX",LEFT(K5358,2)="W|"),2*N5358*O5358,0)</f>
        <v/>
      </c>
      <c r="Z5358" s="12" t="inlineStr">
        <is>
          <t>VD 2.2 %</t>
        </is>
      </c>
      <c r="AA5358" s="12">
        <f>N5358*O5358</f>
        <v/>
      </c>
    </row>
    <row r="5359">
      <c r="A5359" s="12" t="inlineStr">
        <is>
          <t>I-P-0200</t>
        </is>
      </c>
      <c r="B5359" s="12" t="inlineStr">
        <is>
          <t>I</t>
        </is>
      </c>
      <c r="C5359" s="12" t="inlineStr">
        <is>
          <t>Modular / portable power</t>
        </is>
      </c>
      <c r="D5359" s="12" t="inlineStr">
        <is>
          <t>Motor 6 of 6, 22 kW</t>
        </is>
      </c>
      <c r="E5359" s="12" t="inlineStr"/>
      <c r="F5359" s="12" t="inlineStr">
        <is>
          <t>PCM: power control module</t>
        </is>
      </c>
      <c r="G5359" s="12" t="inlineStr">
        <is>
          <t>RICE-4</t>
        </is>
      </c>
      <c r="H5359" s="12" t="inlineStr">
        <is>
          <t>RICE engine-generator 4</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53</v>
      </c>
      <c r="V5359" s="15">
        <f>ROUNDUP((T5359+U5359+2*'Read Me'!$B$13)*(1+'Read Me'!$B$12),-1)</f>
        <v/>
      </c>
      <c r="W5359" s="15">
        <f>V5359*N5359*O5359</f>
        <v/>
      </c>
      <c r="X5359" s="12">
        <f>IF(LEFT(I5359,2)="MV",2*N5359*IF(L5359="1/C",O5359,1),0)</f>
        <v/>
      </c>
      <c r="Y5359" s="12">
        <f>IF(OR(LEFT(K5359,4)="LVAX",LEFT(K5359,6)="MV15AX",LEFT(K5359,4)="CTAX",LEFT(K5359,2)="W|"),2*N5359*O5359,0)</f>
        <v/>
      </c>
      <c r="Z5359" s="12" t="inlineStr">
        <is>
          <t>VD 2.2 %</t>
        </is>
      </c>
      <c r="AA5359" s="12">
        <f>N5359*O5359</f>
        <v/>
      </c>
    </row>
    <row r="5360">
      <c r="A5360" s="12" t="inlineStr">
        <is>
          <t>I-P-0201</t>
        </is>
      </c>
      <c r="B5360" s="12" t="inlineStr">
        <is>
          <t>I</t>
        </is>
      </c>
      <c r="C5360" s="12" t="inlineStr">
        <is>
          <t>Modular / portable power</t>
        </is>
      </c>
      <c r="D5360" s="12" t="inlineStr">
        <is>
          <t>480 V welding receptacle 1</t>
        </is>
      </c>
      <c r="E5360" s="12" t="inlineStr"/>
      <c r="F5360" s="12" t="inlineStr">
        <is>
          <t>PCM: power control module</t>
        </is>
      </c>
      <c r="G5360" s="12" t="inlineStr">
        <is>
          <t>RICE-4</t>
        </is>
      </c>
      <c r="H5360" s="12" t="inlineStr">
        <is>
          <t>RICE engine-generator 4</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53</v>
      </c>
      <c r="V5360" s="15">
        <f>ROUNDUP((T5360+U5360+2*'Read Me'!$B$13)*(1+'Read Me'!$B$12),-1)</f>
        <v/>
      </c>
      <c r="W5360" s="15">
        <f>V5360*N5360*O5360</f>
        <v/>
      </c>
      <c r="X5360" s="12">
        <f>IF(LEFT(I5360,2)="MV",2*N5360*IF(L5360="1/C",O5360,1),0)</f>
        <v/>
      </c>
      <c r="Y5360" s="12">
        <f>IF(OR(LEFT(K5360,4)="LVAX",LEFT(K5360,6)="MV15AX",LEFT(K5360,4)="CTAX",LEFT(K5360,2)="W|"),2*N5360*O5360,0)</f>
        <v/>
      </c>
      <c r="Z5360" s="12" t="inlineStr">
        <is>
          <t>VD 2.6 %</t>
        </is>
      </c>
      <c r="AA5360" s="12">
        <f>N5360*O5360</f>
        <v/>
      </c>
    </row>
    <row r="5361">
      <c r="A5361" s="12" t="inlineStr">
        <is>
          <t>I-P-0202</t>
        </is>
      </c>
      <c r="B5361" s="12" t="inlineStr">
        <is>
          <t>I</t>
        </is>
      </c>
      <c r="C5361" s="12" t="inlineStr">
        <is>
          <t>Modular / portable power</t>
        </is>
      </c>
      <c r="D5361" s="12" t="inlineStr">
        <is>
          <t>480 V welding receptacle 2</t>
        </is>
      </c>
      <c r="E5361" s="12" t="inlineStr"/>
      <c r="F5361" s="12" t="inlineStr">
        <is>
          <t>PCM: power control module</t>
        </is>
      </c>
      <c r="G5361" s="12" t="inlineStr">
        <is>
          <t>RICE-4</t>
        </is>
      </c>
      <c r="H5361" s="12" t="inlineStr">
        <is>
          <t>RICE engine-generator 4</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53</v>
      </c>
      <c r="V5361" s="15">
        <f>ROUNDUP((T5361+U5361+2*'Read Me'!$B$13)*(1+'Read Me'!$B$12),-1)</f>
        <v/>
      </c>
      <c r="W5361" s="15">
        <f>V5361*N5361*O5361</f>
        <v/>
      </c>
      <c r="X5361" s="12">
        <f>IF(LEFT(I5361,2)="MV",2*N5361*IF(L5361="1/C",O5361,1),0)</f>
        <v/>
      </c>
      <c r="Y5361" s="12">
        <f>IF(OR(LEFT(K5361,4)="LVAX",LEFT(K5361,6)="MV15AX",LEFT(K5361,4)="CTAX",LEFT(K5361,2)="W|"),2*N5361*O5361,0)</f>
        <v/>
      </c>
      <c r="Z5361" s="12" t="inlineStr">
        <is>
          <t>VD 2.6 %</t>
        </is>
      </c>
      <c r="AA5361" s="12">
        <f>N5361*O5361</f>
        <v/>
      </c>
    </row>
    <row r="5362">
      <c r="A5362" s="12" t="inlineStr">
        <is>
          <t>I-P-0203</t>
        </is>
      </c>
      <c r="B5362" s="12" t="inlineStr">
        <is>
          <t>I</t>
        </is>
      </c>
      <c r="C5362" s="12" t="inlineStr">
        <is>
          <t>Modular / portable power</t>
        </is>
      </c>
      <c r="D5362" s="12" t="inlineStr">
        <is>
          <t>480 V welding receptacle 3</t>
        </is>
      </c>
      <c r="E5362" s="12" t="inlineStr"/>
      <c r="F5362" s="12" t="inlineStr">
        <is>
          <t>PCM: power control module</t>
        </is>
      </c>
      <c r="G5362" s="12" t="inlineStr">
        <is>
          <t>RICE-4</t>
        </is>
      </c>
      <c r="H5362" s="12" t="inlineStr">
        <is>
          <t>RICE engine-generator 4</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53</v>
      </c>
      <c r="V5362" s="15">
        <f>ROUNDUP((T5362+U5362+2*'Read Me'!$B$13)*(1+'Read Me'!$B$12),-1)</f>
        <v/>
      </c>
      <c r="W5362" s="15">
        <f>V5362*N5362*O5362</f>
        <v/>
      </c>
      <c r="X5362" s="12">
        <f>IF(LEFT(I5362,2)="MV",2*N5362*IF(L5362="1/C",O5362,1),0)</f>
        <v/>
      </c>
      <c r="Y5362" s="12">
        <f>IF(OR(LEFT(K5362,4)="LVAX",LEFT(K5362,6)="MV15AX",LEFT(K5362,4)="CTAX",LEFT(K5362,2)="W|"),2*N5362*O5362,0)</f>
        <v/>
      </c>
      <c r="Z5362" s="12" t="inlineStr">
        <is>
          <t>VD 2.6 %</t>
        </is>
      </c>
      <c r="AA5362" s="12">
        <f>N5362*O5362</f>
        <v/>
      </c>
    </row>
    <row r="5363">
      <c r="A5363" s="12" t="inlineStr">
        <is>
          <t>I-P-0204</t>
        </is>
      </c>
      <c r="B5363" s="12" t="inlineStr">
        <is>
          <t>I</t>
        </is>
      </c>
      <c r="C5363" s="12" t="inlineStr">
        <is>
          <t>Modular / portable power</t>
        </is>
      </c>
      <c r="D5363" s="12" t="inlineStr">
        <is>
          <t>480 V welding receptacle 4</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LV|3/C+G|1</t>
        </is>
      </c>
      <c r="L5363" s="12" t="inlineStr">
        <is>
          <t>3/C+G</t>
        </is>
      </c>
      <c r="M5363" s="12" t="inlineStr">
        <is>
          <t>1</t>
        </is>
      </c>
      <c r="N5363" s="12" t="n">
        <v>1</v>
      </c>
      <c r="O5363" s="12" t="n">
        <v>1</v>
      </c>
      <c r="P5363" s="12" t="n">
        <v>480</v>
      </c>
      <c r="Q5363" s="12" t="n">
        <v>60</v>
      </c>
      <c r="R5363" s="12" t="n">
        <v>76</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2.6 %</t>
        </is>
      </c>
      <c r="AA5363" s="12">
        <f>N5363*O5363</f>
        <v/>
      </c>
    </row>
    <row r="5364">
      <c r="A5364" s="12" t="inlineStr">
        <is>
          <t>I-P-0205</t>
        </is>
      </c>
      <c r="B5364" s="12" t="inlineStr">
        <is>
          <t>I</t>
        </is>
      </c>
      <c r="C5364" s="12" t="inlineStr">
        <is>
          <t>Modular / portable power</t>
        </is>
      </c>
      <c r="D5364" s="12" t="inlineStr">
        <is>
          <t>Motor 1 of 6, 22 kW</t>
        </is>
      </c>
      <c r="E5364" s="12" t="inlineStr"/>
      <c r="F5364" s="12" t="inlineStr">
        <is>
          <t>PCM: power control module</t>
        </is>
      </c>
      <c r="G5364" s="12" t="inlineStr">
        <is>
          <t>RICE-5</t>
        </is>
      </c>
      <c r="H5364" s="12" t="inlineStr">
        <is>
          <t>RICE engine-generator 5</t>
        </is>
      </c>
      <c r="I5364" s="12" t="inlineStr">
        <is>
          <t>LV 600 V</t>
        </is>
      </c>
      <c r="J5364" s="12" t="inlineStr">
        <is>
          <t>Type TC-ER 600 V 3/C Cu XHHW-2 + ground, PVC jacket</t>
        </is>
      </c>
      <c r="K5364" s="12" t="inlineStr">
        <is>
          <t>LV|3/C+G|8</t>
        </is>
      </c>
      <c r="L5364" s="12" t="inlineStr">
        <is>
          <t>3/C+G</t>
        </is>
      </c>
      <c r="M5364" s="12" t="inlineStr">
        <is>
          <t>8</t>
        </is>
      </c>
      <c r="N5364" s="12" t="n">
        <v>1</v>
      </c>
      <c r="O5364" s="12" t="n">
        <v>1</v>
      </c>
      <c r="P5364" s="12" t="n">
        <v>480</v>
      </c>
      <c r="Q5364" s="12" t="n">
        <v>22</v>
      </c>
      <c r="R5364" s="12" t="n">
        <v>31.1</v>
      </c>
      <c r="S5364" s="12" t="inlineStr">
        <is>
          <t>Duct bank</t>
        </is>
      </c>
      <c r="T5364" s="15" t="n">
        <v>57</v>
      </c>
      <c r="U5364" s="15" t="n">
        <v>181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I-P-0206</t>
        </is>
      </c>
      <c r="B5365" s="12" t="inlineStr">
        <is>
          <t>I</t>
        </is>
      </c>
      <c r="C5365" s="12" t="inlineStr">
        <is>
          <t>Modular / portable power</t>
        </is>
      </c>
      <c r="D5365" s="12" t="inlineStr">
        <is>
          <t>Motor 2 of 6, 22 kW</t>
        </is>
      </c>
      <c r="E5365" s="12" t="inlineStr"/>
      <c r="F5365" s="12" t="inlineStr">
        <is>
          <t>PCM: power control module</t>
        </is>
      </c>
      <c r="G5365" s="12" t="inlineStr">
        <is>
          <t>RICE-5</t>
        </is>
      </c>
      <c r="H5365" s="12" t="inlineStr">
        <is>
          <t>RICE engine-generator 5</t>
        </is>
      </c>
      <c r="I5365" s="12" t="inlineStr">
        <is>
          <t>LV 600 V</t>
        </is>
      </c>
      <c r="J5365" s="12" t="inlineStr">
        <is>
          <t>Type TC-ER 600 V 3/C Cu XHHW-2 + ground, PVC jacket</t>
        </is>
      </c>
      <c r="K5365" s="12" t="inlineStr">
        <is>
          <t>LV|3/C+G|8</t>
        </is>
      </c>
      <c r="L5365" s="12" t="inlineStr">
        <is>
          <t>3/C+G</t>
        </is>
      </c>
      <c r="M5365" s="12" t="inlineStr">
        <is>
          <t>8</t>
        </is>
      </c>
      <c r="N5365" s="12" t="n">
        <v>1</v>
      </c>
      <c r="O5365" s="12" t="n">
        <v>1</v>
      </c>
      <c r="P5365" s="12" t="n">
        <v>480</v>
      </c>
      <c r="Q5365" s="12" t="n">
        <v>22</v>
      </c>
      <c r="R5365" s="12" t="n">
        <v>31.1</v>
      </c>
      <c r="S5365" s="12" t="inlineStr">
        <is>
          <t>Duct bank</t>
        </is>
      </c>
      <c r="T5365" s="15" t="n">
        <v>57</v>
      </c>
      <c r="U5365" s="15" t="n">
        <v>181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2.2 %</t>
        </is>
      </c>
      <c r="AA5365" s="12">
        <f>N5365*O5365</f>
        <v/>
      </c>
    </row>
    <row r="5366">
      <c r="A5366" s="12" t="inlineStr">
        <is>
          <t>I-P-0207</t>
        </is>
      </c>
      <c r="B5366" s="12" t="inlineStr">
        <is>
          <t>I</t>
        </is>
      </c>
      <c r="C5366" s="12" t="inlineStr">
        <is>
          <t>Modular / portable power</t>
        </is>
      </c>
      <c r="D5366" s="12" t="inlineStr">
        <is>
          <t>Motor 3 of 6, 22 kW</t>
        </is>
      </c>
      <c r="E5366" s="12" t="inlineStr"/>
      <c r="F5366" s="12" t="inlineStr">
        <is>
          <t>PCM: power control module</t>
        </is>
      </c>
      <c r="G5366" s="12" t="inlineStr">
        <is>
          <t>RICE-5</t>
        </is>
      </c>
      <c r="H5366" s="12" t="inlineStr">
        <is>
          <t>RICE engine-generator 5</t>
        </is>
      </c>
      <c r="I5366" s="12" t="inlineStr">
        <is>
          <t>LV 600 V</t>
        </is>
      </c>
      <c r="J5366" s="12" t="inlineStr">
        <is>
          <t>Type TC-ER 600 V 3/C Cu XHHW-2 + ground, PVC jacket</t>
        </is>
      </c>
      <c r="K5366" s="12" t="inlineStr">
        <is>
          <t>LV|3/C+G|8</t>
        </is>
      </c>
      <c r="L5366" s="12" t="inlineStr">
        <is>
          <t>3/C+G</t>
        </is>
      </c>
      <c r="M5366" s="12" t="inlineStr">
        <is>
          <t>8</t>
        </is>
      </c>
      <c r="N5366" s="12" t="n">
        <v>1</v>
      </c>
      <c r="O5366" s="12" t="n">
        <v>1</v>
      </c>
      <c r="P5366" s="12" t="n">
        <v>480</v>
      </c>
      <c r="Q5366" s="12" t="n">
        <v>22</v>
      </c>
      <c r="R5366" s="12" t="n">
        <v>31.1</v>
      </c>
      <c r="S5366" s="12" t="inlineStr">
        <is>
          <t>Duct bank</t>
        </is>
      </c>
      <c r="T5366" s="15" t="n">
        <v>57</v>
      </c>
      <c r="U5366" s="15" t="n">
        <v>181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2.2 %</t>
        </is>
      </c>
      <c r="AA5366" s="12">
        <f>N5366*O5366</f>
        <v/>
      </c>
    </row>
    <row r="5367">
      <c r="A5367" s="12" t="inlineStr">
        <is>
          <t>I-P-0208</t>
        </is>
      </c>
      <c r="B5367" s="12" t="inlineStr">
        <is>
          <t>I</t>
        </is>
      </c>
      <c r="C5367" s="12" t="inlineStr">
        <is>
          <t>Modular / portable power</t>
        </is>
      </c>
      <c r="D5367" s="12" t="inlineStr">
        <is>
          <t>Motor 4 of 6, 22 kW</t>
        </is>
      </c>
      <c r="E5367" s="12" t="inlineStr"/>
      <c r="F5367" s="12" t="inlineStr">
        <is>
          <t>PCM: power control module</t>
        </is>
      </c>
      <c r="G5367" s="12" t="inlineStr">
        <is>
          <t>RICE-5</t>
        </is>
      </c>
      <c r="H5367" s="12" t="inlineStr">
        <is>
          <t>RICE engine-generator 5</t>
        </is>
      </c>
      <c r="I5367" s="12" t="inlineStr">
        <is>
          <t>LV 600 V</t>
        </is>
      </c>
      <c r="J5367" s="12" t="inlineStr">
        <is>
          <t>Type TC-ER 600 V 3/C Cu XHHW-2 + ground, PVC jacket</t>
        </is>
      </c>
      <c r="K5367" s="12" t="inlineStr">
        <is>
          <t>LV|3/C+G|8</t>
        </is>
      </c>
      <c r="L5367" s="12" t="inlineStr">
        <is>
          <t>3/C+G</t>
        </is>
      </c>
      <c r="M5367" s="12" t="inlineStr">
        <is>
          <t>8</t>
        </is>
      </c>
      <c r="N5367" s="12" t="n">
        <v>1</v>
      </c>
      <c r="O5367" s="12" t="n">
        <v>1</v>
      </c>
      <c r="P5367" s="12" t="n">
        <v>480</v>
      </c>
      <c r="Q5367" s="12" t="n">
        <v>22</v>
      </c>
      <c r="R5367" s="12" t="n">
        <v>31.1</v>
      </c>
      <c r="S5367" s="12" t="inlineStr">
        <is>
          <t>Duct bank</t>
        </is>
      </c>
      <c r="T5367" s="15" t="n">
        <v>57</v>
      </c>
      <c r="U5367" s="15" t="n">
        <v>181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2.2 %</t>
        </is>
      </c>
      <c r="AA5367" s="12">
        <f>N5367*O5367</f>
        <v/>
      </c>
    </row>
    <row r="5368">
      <c r="A5368" s="12" t="inlineStr">
        <is>
          <t>I-P-0209</t>
        </is>
      </c>
      <c r="B5368" s="12" t="inlineStr">
        <is>
          <t>I</t>
        </is>
      </c>
      <c r="C5368" s="12" t="inlineStr">
        <is>
          <t>Modular / portable power</t>
        </is>
      </c>
      <c r="D5368" s="12" t="inlineStr">
        <is>
          <t>Motor 5 of 6, 22 kW</t>
        </is>
      </c>
      <c r="E5368" s="12" t="inlineStr"/>
      <c r="F5368" s="12" t="inlineStr">
        <is>
          <t>PCM: power control module</t>
        </is>
      </c>
      <c r="G5368" s="12" t="inlineStr">
        <is>
          <t>RICE-5</t>
        </is>
      </c>
      <c r="H5368" s="12" t="inlineStr">
        <is>
          <t>RICE engine-generator 5</t>
        </is>
      </c>
      <c r="I5368" s="12" t="inlineStr">
        <is>
          <t>LV 600 V</t>
        </is>
      </c>
      <c r="J5368" s="12" t="inlineStr">
        <is>
          <t>Type TC-ER 600 V 3/C Cu XHHW-2 + ground, PVC jacket</t>
        </is>
      </c>
      <c r="K5368" s="12" t="inlineStr">
        <is>
          <t>LV|3/C+G|8</t>
        </is>
      </c>
      <c r="L5368" s="12" t="inlineStr">
        <is>
          <t>3/C+G</t>
        </is>
      </c>
      <c r="M5368" s="12" t="inlineStr">
        <is>
          <t>8</t>
        </is>
      </c>
      <c r="N5368" s="12" t="n">
        <v>1</v>
      </c>
      <c r="O5368" s="12" t="n">
        <v>1</v>
      </c>
      <c r="P5368" s="12" t="n">
        <v>480</v>
      </c>
      <c r="Q5368" s="12" t="n">
        <v>22</v>
      </c>
      <c r="R5368" s="12" t="n">
        <v>31.1</v>
      </c>
      <c r="S5368" s="12" t="inlineStr">
        <is>
          <t>Duct bank</t>
        </is>
      </c>
      <c r="T5368" s="15" t="n">
        <v>57</v>
      </c>
      <c r="U5368" s="15" t="n">
        <v>181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2.2 %</t>
        </is>
      </c>
      <c r="AA5368" s="12">
        <f>N5368*O5368</f>
        <v/>
      </c>
    </row>
    <row r="5369">
      <c r="A5369" s="12" t="inlineStr">
        <is>
          <t>I-P-0210</t>
        </is>
      </c>
      <c r="B5369" s="12" t="inlineStr">
        <is>
          <t>I</t>
        </is>
      </c>
      <c r="C5369" s="12" t="inlineStr">
        <is>
          <t>Modular / portable power</t>
        </is>
      </c>
      <c r="D5369" s="12" t="inlineStr">
        <is>
          <t>Motor 6 of 6, 22 kW</t>
        </is>
      </c>
      <c r="E5369" s="12" t="inlineStr"/>
      <c r="F5369" s="12" t="inlineStr">
        <is>
          <t>PCM: power control module</t>
        </is>
      </c>
      <c r="G5369" s="12" t="inlineStr">
        <is>
          <t>RICE-5</t>
        </is>
      </c>
      <c r="H5369" s="12" t="inlineStr">
        <is>
          <t>RICE engine-generator 5</t>
        </is>
      </c>
      <c r="I5369" s="12" t="inlineStr">
        <is>
          <t>LV 600 V</t>
        </is>
      </c>
      <c r="J5369" s="12" t="inlineStr">
        <is>
          <t>Type TC-ER 600 V 3/C Cu XHHW-2 + ground, PVC jacket</t>
        </is>
      </c>
      <c r="K5369" s="12" t="inlineStr">
        <is>
          <t>LV|3/C+G|8</t>
        </is>
      </c>
      <c r="L5369" s="12" t="inlineStr">
        <is>
          <t>3/C+G</t>
        </is>
      </c>
      <c r="M5369" s="12" t="inlineStr">
        <is>
          <t>8</t>
        </is>
      </c>
      <c r="N5369" s="12" t="n">
        <v>1</v>
      </c>
      <c r="O5369" s="12" t="n">
        <v>1</v>
      </c>
      <c r="P5369" s="12" t="n">
        <v>480</v>
      </c>
      <c r="Q5369" s="12" t="n">
        <v>22</v>
      </c>
      <c r="R5369" s="12" t="n">
        <v>31.1</v>
      </c>
      <c r="S5369" s="12" t="inlineStr">
        <is>
          <t>Duct bank</t>
        </is>
      </c>
      <c r="T5369" s="15" t="n">
        <v>57</v>
      </c>
      <c r="U5369" s="15" t="n">
        <v>181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2.2 %</t>
        </is>
      </c>
      <c r="AA5369" s="12">
        <f>N5369*O5369</f>
        <v/>
      </c>
    </row>
    <row r="5370">
      <c r="A5370" s="12" t="inlineStr">
        <is>
          <t>I-P-0211</t>
        </is>
      </c>
      <c r="B5370" s="12" t="inlineStr">
        <is>
          <t>I</t>
        </is>
      </c>
      <c r="C5370" s="12" t="inlineStr">
        <is>
          <t>Modular / portable power</t>
        </is>
      </c>
      <c r="D5370" s="12" t="inlineStr">
        <is>
          <t>480 V welding receptacle 1</t>
        </is>
      </c>
      <c r="E5370" s="12" t="inlineStr"/>
      <c r="F5370" s="12" t="inlineStr">
        <is>
          <t>PCM: power control module</t>
        </is>
      </c>
      <c r="G5370" s="12" t="inlineStr">
        <is>
          <t>RICE-5</t>
        </is>
      </c>
      <c r="H5370" s="12" t="inlineStr">
        <is>
          <t>RICE engine-generator 5</t>
        </is>
      </c>
      <c r="I5370" s="12" t="inlineStr">
        <is>
          <t>LV 600 V</t>
        </is>
      </c>
      <c r="J5370" s="12" t="inlineStr">
        <is>
          <t>Type TC-ER 600 V 3/C Cu XHHW-2 + ground, PVC jacket</t>
        </is>
      </c>
      <c r="K5370" s="12" t="inlineStr">
        <is>
          <t>LV|3/C+G|2</t>
        </is>
      </c>
      <c r="L5370" s="12" t="inlineStr">
        <is>
          <t>3/C+G</t>
        </is>
      </c>
      <c r="M5370" s="12" t="inlineStr">
        <is>
          <t>2</t>
        </is>
      </c>
      <c r="N5370" s="12" t="n">
        <v>1</v>
      </c>
      <c r="O5370" s="12" t="n">
        <v>1</v>
      </c>
      <c r="P5370" s="12" t="n">
        <v>480</v>
      </c>
      <c r="Q5370" s="12" t="n">
        <v>60</v>
      </c>
      <c r="R5370" s="12" t="n">
        <v>76</v>
      </c>
      <c r="S5370" s="12" t="inlineStr">
        <is>
          <t>Duct bank</t>
        </is>
      </c>
      <c r="T5370" s="15" t="n">
        <v>57</v>
      </c>
      <c r="U5370" s="15" t="n">
        <v>181</v>
      </c>
      <c r="V5370" s="15">
        <f>ROUNDUP((T5370+U5370+2*'Read Me'!$B$13)*(1+'Read Me'!$B$12),-1)</f>
        <v/>
      </c>
      <c r="W5370" s="15">
        <f>V5370*N5370*O5370</f>
        <v/>
      </c>
      <c r="X5370" s="12">
        <f>IF(LEFT(I5370,2)="MV",2*N5370*IF(L5370="1/C",O5370,1),0)</f>
        <v/>
      </c>
      <c r="Y5370" s="12">
        <f>IF(OR(LEFT(K5370,4)="LVAX",LEFT(K5370,6)="MV15AX",LEFT(K5370,4)="CTAX",LEFT(K5370,2)="W|"),2*N5370*O5370,0)</f>
        <v/>
      </c>
      <c r="Z5370" s="12" t="inlineStr">
        <is>
          <t>VD 1.4 %</t>
        </is>
      </c>
      <c r="AA5370" s="12">
        <f>N5370*O5370</f>
        <v/>
      </c>
    </row>
    <row r="5371">
      <c r="A5371" s="12" t="inlineStr">
        <is>
          <t>I-P-0212</t>
        </is>
      </c>
      <c r="B5371" s="12" t="inlineStr">
        <is>
          <t>I</t>
        </is>
      </c>
      <c r="C5371" s="12" t="inlineStr">
        <is>
          <t>Modular / portable power</t>
        </is>
      </c>
      <c r="D5371" s="12" t="inlineStr">
        <is>
          <t>480 V welding receptacle 2</t>
        </is>
      </c>
      <c r="E5371" s="12" t="inlineStr"/>
      <c r="F5371" s="12" t="inlineStr">
        <is>
          <t>PCM: power control module</t>
        </is>
      </c>
      <c r="G5371" s="12" t="inlineStr">
        <is>
          <t>RICE-5</t>
        </is>
      </c>
      <c r="H5371" s="12" t="inlineStr">
        <is>
          <t>RICE engine-generator 5</t>
        </is>
      </c>
      <c r="I5371" s="12" t="inlineStr">
        <is>
          <t>LV 600 V</t>
        </is>
      </c>
      <c r="J5371" s="12" t="inlineStr">
        <is>
          <t>Type TC-ER 600 V 3/C Cu XHHW-2 + ground, PVC jacket</t>
        </is>
      </c>
      <c r="K5371" s="12" t="inlineStr">
        <is>
          <t>LV|3/C+G|2</t>
        </is>
      </c>
      <c r="L5371" s="12" t="inlineStr">
        <is>
          <t>3/C+G</t>
        </is>
      </c>
      <c r="M5371" s="12" t="inlineStr">
        <is>
          <t>2</t>
        </is>
      </c>
      <c r="N5371" s="12" t="n">
        <v>1</v>
      </c>
      <c r="O5371" s="12" t="n">
        <v>1</v>
      </c>
      <c r="P5371" s="12" t="n">
        <v>480</v>
      </c>
      <c r="Q5371" s="12" t="n">
        <v>60</v>
      </c>
      <c r="R5371" s="12" t="n">
        <v>76</v>
      </c>
      <c r="S5371" s="12" t="inlineStr">
        <is>
          <t>Duct bank</t>
        </is>
      </c>
      <c r="T5371" s="15" t="n">
        <v>57</v>
      </c>
      <c r="U5371" s="15" t="n">
        <v>181</v>
      </c>
      <c r="V5371" s="15">
        <f>ROUNDUP((T5371+U5371+2*'Read Me'!$B$13)*(1+'Read Me'!$B$12),-1)</f>
        <v/>
      </c>
      <c r="W5371" s="15">
        <f>V5371*N5371*O5371</f>
        <v/>
      </c>
      <c r="X5371" s="12">
        <f>IF(LEFT(I5371,2)="MV",2*N5371*IF(L5371="1/C",O5371,1),0)</f>
        <v/>
      </c>
      <c r="Y5371" s="12">
        <f>IF(OR(LEFT(K5371,4)="LVAX",LEFT(K5371,6)="MV15AX",LEFT(K5371,4)="CTAX",LEFT(K5371,2)="W|"),2*N5371*O5371,0)</f>
        <v/>
      </c>
      <c r="Z5371" s="12" t="inlineStr">
        <is>
          <t>VD 1.4 %</t>
        </is>
      </c>
      <c r="AA5371" s="12">
        <f>N5371*O5371</f>
        <v/>
      </c>
    </row>
    <row r="5372">
      <c r="A5372" s="12" t="inlineStr">
        <is>
          <t>I-P-0213</t>
        </is>
      </c>
      <c r="B5372" s="12" t="inlineStr">
        <is>
          <t>I</t>
        </is>
      </c>
      <c r="C5372" s="12" t="inlineStr">
        <is>
          <t>Modular / portable power</t>
        </is>
      </c>
      <c r="D5372" s="12" t="inlineStr">
        <is>
          <t>480 V welding receptacle 3</t>
        </is>
      </c>
      <c r="E5372" s="12" t="inlineStr"/>
      <c r="F5372" s="12" t="inlineStr">
        <is>
          <t>PCM: power control module</t>
        </is>
      </c>
      <c r="G5372" s="12" t="inlineStr">
        <is>
          <t>RICE-5</t>
        </is>
      </c>
      <c r="H5372" s="12" t="inlineStr">
        <is>
          <t>RICE engine-generator 5</t>
        </is>
      </c>
      <c r="I5372" s="12" t="inlineStr">
        <is>
          <t>LV 600 V</t>
        </is>
      </c>
      <c r="J5372" s="12" t="inlineStr">
        <is>
          <t>Type TC-ER 600 V 3/C Cu XHHW-2 + ground, PVC jacket</t>
        </is>
      </c>
      <c r="K5372" s="12" t="inlineStr">
        <is>
          <t>LV|3/C+G|2</t>
        </is>
      </c>
      <c r="L5372" s="12" t="inlineStr">
        <is>
          <t>3/C+G</t>
        </is>
      </c>
      <c r="M5372" s="12" t="inlineStr">
        <is>
          <t>2</t>
        </is>
      </c>
      <c r="N5372" s="12" t="n">
        <v>1</v>
      </c>
      <c r="O5372" s="12" t="n">
        <v>1</v>
      </c>
      <c r="P5372" s="12" t="n">
        <v>480</v>
      </c>
      <c r="Q5372" s="12" t="n">
        <v>60</v>
      </c>
      <c r="R5372" s="12" t="n">
        <v>76</v>
      </c>
      <c r="S5372" s="12" t="inlineStr">
        <is>
          <t>Duct bank</t>
        </is>
      </c>
      <c r="T5372" s="15" t="n">
        <v>57</v>
      </c>
      <c r="U5372" s="15" t="n">
        <v>181</v>
      </c>
      <c r="V5372" s="15">
        <f>ROUNDUP((T5372+U5372+2*'Read Me'!$B$13)*(1+'Read Me'!$B$12),-1)</f>
        <v/>
      </c>
      <c r="W5372" s="15">
        <f>V5372*N5372*O5372</f>
        <v/>
      </c>
      <c r="X5372" s="12">
        <f>IF(LEFT(I5372,2)="MV",2*N5372*IF(L5372="1/C",O5372,1),0)</f>
        <v/>
      </c>
      <c r="Y5372" s="12">
        <f>IF(OR(LEFT(K5372,4)="LVAX",LEFT(K5372,6)="MV15AX",LEFT(K5372,4)="CTAX",LEFT(K5372,2)="W|"),2*N5372*O5372,0)</f>
        <v/>
      </c>
      <c r="Z5372" s="12" t="inlineStr">
        <is>
          <t>VD 1.4 %</t>
        </is>
      </c>
      <c r="AA5372" s="12">
        <f>N5372*O5372</f>
        <v/>
      </c>
    </row>
    <row r="5373">
      <c r="A5373" s="12" t="inlineStr">
        <is>
          <t>I-P-0214</t>
        </is>
      </c>
      <c r="B5373" s="12" t="inlineStr">
        <is>
          <t>I</t>
        </is>
      </c>
      <c r="C5373" s="12" t="inlineStr">
        <is>
          <t>Modular / portable power</t>
        </is>
      </c>
      <c r="D5373" s="12" t="inlineStr">
        <is>
          <t>480 V welding receptacle 4</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LV|3/C+G|2</t>
        </is>
      </c>
      <c r="L5373" s="12" t="inlineStr">
        <is>
          <t>3/C+G</t>
        </is>
      </c>
      <c r="M5373" s="12" t="inlineStr">
        <is>
          <t>2</t>
        </is>
      </c>
      <c r="N5373" s="12" t="n">
        <v>1</v>
      </c>
      <c r="O5373" s="12" t="n">
        <v>1</v>
      </c>
      <c r="P5373" s="12" t="n">
        <v>480</v>
      </c>
      <c r="Q5373" s="12" t="n">
        <v>60</v>
      </c>
      <c r="R5373" s="12" t="n">
        <v>76</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1.4 %</t>
        </is>
      </c>
      <c r="AA5373" s="12">
        <f>N5373*O5373</f>
        <v/>
      </c>
    </row>
    <row r="5374">
      <c r="A5374" s="12" t="inlineStr">
        <is>
          <t>I-P-0215</t>
        </is>
      </c>
      <c r="B5374" s="12" t="inlineStr">
        <is>
          <t>I</t>
        </is>
      </c>
      <c r="C5374" s="12" t="inlineStr">
        <is>
          <t>Modular / portable power</t>
        </is>
      </c>
      <c r="D5374" s="12" t="inlineStr">
        <is>
          <t>Motor 1 of 6, 22 kW</t>
        </is>
      </c>
      <c r="E5374" s="12" t="inlineStr"/>
      <c r="F5374" s="12" t="inlineStr">
        <is>
          <t>PCM: power control module</t>
        </is>
      </c>
      <c r="G5374" s="12" t="inlineStr">
        <is>
          <t>RICE-6</t>
        </is>
      </c>
      <c r="H5374" s="12" t="inlineStr">
        <is>
          <t>RICE engine-generator 6</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2.0 %</t>
        </is>
      </c>
      <c r="AA5374" s="12">
        <f>N5374*O5374</f>
        <v/>
      </c>
    </row>
    <row r="5375">
      <c r="A5375" s="12" t="inlineStr">
        <is>
          <t>I-P-0216</t>
        </is>
      </c>
      <c r="B5375" s="12" t="inlineStr">
        <is>
          <t>I</t>
        </is>
      </c>
      <c r="C5375" s="12" t="inlineStr">
        <is>
          <t>Modular / portable power</t>
        </is>
      </c>
      <c r="D5375" s="12" t="inlineStr">
        <is>
          <t>Motor 2 of 6, 22 kW</t>
        </is>
      </c>
      <c r="E5375" s="12" t="inlineStr"/>
      <c r="F5375" s="12" t="inlineStr">
        <is>
          <t>PCM: power control module</t>
        </is>
      </c>
      <c r="G5375" s="12" t="inlineStr">
        <is>
          <t>RICE-6</t>
        </is>
      </c>
      <c r="H5375" s="12" t="inlineStr">
        <is>
          <t>RICE engine-generator 6</t>
        </is>
      </c>
      <c r="I5375" s="12" t="inlineStr">
        <is>
          <t>LV 600 V</t>
        </is>
      </c>
      <c r="J5375" s="12" t="inlineStr">
        <is>
          <t>Type TC-ER 600 V 3/C Cu XHHW-2 + ground, PVC jacket</t>
        </is>
      </c>
      <c r="K5375" s="12" t="inlineStr">
        <is>
          <t>LV|3/C+G|8</t>
        </is>
      </c>
      <c r="L5375" s="12" t="inlineStr">
        <is>
          <t>3/C+G</t>
        </is>
      </c>
      <c r="M5375" s="12" t="inlineStr">
        <is>
          <t>8</t>
        </is>
      </c>
      <c r="N5375" s="12" t="n">
        <v>1</v>
      </c>
      <c r="O5375" s="12" t="n">
        <v>1</v>
      </c>
      <c r="P5375" s="12" t="n">
        <v>480</v>
      </c>
      <c r="Q5375" s="12" t="n">
        <v>22</v>
      </c>
      <c r="R5375" s="12" t="n">
        <v>31.1</v>
      </c>
      <c r="S5375" s="12" t="inlineStr">
        <is>
          <t>Duct bank</t>
        </is>
      </c>
      <c r="T5375" s="15" t="n">
        <v>57</v>
      </c>
      <c r="U5375" s="15" t="n">
        <v>153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2.0 %</t>
        </is>
      </c>
      <c r="AA5375" s="12">
        <f>N5375*O5375</f>
        <v/>
      </c>
    </row>
    <row r="5376">
      <c r="A5376" s="12" t="inlineStr">
        <is>
          <t>I-P-0217</t>
        </is>
      </c>
      <c r="B5376" s="12" t="inlineStr">
        <is>
          <t>I</t>
        </is>
      </c>
      <c r="C5376" s="12" t="inlineStr">
        <is>
          <t>Modular / portable power</t>
        </is>
      </c>
      <c r="D5376" s="12" t="inlineStr">
        <is>
          <t>Motor 3 of 6, 22 kW</t>
        </is>
      </c>
      <c r="E5376" s="12" t="inlineStr"/>
      <c r="F5376" s="12" t="inlineStr">
        <is>
          <t>PCM: power control module</t>
        </is>
      </c>
      <c r="G5376" s="12" t="inlineStr">
        <is>
          <t>RICE-6</t>
        </is>
      </c>
      <c r="H5376" s="12" t="inlineStr">
        <is>
          <t>RICE engine-generator 6</t>
        </is>
      </c>
      <c r="I5376" s="12" t="inlineStr">
        <is>
          <t>LV 600 V</t>
        </is>
      </c>
      <c r="J5376" s="12" t="inlineStr">
        <is>
          <t>Type TC-ER 600 V 3/C Cu XHHW-2 + ground, PVC jacket</t>
        </is>
      </c>
      <c r="K5376" s="12" t="inlineStr">
        <is>
          <t>LV|3/C+G|8</t>
        </is>
      </c>
      <c r="L5376" s="12" t="inlineStr">
        <is>
          <t>3/C+G</t>
        </is>
      </c>
      <c r="M5376" s="12" t="inlineStr">
        <is>
          <t>8</t>
        </is>
      </c>
      <c r="N5376" s="12" t="n">
        <v>1</v>
      </c>
      <c r="O5376" s="12" t="n">
        <v>1</v>
      </c>
      <c r="P5376" s="12" t="n">
        <v>480</v>
      </c>
      <c r="Q5376" s="12" t="n">
        <v>22</v>
      </c>
      <c r="R5376" s="12" t="n">
        <v>31.1</v>
      </c>
      <c r="S5376" s="12" t="inlineStr">
        <is>
          <t>Duct bank</t>
        </is>
      </c>
      <c r="T5376" s="15" t="n">
        <v>57</v>
      </c>
      <c r="U5376" s="15" t="n">
        <v>153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2.0 %</t>
        </is>
      </c>
      <c r="AA5376" s="12">
        <f>N5376*O5376</f>
        <v/>
      </c>
    </row>
    <row r="5377">
      <c r="A5377" s="12" t="inlineStr">
        <is>
          <t>I-P-0218</t>
        </is>
      </c>
      <c r="B5377" s="12" t="inlineStr">
        <is>
          <t>I</t>
        </is>
      </c>
      <c r="C5377" s="12" t="inlineStr">
        <is>
          <t>Modular / portable power</t>
        </is>
      </c>
      <c r="D5377" s="12" t="inlineStr">
        <is>
          <t>Motor 4 of 6, 22 kW</t>
        </is>
      </c>
      <c r="E5377" s="12" t="inlineStr"/>
      <c r="F5377" s="12" t="inlineStr">
        <is>
          <t>PCM: power control module</t>
        </is>
      </c>
      <c r="G5377" s="12" t="inlineStr">
        <is>
          <t>RICE-6</t>
        </is>
      </c>
      <c r="H5377" s="12" t="inlineStr">
        <is>
          <t>RICE engine-generator 6</t>
        </is>
      </c>
      <c r="I5377" s="12" t="inlineStr">
        <is>
          <t>LV 600 V</t>
        </is>
      </c>
      <c r="J5377" s="12" t="inlineStr">
        <is>
          <t>Type TC-ER 600 V 3/C Cu XHHW-2 + ground, PVC jacket</t>
        </is>
      </c>
      <c r="K5377" s="12" t="inlineStr">
        <is>
          <t>LV|3/C+G|8</t>
        </is>
      </c>
      <c r="L5377" s="12" t="inlineStr">
        <is>
          <t>3/C+G</t>
        </is>
      </c>
      <c r="M5377" s="12" t="inlineStr">
        <is>
          <t>8</t>
        </is>
      </c>
      <c r="N5377" s="12" t="n">
        <v>1</v>
      </c>
      <c r="O5377" s="12" t="n">
        <v>1</v>
      </c>
      <c r="P5377" s="12" t="n">
        <v>480</v>
      </c>
      <c r="Q5377" s="12" t="n">
        <v>22</v>
      </c>
      <c r="R5377" s="12" t="n">
        <v>31.1</v>
      </c>
      <c r="S5377" s="12" t="inlineStr">
        <is>
          <t>Duct bank</t>
        </is>
      </c>
      <c r="T5377" s="15" t="n">
        <v>57</v>
      </c>
      <c r="U5377" s="15" t="n">
        <v>153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2.0 %</t>
        </is>
      </c>
      <c r="AA5377" s="12">
        <f>N5377*O5377</f>
        <v/>
      </c>
    </row>
    <row r="5378">
      <c r="A5378" s="12" t="inlineStr">
        <is>
          <t>I-P-0219</t>
        </is>
      </c>
      <c r="B5378" s="12" t="inlineStr">
        <is>
          <t>I</t>
        </is>
      </c>
      <c r="C5378" s="12" t="inlineStr">
        <is>
          <t>Modular / portable power</t>
        </is>
      </c>
      <c r="D5378" s="12" t="inlineStr">
        <is>
          <t>Motor 5 of 6, 22 kW</t>
        </is>
      </c>
      <c r="E5378" s="12" t="inlineStr"/>
      <c r="F5378" s="12" t="inlineStr">
        <is>
          <t>PCM: power control module</t>
        </is>
      </c>
      <c r="G5378" s="12" t="inlineStr">
        <is>
          <t>RICE-6</t>
        </is>
      </c>
      <c r="H5378" s="12" t="inlineStr">
        <is>
          <t>RICE engine-generator 6</t>
        </is>
      </c>
      <c r="I5378" s="12" t="inlineStr">
        <is>
          <t>LV 600 V</t>
        </is>
      </c>
      <c r="J5378" s="12" t="inlineStr">
        <is>
          <t>Type TC-ER 600 V 3/C Cu XHHW-2 + ground, PVC jacket</t>
        </is>
      </c>
      <c r="K5378" s="12" t="inlineStr">
        <is>
          <t>LV|3/C+G|8</t>
        </is>
      </c>
      <c r="L5378" s="12" t="inlineStr">
        <is>
          <t>3/C+G</t>
        </is>
      </c>
      <c r="M5378" s="12" t="inlineStr">
        <is>
          <t>8</t>
        </is>
      </c>
      <c r="N5378" s="12" t="n">
        <v>1</v>
      </c>
      <c r="O5378" s="12" t="n">
        <v>1</v>
      </c>
      <c r="P5378" s="12" t="n">
        <v>480</v>
      </c>
      <c r="Q5378" s="12" t="n">
        <v>22</v>
      </c>
      <c r="R5378" s="12" t="n">
        <v>31.1</v>
      </c>
      <c r="S5378" s="12" t="inlineStr">
        <is>
          <t>Duct bank</t>
        </is>
      </c>
      <c r="T5378" s="15" t="n">
        <v>57</v>
      </c>
      <c r="U5378" s="15" t="n">
        <v>153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2.0 %</t>
        </is>
      </c>
      <c r="AA5378" s="12">
        <f>N5378*O5378</f>
        <v/>
      </c>
    </row>
    <row r="5379">
      <c r="A5379" s="12" t="inlineStr">
        <is>
          <t>I-P-0220</t>
        </is>
      </c>
      <c r="B5379" s="12" t="inlineStr">
        <is>
          <t>I</t>
        </is>
      </c>
      <c r="C5379" s="12" t="inlineStr">
        <is>
          <t>Modular / portable power</t>
        </is>
      </c>
      <c r="D5379" s="12" t="inlineStr">
        <is>
          <t>Motor 6 of 6, 22 kW</t>
        </is>
      </c>
      <c r="E5379" s="12" t="inlineStr"/>
      <c r="F5379" s="12" t="inlineStr">
        <is>
          <t>PCM: power control module</t>
        </is>
      </c>
      <c r="G5379" s="12" t="inlineStr">
        <is>
          <t>RICE-6</t>
        </is>
      </c>
      <c r="H5379" s="12" t="inlineStr">
        <is>
          <t>RICE engine-generator 6</t>
        </is>
      </c>
      <c r="I5379" s="12" t="inlineStr">
        <is>
          <t>LV 600 V</t>
        </is>
      </c>
      <c r="J5379" s="12" t="inlineStr">
        <is>
          <t>Type TC-ER 600 V 3/C Cu XHHW-2 + ground, PVC jacket</t>
        </is>
      </c>
      <c r="K5379" s="12" t="inlineStr">
        <is>
          <t>LV|3/C+G|8</t>
        </is>
      </c>
      <c r="L5379" s="12" t="inlineStr">
        <is>
          <t>3/C+G</t>
        </is>
      </c>
      <c r="M5379" s="12" t="inlineStr">
        <is>
          <t>8</t>
        </is>
      </c>
      <c r="N5379" s="12" t="n">
        <v>1</v>
      </c>
      <c r="O5379" s="12" t="n">
        <v>1</v>
      </c>
      <c r="P5379" s="12" t="n">
        <v>480</v>
      </c>
      <c r="Q5379" s="12" t="n">
        <v>22</v>
      </c>
      <c r="R5379" s="12" t="n">
        <v>31.1</v>
      </c>
      <c r="S5379" s="12" t="inlineStr">
        <is>
          <t>Duct bank</t>
        </is>
      </c>
      <c r="T5379" s="15" t="n">
        <v>57</v>
      </c>
      <c r="U5379" s="15" t="n">
        <v>153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2.0 %</t>
        </is>
      </c>
      <c r="AA5379" s="12">
        <f>N5379*O5379</f>
        <v/>
      </c>
    </row>
    <row r="5380">
      <c r="A5380" s="12" t="inlineStr">
        <is>
          <t>I-P-0221</t>
        </is>
      </c>
      <c r="B5380" s="12" t="inlineStr">
        <is>
          <t>I</t>
        </is>
      </c>
      <c r="C5380" s="12" t="inlineStr">
        <is>
          <t>Modular / portable power</t>
        </is>
      </c>
      <c r="D5380" s="12" t="inlineStr">
        <is>
          <t>480 V welding receptacle 1</t>
        </is>
      </c>
      <c r="E5380" s="12" t="inlineStr"/>
      <c r="F5380" s="12" t="inlineStr">
        <is>
          <t>PCM: power control module</t>
        </is>
      </c>
      <c r="G5380" s="12" t="inlineStr">
        <is>
          <t>RICE-6</t>
        </is>
      </c>
      <c r="H5380" s="12" t="inlineStr">
        <is>
          <t>RICE engine-generator 6</t>
        </is>
      </c>
      <c r="I5380" s="12" t="inlineStr">
        <is>
          <t>LV 600 V</t>
        </is>
      </c>
      <c r="J5380" s="12" t="inlineStr">
        <is>
          <t>Type TC-ER 600 V 3/C Cu XHHW-2 + ground, PVC jacket</t>
        </is>
      </c>
      <c r="K5380" s="12" t="inlineStr">
        <is>
          <t>LV|3/C+G|2</t>
        </is>
      </c>
      <c r="L5380" s="12" t="inlineStr">
        <is>
          <t>3/C+G</t>
        </is>
      </c>
      <c r="M5380" s="12" t="inlineStr">
        <is>
          <t>2</t>
        </is>
      </c>
      <c r="N5380" s="12" t="n">
        <v>1</v>
      </c>
      <c r="O5380" s="12" t="n">
        <v>1</v>
      </c>
      <c r="P5380" s="12" t="n">
        <v>480</v>
      </c>
      <c r="Q5380" s="12" t="n">
        <v>60</v>
      </c>
      <c r="R5380" s="12" t="n">
        <v>76</v>
      </c>
      <c r="S5380" s="12" t="inlineStr">
        <is>
          <t>Duct bank</t>
        </is>
      </c>
      <c r="T5380" s="15" t="n">
        <v>57</v>
      </c>
      <c r="U5380" s="15" t="n">
        <v>153</v>
      </c>
      <c r="V5380" s="15">
        <f>ROUNDUP((T5380+U5380+2*'Read Me'!$B$13)*(1+'Read Me'!$B$12),-1)</f>
        <v/>
      </c>
      <c r="W5380" s="15">
        <f>V5380*N5380*O5380</f>
        <v/>
      </c>
      <c r="X5380" s="12">
        <f>IF(LEFT(I5380,2)="MV",2*N5380*IF(L5380="1/C",O5380,1),0)</f>
        <v/>
      </c>
      <c r="Y5380" s="12">
        <f>IF(OR(LEFT(K5380,4)="LVAX",LEFT(K5380,6)="MV15AX",LEFT(K5380,4)="CTAX",LEFT(K5380,2)="W|"),2*N5380*O5380,0)</f>
        <v/>
      </c>
      <c r="Z5380" s="12" t="inlineStr">
        <is>
          <t>VD 1.2 %</t>
        </is>
      </c>
      <c r="AA5380" s="12">
        <f>N5380*O5380</f>
        <v/>
      </c>
    </row>
    <row r="5381">
      <c r="A5381" s="12" t="inlineStr">
        <is>
          <t>I-P-0222</t>
        </is>
      </c>
      <c r="B5381" s="12" t="inlineStr">
        <is>
          <t>I</t>
        </is>
      </c>
      <c r="C5381" s="12" t="inlineStr">
        <is>
          <t>Modular / portable power</t>
        </is>
      </c>
      <c r="D5381" s="12" t="inlineStr">
        <is>
          <t>480 V welding receptacle 2</t>
        </is>
      </c>
      <c r="E5381" s="12" t="inlineStr"/>
      <c r="F5381" s="12" t="inlineStr">
        <is>
          <t>PCM: power control module</t>
        </is>
      </c>
      <c r="G5381" s="12" t="inlineStr">
        <is>
          <t>RICE-6</t>
        </is>
      </c>
      <c r="H5381" s="12" t="inlineStr">
        <is>
          <t>RICE engine-generator 6</t>
        </is>
      </c>
      <c r="I5381" s="12" t="inlineStr">
        <is>
          <t>LV 600 V</t>
        </is>
      </c>
      <c r="J5381" s="12" t="inlineStr">
        <is>
          <t>Type TC-ER 600 V 3/C Cu XHHW-2 + ground, PVC jacket</t>
        </is>
      </c>
      <c r="K5381" s="12" t="inlineStr">
        <is>
          <t>LV|3/C+G|2</t>
        </is>
      </c>
      <c r="L5381" s="12" t="inlineStr">
        <is>
          <t>3/C+G</t>
        </is>
      </c>
      <c r="M5381" s="12" t="inlineStr">
        <is>
          <t>2</t>
        </is>
      </c>
      <c r="N5381" s="12" t="n">
        <v>1</v>
      </c>
      <c r="O5381" s="12" t="n">
        <v>1</v>
      </c>
      <c r="P5381" s="12" t="n">
        <v>480</v>
      </c>
      <c r="Q5381" s="12" t="n">
        <v>60</v>
      </c>
      <c r="R5381" s="12" t="n">
        <v>76</v>
      </c>
      <c r="S5381" s="12" t="inlineStr">
        <is>
          <t>Duct bank</t>
        </is>
      </c>
      <c r="T5381" s="15" t="n">
        <v>57</v>
      </c>
      <c r="U5381" s="15" t="n">
        <v>153</v>
      </c>
      <c r="V5381" s="15">
        <f>ROUNDUP((T5381+U5381+2*'Read Me'!$B$13)*(1+'Read Me'!$B$12),-1)</f>
        <v/>
      </c>
      <c r="W5381" s="15">
        <f>V5381*N5381*O5381</f>
        <v/>
      </c>
      <c r="X5381" s="12">
        <f>IF(LEFT(I5381,2)="MV",2*N5381*IF(L5381="1/C",O5381,1),0)</f>
        <v/>
      </c>
      <c r="Y5381" s="12">
        <f>IF(OR(LEFT(K5381,4)="LVAX",LEFT(K5381,6)="MV15AX",LEFT(K5381,4)="CTAX",LEFT(K5381,2)="W|"),2*N5381*O5381,0)</f>
        <v/>
      </c>
      <c r="Z5381" s="12" t="inlineStr">
        <is>
          <t>VD 1.2 %</t>
        </is>
      </c>
      <c r="AA5381" s="12">
        <f>N5381*O5381</f>
        <v/>
      </c>
    </row>
    <row r="5382">
      <c r="A5382" s="12" t="inlineStr">
        <is>
          <t>I-P-0223</t>
        </is>
      </c>
      <c r="B5382" s="12" t="inlineStr">
        <is>
          <t>I</t>
        </is>
      </c>
      <c r="C5382" s="12" t="inlineStr">
        <is>
          <t>Modular / portable power</t>
        </is>
      </c>
      <c r="D5382" s="12" t="inlineStr">
        <is>
          <t>480 V welding receptacle 3</t>
        </is>
      </c>
      <c r="E5382" s="12" t="inlineStr"/>
      <c r="F5382" s="12" t="inlineStr">
        <is>
          <t>PCM: power control module</t>
        </is>
      </c>
      <c r="G5382" s="12" t="inlineStr">
        <is>
          <t>RICE-6</t>
        </is>
      </c>
      <c r="H5382" s="12" t="inlineStr">
        <is>
          <t>RICE engine-generator 6</t>
        </is>
      </c>
      <c r="I5382" s="12" t="inlineStr">
        <is>
          <t>LV 600 V</t>
        </is>
      </c>
      <c r="J5382" s="12" t="inlineStr">
        <is>
          <t>Type TC-ER 600 V 3/C Cu XHHW-2 + ground, PVC jacket</t>
        </is>
      </c>
      <c r="K5382" s="12" t="inlineStr">
        <is>
          <t>LV|3/C+G|2</t>
        </is>
      </c>
      <c r="L5382" s="12" t="inlineStr">
        <is>
          <t>3/C+G</t>
        </is>
      </c>
      <c r="M5382" s="12" t="inlineStr">
        <is>
          <t>2</t>
        </is>
      </c>
      <c r="N5382" s="12" t="n">
        <v>1</v>
      </c>
      <c r="O5382" s="12" t="n">
        <v>1</v>
      </c>
      <c r="P5382" s="12" t="n">
        <v>480</v>
      </c>
      <c r="Q5382" s="12" t="n">
        <v>60</v>
      </c>
      <c r="R5382" s="12" t="n">
        <v>76</v>
      </c>
      <c r="S5382" s="12" t="inlineStr">
        <is>
          <t>Duct bank</t>
        </is>
      </c>
      <c r="T5382" s="15" t="n">
        <v>57</v>
      </c>
      <c r="U5382" s="15" t="n">
        <v>153</v>
      </c>
      <c r="V5382" s="15">
        <f>ROUNDUP((T5382+U5382+2*'Read Me'!$B$13)*(1+'Read Me'!$B$12),-1)</f>
        <v/>
      </c>
      <c r="W5382" s="15">
        <f>V5382*N5382*O5382</f>
        <v/>
      </c>
      <c r="X5382" s="12">
        <f>IF(LEFT(I5382,2)="MV",2*N5382*IF(L5382="1/C",O5382,1),0)</f>
        <v/>
      </c>
      <c r="Y5382" s="12">
        <f>IF(OR(LEFT(K5382,4)="LVAX",LEFT(K5382,6)="MV15AX",LEFT(K5382,4)="CTAX",LEFT(K5382,2)="W|"),2*N5382*O5382,0)</f>
        <v/>
      </c>
      <c r="Z5382" s="12" t="inlineStr">
        <is>
          <t>VD 1.2 %</t>
        </is>
      </c>
      <c r="AA5382" s="12">
        <f>N5382*O5382</f>
        <v/>
      </c>
    </row>
    <row r="5383">
      <c r="A5383" s="12" t="inlineStr">
        <is>
          <t>I-P-0224</t>
        </is>
      </c>
      <c r="B5383" s="12" t="inlineStr">
        <is>
          <t>I</t>
        </is>
      </c>
      <c r="C5383" s="12" t="inlineStr">
        <is>
          <t>Modular / portable power</t>
        </is>
      </c>
      <c r="D5383" s="12" t="inlineStr">
        <is>
          <t>480 V welding receptacle 4</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LV|3/C+G|2</t>
        </is>
      </c>
      <c r="L5383" s="12" t="inlineStr">
        <is>
          <t>3/C+G</t>
        </is>
      </c>
      <c r="M5383" s="12" t="inlineStr">
        <is>
          <t>2</t>
        </is>
      </c>
      <c r="N5383" s="12" t="n">
        <v>1</v>
      </c>
      <c r="O5383" s="12" t="n">
        <v>1</v>
      </c>
      <c r="P5383" s="12" t="n">
        <v>480</v>
      </c>
      <c r="Q5383" s="12" t="n">
        <v>60</v>
      </c>
      <c r="R5383" s="12" t="n">
        <v>76</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1.2 %</t>
        </is>
      </c>
      <c r="AA5383" s="12">
        <f>N5383*O5383</f>
        <v/>
      </c>
    </row>
    <row r="5384">
      <c r="A5384" s="12" t="inlineStr">
        <is>
          <t>I-P-0225</t>
        </is>
      </c>
      <c r="B5384" s="12" t="inlineStr">
        <is>
          <t>I</t>
        </is>
      </c>
      <c r="C5384" s="12" t="inlineStr">
        <is>
          <t>Modular / portable power</t>
        </is>
      </c>
      <c r="D5384" s="12" t="inlineStr">
        <is>
          <t>Motor 1 of 6, 22 kW</t>
        </is>
      </c>
      <c r="E5384" s="12" t="inlineStr"/>
      <c r="F5384" s="12" t="inlineStr">
        <is>
          <t>PCM: power control module</t>
        </is>
      </c>
      <c r="G5384" s="12" t="inlineStr">
        <is>
          <t>RICE-7</t>
        </is>
      </c>
      <c r="H5384" s="12" t="inlineStr">
        <is>
          <t>RICE engine-generator 7</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125</v>
      </c>
      <c r="V5384" s="15">
        <f>ROUNDUP((T5384+U5384+2*'Read Me'!$B$13)*(1+'Read Me'!$B$12),-1)</f>
        <v/>
      </c>
      <c r="W5384" s="15">
        <f>V5384*N5384*O5384</f>
        <v/>
      </c>
      <c r="X5384" s="12">
        <f>IF(LEFT(I5384,2)="MV",2*N5384*IF(L5384="1/C",O5384,1),0)</f>
        <v/>
      </c>
      <c r="Y5384" s="12">
        <f>IF(OR(LEFT(K5384,4)="LVAX",LEFT(K5384,6)="MV15AX",LEFT(K5384,4)="CTAX",LEFT(K5384,2)="W|"),2*N5384*O5384,0)</f>
        <v/>
      </c>
      <c r="Z5384" s="12" t="inlineStr">
        <is>
          <t>VD 1.7 %</t>
        </is>
      </c>
      <c r="AA5384" s="12">
        <f>N5384*O5384</f>
        <v/>
      </c>
    </row>
    <row r="5385">
      <c r="A5385" s="12" t="inlineStr">
        <is>
          <t>I-P-0226</t>
        </is>
      </c>
      <c r="B5385" s="12" t="inlineStr">
        <is>
          <t>I</t>
        </is>
      </c>
      <c r="C5385" s="12" t="inlineStr">
        <is>
          <t>Modular / portable power</t>
        </is>
      </c>
      <c r="D5385" s="12" t="inlineStr">
        <is>
          <t>Motor 2 of 6, 22 kW</t>
        </is>
      </c>
      <c r="E5385" s="12" t="inlineStr"/>
      <c r="F5385" s="12" t="inlineStr">
        <is>
          <t>PCM: power control module</t>
        </is>
      </c>
      <c r="G5385" s="12" t="inlineStr">
        <is>
          <t>RICE-7</t>
        </is>
      </c>
      <c r="H5385" s="12" t="inlineStr">
        <is>
          <t>RICE engine-generator 7</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125</v>
      </c>
      <c r="V5385" s="15">
        <f>ROUNDUP((T5385+U5385+2*'Read Me'!$B$13)*(1+'Read Me'!$B$12),-1)</f>
        <v/>
      </c>
      <c r="W5385" s="15">
        <f>V5385*N5385*O5385</f>
        <v/>
      </c>
      <c r="X5385" s="12">
        <f>IF(LEFT(I5385,2)="MV",2*N5385*IF(L5385="1/C",O5385,1),0)</f>
        <v/>
      </c>
      <c r="Y5385" s="12">
        <f>IF(OR(LEFT(K5385,4)="LVAX",LEFT(K5385,6)="MV15AX",LEFT(K5385,4)="CTAX",LEFT(K5385,2)="W|"),2*N5385*O5385,0)</f>
        <v/>
      </c>
      <c r="Z5385" s="12" t="inlineStr">
        <is>
          <t>VD 1.7 %</t>
        </is>
      </c>
      <c r="AA5385" s="12">
        <f>N5385*O5385</f>
        <v/>
      </c>
    </row>
    <row r="5386">
      <c r="A5386" s="12" t="inlineStr">
        <is>
          <t>I-P-0227</t>
        </is>
      </c>
      <c r="B5386" s="12" t="inlineStr">
        <is>
          <t>I</t>
        </is>
      </c>
      <c r="C5386" s="12" t="inlineStr">
        <is>
          <t>Modular / portable power</t>
        </is>
      </c>
      <c r="D5386" s="12" t="inlineStr">
        <is>
          <t>Motor 3 of 6, 22 kW</t>
        </is>
      </c>
      <c r="E5386" s="12" t="inlineStr"/>
      <c r="F5386" s="12" t="inlineStr">
        <is>
          <t>PCM: power control module</t>
        </is>
      </c>
      <c r="G5386" s="12" t="inlineStr">
        <is>
          <t>RICE-7</t>
        </is>
      </c>
      <c r="H5386" s="12" t="inlineStr">
        <is>
          <t>RICE engine-generator 7</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125</v>
      </c>
      <c r="V5386" s="15">
        <f>ROUNDUP((T5386+U5386+2*'Read Me'!$B$13)*(1+'Read Me'!$B$12),-1)</f>
        <v/>
      </c>
      <c r="W5386" s="15">
        <f>V5386*N5386*O5386</f>
        <v/>
      </c>
      <c r="X5386" s="12">
        <f>IF(LEFT(I5386,2)="MV",2*N5386*IF(L5386="1/C",O5386,1),0)</f>
        <v/>
      </c>
      <c r="Y5386" s="12">
        <f>IF(OR(LEFT(K5386,4)="LVAX",LEFT(K5386,6)="MV15AX",LEFT(K5386,4)="CTAX",LEFT(K5386,2)="W|"),2*N5386*O5386,0)</f>
        <v/>
      </c>
      <c r="Z5386" s="12" t="inlineStr">
        <is>
          <t>VD 1.7 %</t>
        </is>
      </c>
      <c r="AA5386" s="12">
        <f>N5386*O5386</f>
        <v/>
      </c>
    </row>
    <row r="5387">
      <c r="A5387" s="12" t="inlineStr">
        <is>
          <t>I-P-0228</t>
        </is>
      </c>
      <c r="B5387" s="12" t="inlineStr">
        <is>
          <t>I</t>
        </is>
      </c>
      <c r="C5387" s="12" t="inlineStr">
        <is>
          <t>Modular / portable power</t>
        </is>
      </c>
      <c r="D5387" s="12" t="inlineStr">
        <is>
          <t>Motor 4 of 6, 22 kW</t>
        </is>
      </c>
      <c r="E5387" s="12" t="inlineStr"/>
      <c r="F5387" s="12" t="inlineStr">
        <is>
          <t>PCM: power control module</t>
        </is>
      </c>
      <c r="G5387" s="12" t="inlineStr">
        <is>
          <t>RICE-7</t>
        </is>
      </c>
      <c r="H5387" s="12" t="inlineStr">
        <is>
          <t>RICE engine-generator 7</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125</v>
      </c>
      <c r="V5387" s="15">
        <f>ROUNDUP((T5387+U5387+2*'Read Me'!$B$13)*(1+'Read Me'!$B$12),-1)</f>
        <v/>
      </c>
      <c r="W5387" s="15">
        <f>V5387*N5387*O5387</f>
        <v/>
      </c>
      <c r="X5387" s="12">
        <f>IF(LEFT(I5387,2)="MV",2*N5387*IF(L5387="1/C",O5387,1),0)</f>
        <v/>
      </c>
      <c r="Y5387" s="12">
        <f>IF(OR(LEFT(K5387,4)="LVAX",LEFT(K5387,6)="MV15AX",LEFT(K5387,4)="CTAX",LEFT(K5387,2)="W|"),2*N5387*O5387,0)</f>
        <v/>
      </c>
      <c r="Z5387" s="12" t="inlineStr">
        <is>
          <t>VD 1.7 %</t>
        </is>
      </c>
      <c r="AA5387" s="12">
        <f>N5387*O5387</f>
        <v/>
      </c>
    </row>
    <row r="5388">
      <c r="A5388" s="12" t="inlineStr">
        <is>
          <t>I-P-0229</t>
        </is>
      </c>
      <c r="B5388" s="12" t="inlineStr">
        <is>
          <t>I</t>
        </is>
      </c>
      <c r="C5388" s="12" t="inlineStr">
        <is>
          <t>Modular / portable power</t>
        </is>
      </c>
      <c r="D5388" s="12" t="inlineStr">
        <is>
          <t>Motor 5 of 6, 22 kW</t>
        </is>
      </c>
      <c r="E5388" s="12" t="inlineStr"/>
      <c r="F5388" s="12" t="inlineStr">
        <is>
          <t>PCM: power control module</t>
        </is>
      </c>
      <c r="G5388" s="12" t="inlineStr">
        <is>
          <t>RICE-7</t>
        </is>
      </c>
      <c r="H5388" s="12" t="inlineStr">
        <is>
          <t>RICE engine-generator 7</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125</v>
      </c>
      <c r="V5388" s="15">
        <f>ROUNDUP((T5388+U5388+2*'Read Me'!$B$13)*(1+'Read Me'!$B$12),-1)</f>
        <v/>
      </c>
      <c r="W5388" s="15">
        <f>V5388*N5388*O5388</f>
        <v/>
      </c>
      <c r="X5388" s="12">
        <f>IF(LEFT(I5388,2)="MV",2*N5388*IF(L5388="1/C",O5388,1),0)</f>
        <v/>
      </c>
      <c r="Y5388" s="12">
        <f>IF(OR(LEFT(K5388,4)="LVAX",LEFT(K5388,6)="MV15AX",LEFT(K5388,4)="CTAX",LEFT(K5388,2)="W|"),2*N5388*O5388,0)</f>
        <v/>
      </c>
      <c r="Z5388" s="12" t="inlineStr">
        <is>
          <t>VD 1.7 %</t>
        </is>
      </c>
      <c r="AA5388" s="12">
        <f>N5388*O5388</f>
        <v/>
      </c>
    </row>
    <row r="5389">
      <c r="A5389" s="12" t="inlineStr">
        <is>
          <t>I-P-0230</t>
        </is>
      </c>
      <c r="B5389" s="12" t="inlineStr">
        <is>
          <t>I</t>
        </is>
      </c>
      <c r="C5389" s="12" t="inlineStr">
        <is>
          <t>Modular / portable power</t>
        </is>
      </c>
      <c r="D5389" s="12" t="inlineStr">
        <is>
          <t>Motor 6 of 6, 22 kW</t>
        </is>
      </c>
      <c r="E5389" s="12" t="inlineStr"/>
      <c r="F5389" s="12" t="inlineStr">
        <is>
          <t>PCM: power control module</t>
        </is>
      </c>
      <c r="G5389" s="12" t="inlineStr">
        <is>
          <t>RICE-7</t>
        </is>
      </c>
      <c r="H5389" s="12" t="inlineStr">
        <is>
          <t>RICE engine-generator 7</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125</v>
      </c>
      <c r="V5389" s="15">
        <f>ROUNDUP((T5389+U5389+2*'Read Me'!$B$13)*(1+'Read Me'!$B$12),-1)</f>
        <v/>
      </c>
      <c r="W5389" s="15">
        <f>V5389*N5389*O5389</f>
        <v/>
      </c>
      <c r="X5389" s="12">
        <f>IF(LEFT(I5389,2)="MV",2*N5389*IF(L5389="1/C",O5389,1),0)</f>
        <v/>
      </c>
      <c r="Y5389" s="12">
        <f>IF(OR(LEFT(K5389,4)="LVAX",LEFT(K5389,6)="MV15AX",LEFT(K5389,4)="CTAX",LEFT(K5389,2)="W|"),2*N5389*O5389,0)</f>
        <v/>
      </c>
      <c r="Z5389" s="12" t="inlineStr">
        <is>
          <t>VD 1.7 %</t>
        </is>
      </c>
      <c r="AA5389" s="12">
        <f>N5389*O5389</f>
        <v/>
      </c>
    </row>
    <row r="5390">
      <c r="A5390" s="12" t="inlineStr">
        <is>
          <t>I-P-0231</t>
        </is>
      </c>
      <c r="B5390" s="12" t="inlineStr">
        <is>
          <t>I</t>
        </is>
      </c>
      <c r="C5390" s="12" t="inlineStr">
        <is>
          <t>Modular / portable power</t>
        </is>
      </c>
      <c r="D5390" s="12" t="inlineStr">
        <is>
          <t>480 V welding receptacle 1</t>
        </is>
      </c>
      <c r="E5390" s="12" t="inlineStr"/>
      <c r="F5390" s="12" t="inlineStr">
        <is>
          <t>PCM: power control module</t>
        </is>
      </c>
      <c r="G5390" s="12" t="inlineStr">
        <is>
          <t>RICE-7</t>
        </is>
      </c>
      <c r="H5390" s="12" t="inlineStr">
        <is>
          <t>RICE engine-generator 7</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125</v>
      </c>
      <c r="V5390" s="15">
        <f>ROUNDUP((T5390+U5390+2*'Read Me'!$B$13)*(1+'Read Me'!$B$12),-1)</f>
        <v/>
      </c>
      <c r="W5390" s="15">
        <f>V5390*N5390*O5390</f>
        <v/>
      </c>
      <c r="X5390" s="12">
        <f>IF(LEFT(I5390,2)="MV",2*N5390*IF(L5390="1/C",O5390,1),0)</f>
        <v/>
      </c>
      <c r="Y5390" s="12">
        <f>IF(OR(LEFT(K5390,4)="LVAX",LEFT(K5390,6)="MV15AX",LEFT(K5390,4)="CTAX",LEFT(K5390,2)="W|"),2*N5390*O5390,0)</f>
        <v/>
      </c>
      <c r="Z5390" s="12" t="inlineStr">
        <is>
          <t>VD 1.1 %</t>
        </is>
      </c>
      <c r="AA5390" s="12">
        <f>N5390*O5390</f>
        <v/>
      </c>
    </row>
    <row r="5391">
      <c r="A5391" s="12" t="inlineStr">
        <is>
          <t>I-P-0232</t>
        </is>
      </c>
      <c r="B5391" s="12" t="inlineStr">
        <is>
          <t>I</t>
        </is>
      </c>
      <c r="C5391" s="12" t="inlineStr">
        <is>
          <t>Modular / portable power</t>
        </is>
      </c>
      <c r="D5391" s="12" t="inlineStr">
        <is>
          <t>480 V welding receptacle 2</t>
        </is>
      </c>
      <c r="E5391" s="12" t="inlineStr"/>
      <c r="F5391" s="12" t="inlineStr">
        <is>
          <t>PCM: power control module</t>
        </is>
      </c>
      <c r="G5391" s="12" t="inlineStr">
        <is>
          <t>RICE-7</t>
        </is>
      </c>
      <c r="H5391" s="12" t="inlineStr">
        <is>
          <t>RICE engine-generator 7</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125</v>
      </c>
      <c r="V5391" s="15">
        <f>ROUNDUP((T5391+U5391+2*'Read Me'!$B$13)*(1+'Read Me'!$B$12),-1)</f>
        <v/>
      </c>
      <c r="W5391" s="15">
        <f>V5391*N5391*O5391</f>
        <v/>
      </c>
      <c r="X5391" s="12">
        <f>IF(LEFT(I5391,2)="MV",2*N5391*IF(L5391="1/C",O5391,1),0)</f>
        <v/>
      </c>
      <c r="Y5391" s="12">
        <f>IF(OR(LEFT(K5391,4)="LVAX",LEFT(K5391,6)="MV15AX",LEFT(K5391,4)="CTAX",LEFT(K5391,2)="W|"),2*N5391*O5391,0)</f>
        <v/>
      </c>
      <c r="Z5391" s="12" t="inlineStr">
        <is>
          <t>VD 1.1 %</t>
        </is>
      </c>
      <c r="AA5391" s="12">
        <f>N5391*O5391</f>
        <v/>
      </c>
    </row>
    <row r="5392">
      <c r="A5392" s="12" t="inlineStr">
        <is>
          <t>I-P-0233</t>
        </is>
      </c>
      <c r="B5392" s="12" t="inlineStr">
        <is>
          <t>I</t>
        </is>
      </c>
      <c r="C5392" s="12" t="inlineStr">
        <is>
          <t>Modular / portable power</t>
        </is>
      </c>
      <c r="D5392" s="12" t="inlineStr">
        <is>
          <t>480 V welding receptacle 3</t>
        </is>
      </c>
      <c r="E5392" s="12" t="inlineStr"/>
      <c r="F5392" s="12" t="inlineStr">
        <is>
          <t>PCM: power control module</t>
        </is>
      </c>
      <c r="G5392" s="12" t="inlineStr">
        <is>
          <t>RICE-7</t>
        </is>
      </c>
      <c r="H5392" s="12" t="inlineStr">
        <is>
          <t>RICE engine-generator 7</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125</v>
      </c>
      <c r="V5392" s="15">
        <f>ROUNDUP((T5392+U5392+2*'Read Me'!$B$13)*(1+'Read Me'!$B$12),-1)</f>
        <v/>
      </c>
      <c r="W5392" s="15">
        <f>V5392*N5392*O5392</f>
        <v/>
      </c>
      <c r="X5392" s="12">
        <f>IF(LEFT(I5392,2)="MV",2*N5392*IF(L5392="1/C",O5392,1),0)</f>
        <v/>
      </c>
      <c r="Y5392" s="12">
        <f>IF(OR(LEFT(K5392,4)="LVAX",LEFT(K5392,6)="MV15AX",LEFT(K5392,4)="CTAX",LEFT(K5392,2)="W|"),2*N5392*O5392,0)</f>
        <v/>
      </c>
      <c r="Z5392" s="12" t="inlineStr">
        <is>
          <t>VD 1.1 %</t>
        </is>
      </c>
      <c r="AA5392" s="12">
        <f>N5392*O5392</f>
        <v/>
      </c>
    </row>
    <row r="5393">
      <c r="A5393" s="12" t="inlineStr">
        <is>
          <t>I-P-0234</t>
        </is>
      </c>
      <c r="B5393" s="12" t="inlineStr">
        <is>
          <t>I</t>
        </is>
      </c>
      <c r="C5393" s="12" t="inlineStr">
        <is>
          <t>Modular / portable power</t>
        </is>
      </c>
      <c r="D5393" s="12" t="inlineStr">
        <is>
          <t>480 V welding receptacle 4</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60</v>
      </c>
      <c r="R5393" s="12" t="n">
        <v>76</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1.1 %</t>
        </is>
      </c>
      <c r="AA5393" s="12">
        <f>N5393*O5393</f>
        <v/>
      </c>
    </row>
    <row r="5394">
      <c r="A5394" s="12" t="inlineStr">
        <is>
          <t>I-P-0235</t>
        </is>
      </c>
      <c r="B5394" s="12" t="inlineStr">
        <is>
          <t>I</t>
        </is>
      </c>
      <c r="C5394" s="12" t="inlineStr">
        <is>
          <t>Modular / portable power</t>
        </is>
      </c>
      <c r="D5394" s="12" t="inlineStr">
        <is>
          <t>Motor 1 of 6, 22 kW</t>
        </is>
      </c>
      <c r="E5394" s="12" t="inlineStr"/>
      <c r="F5394" s="12" t="inlineStr">
        <is>
          <t>PCM: power control module</t>
        </is>
      </c>
      <c r="G5394" s="12" t="inlineStr">
        <is>
          <t>RICE-8</t>
        </is>
      </c>
      <c r="H5394" s="12" t="inlineStr">
        <is>
          <t>RICE engine-generator 8</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97</v>
      </c>
      <c r="V5394" s="15">
        <f>ROUNDUP((T5394+U5394+2*'Read Me'!$B$13)*(1+'Read Me'!$B$12),-1)</f>
        <v/>
      </c>
      <c r="W5394" s="15">
        <f>V5394*N5394*O5394</f>
        <v/>
      </c>
      <c r="X5394" s="12">
        <f>IF(LEFT(I5394,2)="MV",2*N5394*IF(L5394="1/C",O5394,1),0)</f>
        <v/>
      </c>
      <c r="Y5394" s="12">
        <f>IF(OR(LEFT(K5394,4)="LVAX",LEFT(K5394,6)="MV15AX",LEFT(K5394,4)="CTAX",LEFT(K5394,2)="W|"),2*N5394*O5394,0)</f>
        <v/>
      </c>
      <c r="Z5394" s="12" t="inlineStr">
        <is>
          <t>VD 1.5 %</t>
        </is>
      </c>
      <c r="AA5394" s="12">
        <f>N5394*O5394</f>
        <v/>
      </c>
    </row>
    <row r="5395">
      <c r="A5395" s="12" t="inlineStr">
        <is>
          <t>I-P-0236</t>
        </is>
      </c>
      <c r="B5395" s="12" t="inlineStr">
        <is>
          <t>I</t>
        </is>
      </c>
      <c r="C5395" s="12" t="inlineStr">
        <is>
          <t>Modular / portable power</t>
        </is>
      </c>
      <c r="D5395" s="12" t="inlineStr">
        <is>
          <t>Motor 2 of 6, 22 kW</t>
        </is>
      </c>
      <c r="E5395" s="12" t="inlineStr"/>
      <c r="F5395" s="12" t="inlineStr">
        <is>
          <t>PCM: power control module</t>
        </is>
      </c>
      <c r="G5395" s="12" t="inlineStr">
        <is>
          <t>RICE-8</t>
        </is>
      </c>
      <c r="H5395" s="12" t="inlineStr">
        <is>
          <t>RICE engine-generator 8</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97</v>
      </c>
      <c r="V5395" s="15">
        <f>ROUNDUP((T5395+U5395+2*'Read Me'!$B$13)*(1+'Read Me'!$B$12),-1)</f>
        <v/>
      </c>
      <c r="W5395" s="15">
        <f>V5395*N5395*O5395</f>
        <v/>
      </c>
      <c r="X5395" s="12">
        <f>IF(LEFT(I5395,2)="MV",2*N5395*IF(L5395="1/C",O5395,1),0)</f>
        <v/>
      </c>
      <c r="Y5395" s="12">
        <f>IF(OR(LEFT(K5395,4)="LVAX",LEFT(K5395,6)="MV15AX",LEFT(K5395,4)="CTAX",LEFT(K5395,2)="W|"),2*N5395*O5395,0)</f>
        <v/>
      </c>
      <c r="Z5395" s="12" t="inlineStr">
        <is>
          <t>VD 1.5 %</t>
        </is>
      </c>
      <c r="AA5395" s="12">
        <f>N5395*O5395</f>
        <v/>
      </c>
    </row>
    <row r="5396">
      <c r="A5396" s="12" t="inlineStr">
        <is>
          <t>I-P-0237</t>
        </is>
      </c>
      <c r="B5396" s="12" t="inlineStr">
        <is>
          <t>I</t>
        </is>
      </c>
      <c r="C5396" s="12" t="inlineStr">
        <is>
          <t>Modular / portable power</t>
        </is>
      </c>
      <c r="D5396" s="12" t="inlineStr">
        <is>
          <t>Motor 3 of 6, 22 kW</t>
        </is>
      </c>
      <c r="E5396" s="12" t="inlineStr"/>
      <c r="F5396" s="12" t="inlineStr">
        <is>
          <t>PCM: power control module</t>
        </is>
      </c>
      <c r="G5396" s="12" t="inlineStr">
        <is>
          <t>RICE-8</t>
        </is>
      </c>
      <c r="H5396" s="12" t="inlineStr">
        <is>
          <t>RICE engine-generator 8</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97</v>
      </c>
      <c r="V5396" s="15">
        <f>ROUNDUP((T5396+U5396+2*'Read Me'!$B$13)*(1+'Read Me'!$B$12),-1)</f>
        <v/>
      </c>
      <c r="W5396" s="15">
        <f>V5396*N5396*O5396</f>
        <v/>
      </c>
      <c r="X5396" s="12">
        <f>IF(LEFT(I5396,2)="MV",2*N5396*IF(L5396="1/C",O5396,1),0)</f>
        <v/>
      </c>
      <c r="Y5396" s="12">
        <f>IF(OR(LEFT(K5396,4)="LVAX",LEFT(K5396,6)="MV15AX",LEFT(K5396,4)="CTAX",LEFT(K5396,2)="W|"),2*N5396*O5396,0)</f>
        <v/>
      </c>
      <c r="Z5396" s="12" t="inlineStr">
        <is>
          <t>VD 1.5 %</t>
        </is>
      </c>
      <c r="AA5396" s="12">
        <f>N5396*O5396</f>
        <v/>
      </c>
    </row>
    <row r="5397">
      <c r="A5397" s="12" t="inlineStr">
        <is>
          <t>I-P-0238</t>
        </is>
      </c>
      <c r="B5397" s="12" t="inlineStr">
        <is>
          <t>I</t>
        </is>
      </c>
      <c r="C5397" s="12" t="inlineStr">
        <is>
          <t>Modular / portable power</t>
        </is>
      </c>
      <c r="D5397" s="12" t="inlineStr">
        <is>
          <t>Motor 4 of 6, 22 kW</t>
        </is>
      </c>
      <c r="E5397" s="12" t="inlineStr"/>
      <c r="F5397" s="12" t="inlineStr">
        <is>
          <t>PCM: power control module</t>
        </is>
      </c>
      <c r="G5397" s="12" t="inlineStr">
        <is>
          <t>RICE-8</t>
        </is>
      </c>
      <c r="H5397" s="12" t="inlineStr">
        <is>
          <t>RICE engine-generator 8</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97</v>
      </c>
      <c r="V5397" s="15">
        <f>ROUNDUP((T5397+U5397+2*'Read Me'!$B$13)*(1+'Read Me'!$B$12),-1)</f>
        <v/>
      </c>
      <c r="W5397" s="15">
        <f>V5397*N5397*O5397</f>
        <v/>
      </c>
      <c r="X5397" s="12">
        <f>IF(LEFT(I5397,2)="MV",2*N5397*IF(L5397="1/C",O5397,1),0)</f>
        <v/>
      </c>
      <c r="Y5397" s="12">
        <f>IF(OR(LEFT(K5397,4)="LVAX",LEFT(K5397,6)="MV15AX",LEFT(K5397,4)="CTAX",LEFT(K5397,2)="W|"),2*N5397*O5397,0)</f>
        <v/>
      </c>
      <c r="Z5397" s="12" t="inlineStr">
        <is>
          <t>VD 1.5 %</t>
        </is>
      </c>
      <c r="AA5397" s="12">
        <f>N5397*O5397</f>
        <v/>
      </c>
    </row>
    <row r="5398">
      <c r="A5398" s="12" t="inlineStr">
        <is>
          <t>I-P-0239</t>
        </is>
      </c>
      <c r="B5398" s="12" t="inlineStr">
        <is>
          <t>I</t>
        </is>
      </c>
      <c r="C5398" s="12" t="inlineStr">
        <is>
          <t>Modular / portable power</t>
        </is>
      </c>
      <c r="D5398" s="12" t="inlineStr">
        <is>
          <t>Motor 5 of 6, 22 kW</t>
        </is>
      </c>
      <c r="E5398" s="12" t="inlineStr"/>
      <c r="F5398" s="12" t="inlineStr">
        <is>
          <t>PCM: power control module</t>
        </is>
      </c>
      <c r="G5398" s="12" t="inlineStr">
        <is>
          <t>RICE-8</t>
        </is>
      </c>
      <c r="H5398" s="12" t="inlineStr">
        <is>
          <t>RICE engine-generator 8</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97</v>
      </c>
      <c r="V5398" s="15">
        <f>ROUNDUP((T5398+U5398+2*'Read Me'!$B$13)*(1+'Read Me'!$B$12),-1)</f>
        <v/>
      </c>
      <c r="W5398" s="15">
        <f>V5398*N5398*O5398</f>
        <v/>
      </c>
      <c r="X5398" s="12">
        <f>IF(LEFT(I5398,2)="MV",2*N5398*IF(L5398="1/C",O5398,1),0)</f>
        <v/>
      </c>
      <c r="Y5398" s="12">
        <f>IF(OR(LEFT(K5398,4)="LVAX",LEFT(K5398,6)="MV15AX",LEFT(K5398,4)="CTAX",LEFT(K5398,2)="W|"),2*N5398*O5398,0)</f>
        <v/>
      </c>
      <c r="Z5398" s="12" t="inlineStr">
        <is>
          <t>VD 1.5 %</t>
        </is>
      </c>
      <c r="AA5398" s="12">
        <f>N5398*O5398</f>
        <v/>
      </c>
    </row>
    <row r="5399">
      <c r="A5399" s="12" t="inlineStr">
        <is>
          <t>I-P-0240</t>
        </is>
      </c>
      <c r="B5399" s="12" t="inlineStr">
        <is>
          <t>I</t>
        </is>
      </c>
      <c r="C5399" s="12" t="inlineStr">
        <is>
          <t>Modular / portable power</t>
        </is>
      </c>
      <c r="D5399" s="12" t="inlineStr">
        <is>
          <t>Motor 6 of 6, 22 kW</t>
        </is>
      </c>
      <c r="E5399" s="12" t="inlineStr"/>
      <c r="F5399" s="12" t="inlineStr">
        <is>
          <t>PCM: power control module</t>
        </is>
      </c>
      <c r="G5399" s="12" t="inlineStr">
        <is>
          <t>RICE-8</t>
        </is>
      </c>
      <c r="H5399" s="12" t="inlineStr">
        <is>
          <t>RICE engine-generator 8</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97</v>
      </c>
      <c r="V5399" s="15">
        <f>ROUNDUP((T5399+U5399+2*'Read Me'!$B$13)*(1+'Read Me'!$B$12),-1)</f>
        <v/>
      </c>
      <c r="W5399" s="15">
        <f>V5399*N5399*O5399</f>
        <v/>
      </c>
      <c r="X5399" s="12">
        <f>IF(LEFT(I5399,2)="MV",2*N5399*IF(L5399="1/C",O5399,1),0)</f>
        <v/>
      </c>
      <c r="Y5399" s="12">
        <f>IF(OR(LEFT(K5399,4)="LVAX",LEFT(K5399,6)="MV15AX",LEFT(K5399,4)="CTAX",LEFT(K5399,2)="W|"),2*N5399*O5399,0)</f>
        <v/>
      </c>
      <c r="Z5399" s="12" t="inlineStr">
        <is>
          <t>VD 1.5 %</t>
        </is>
      </c>
      <c r="AA5399" s="12">
        <f>N5399*O5399</f>
        <v/>
      </c>
    </row>
    <row r="5400">
      <c r="A5400" s="12" t="inlineStr">
        <is>
          <t>I-P-0241</t>
        </is>
      </c>
      <c r="B5400" s="12" t="inlineStr">
        <is>
          <t>I</t>
        </is>
      </c>
      <c r="C5400" s="12" t="inlineStr">
        <is>
          <t>Modular / portable power</t>
        </is>
      </c>
      <c r="D5400" s="12" t="inlineStr">
        <is>
          <t>480 V welding receptacle 1</t>
        </is>
      </c>
      <c r="E5400" s="12" t="inlineStr"/>
      <c r="F5400" s="12" t="inlineStr">
        <is>
          <t>PCM: power control module</t>
        </is>
      </c>
      <c r="G5400" s="12" t="inlineStr">
        <is>
          <t>RICE-8</t>
        </is>
      </c>
      <c r="H5400" s="12" t="inlineStr">
        <is>
          <t>RICE engine-generator 8</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97</v>
      </c>
      <c r="V5400" s="15">
        <f>ROUNDUP((T5400+U5400+2*'Read Me'!$B$13)*(1+'Read Me'!$B$12),-1)</f>
        <v/>
      </c>
      <c r="W5400" s="15">
        <f>V5400*N5400*O5400</f>
        <v/>
      </c>
      <c r="X5400" s="12">
        <f>IF(LEFT(I5400,2)="MV",2*N5400*IF(L5400="1/C",O5400,1),0)</f>
        <v/>
      </c>
      <c r="Y5400" s="12">
        <f>IF(OR(LEFT(K5400,4)="LVAX",LEFT(K5400,6)="MV15AX",LEFT(K5400,4)="CTAX",LEFT(K5400,2)="W|"),2*N5400*O5400,0)</f>
        <v/>
      </c>
      <c r="Z5400" s="12" t="inlineStr">
        <is>
          <t>VD 0.9 %</t>
        </is>
      </c>
      <c r="AA5400" s="12">
        <f>N5400*O5400</f>
        <v/>
      </c>
    </row>
    <row r="5401">
      <c r="A5401" s="12" t="inlineStr">
        <is>
          <t>I-P-0242</t>
        </is>
      </c>
      <c r="B5401" s="12" t="inlineStr">
        <is>
          <t>I</t>
        </is>
      </c>
      <c r="C5401" s="12" t="inlineStr">
        <is>
          <t>Modular / portable power</t>
        </is>
      </c>
      <c r="D5401" s="12" t="inlineStr">
        <is>
          <t>480 V welding receptacle 2</t>
        </is>
      </c>
      <c r="E5401" s="12" t="inlineStr"/>
      <c r="F5401" s="12" t="inlineStr">
        <is>
          <t>PCM: power control module</t>
        </is>
      </c>
      <c r="G5401" s="12" t="inlineStr">
        <is>
          <t>RICE-8</t>
        </is>
      </c>
      <c r="H5401" s="12" t="inlineStr">
        <is>
          <t>RICE engine-generator 8</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97</v>
      </c>
      <c r="V5401" s="15">
        <f>ROUNDUP((T5401+U5401+2*'Read Me'!$B$13)*(1+'Read Me'!$B$12),-1)</f>
        <v/>
      </c>
      <c r="W5401" s="15">
        <f>V5401*N5401*O5401</f>
        <v/>
      </c>
      <c r="X5401" s="12">
        <f>IF(LEFT(I5401,2)="MV",2*N5401*IF(L5401="1/C",O5401,1),0)</f>
        <v/>
      </c>
      <c r="Y5401" s="12">
        <f>IF(OR(LEFT(K5401,4)="LVAX",LEFT(K5401,6)="MV15AX",LEFT(K5401,4)="CTAX",LEFT(K5401,2)="W|"),2*N5401*O5401,0)</f>
        <v/>
      </c>
      <c r="Z5401" s="12" t="inlineStr">
        <is>
          <t>VD 0.9 %</t>
        </is>
      </c>
      <c r="AA5401" s="12">
        <f>N5401*O5401</f>
        <v/>
      </c>
    </row>
    <row r="5402">
      <c r="A5402" s="12" t="inlineStr">
        <is>
          <t>I-P-0243</t>
        </is>
      </c>
      <c r="B5402" s="12" t="inlineStr">
        <is>
          <t>I</t>
        </is>
      </c>
      <c r="C5402" s="12" t="inlineStr">
        <is>
          <t>Modular / portable power</t>
        </is>
      </c>
      <c r="D5402" s="12" t="inlineStr">
        <is>
          <t>480 V welding receptacle 3</t>
        </is>
      </c>
      <c r="E5402" s="12" t="inlineStr"/>
      <c r="F5402" s="12" t="inlineStr">
        <is>
          <t>PCM: power control module</t>
        </is>
      </c>
      <c r="G5402" s="12" t="inlineStr">
        <is>
          <t>RICE-8</t>
        </is>
      </c>
      <c r="H5402" s="12" t="inlineStr">
        <is>
          <t>RICE engine-generator 8</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97</v>
      </c>
      <c r="V5402" s="15">
        <f>ROUNDUP((T5402+U5402+2*'Read Me'!$B$13)*(1+'Read Me'!$B$12),-1)</f>
        <v/>
      </c>
      <c r="W5402" s="15">
        <f>V5402*N5402*O5402</f>
        <v/>
      </c>
      <c r="X5402" s="12">
        <f>IF(LEFT(I5402,2)="MV",2*N5402*IF(L5402="1/C",O5402,1),0)</f>
        <v/>
      </c>
      <c r="Y5402" s="12">
        <f>IF(OR(LEFT(K5402,4)="LVAX",LEFT(K5402,6)="MV15AX",LEFT(K5402,4)="CTAX",LEFT(K5402,2)="W|"),2*N5402*O5402,0)</f>
        <v/>
      </c>
      <c r="Z5402" s="12" t="inlineStr">
        <is>
          <t>VD 0.9 %</t>
        </is>
      </c>
      <c r="AA5402" s="12">
        <f>N5402*O5402</f>
        <v/>
      </c>
    </row>
    <row r="5403">
      <c r="A5403" s="12" t="inlineStr">
        <is>
          <t>I-P-0244</t>
        </is>
      </c>
      <c r="B5403" s="12" t="inlineStr">
        <is>
          <t>I</t>
        </is>
      </c>
      <c r="C5403" s="12" t="inlineStr">
        <is>
          <t>Modular / portable power</t>
        </is>
      </c>
      <c r="D5403" s="12" t="inlineStr">
        <is>
          <t>480 V welding receptacle 4</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0.9 %</t>
        </is>
      </c>
      <c r="AA5403" s="12">
        <f>N5403*O5403</f>
        <v/>
      </c>
    </row>
    <row r="5404">
      <c r="A5404" s="12" t="inlineStr">
        <is>
          <t>I-P-0245</t>
        </is>
      </c>
      <c r="B5404" s="12" t="inlineStr">
        <is>
          <t>I</t>
        </is>
      </c>
      <c r="C5404" s="12" t="inlineStr">
        <is>
          <t>Modular / portable power</t>
        </is>
      </c>
      <c r="D5404" s="12" t="inlineStr">
        <is>
          <t>LV power feeder</t>
        </is>
      </c>
      <c r="E5404" s="12" t="inlineStr"/>
      <c r="F5404" s="12" t="inlineStr">
        <is>
          <t>PCM: power control module</t>
        </is>
      </c>
      <c r="G5404" s="12" t="inlineStr"/>
      <c r="H5404" s="12" t="inlineStr">
        <is>
          <t>Reagent storage</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15</v>
      </c>
      <c r="R5404" s="12" t="n">
        <v>21.2</v>
      </c>
      <c r="S5404" s="12" t="inlineStr">
        <is>
          <t>Duct bank</t>
        </is>
      </c>
      <c r="T5404" s="15" t="n">
        <v>258</v>
      </c>
      <c r="U5404" s="15" t="n">
        <v>110</v>
      </c>
      <c r="V5404" s="15">
        <f>ROUNDUP((T5404+U5404+2*'Read Me'!$B$13)*(1+'Read Me'!$B$12),-1)</f>
        <v/>
      </c>
      <c r="W5404" s="15">
        <f>V5404*N5404*O5404</f>
        <v/>
      </c>
      <c r="X5404" s="12">
        <f>IF(LEFT(I5404,2)="MV",2*N5404*IF(L5404="1/C",O5404,1),0)</f>
        <v/>
      </c>
      <c r="Y5404" s="12">
        <f>IF(OR(LEFT(K5404,4)="LVAX",LEFT(K5404,6)="MV15AX",LEFT(K5404,4)="CTAX",LEFT(K5404,2)="W|"),2*N5404*O5404,0)</f>
        <v/>
      </c>
      <c r="Z5404" s="12" t="inlineStr">
        <is>
          <t>VD 2.4 %</t>
        </is>
      </c>
      <c r="AA5404" s="12">
        <f>N5404*O5404</f>
        <v/>
      </c>
    </row>
    <row r="5405">
      <c r="A5405" s="12" t="inlineStr">
        <is>
          <t>I-P-0246</t>
        </is>
      </c>
      <c r="B5405" s="12" t="inlineStr">
        <is>
          <t>I</t>
        </is>
      </c>
      <c r="C5405" s="12" t="inlineStr">
        <is>
          <t>Modular / portable power</t>
        </is>
      </c>
      <c r="D5405" s="12" t="inlineStr">
        <is>
          <t>SC-1 CEMS shelter panel: analysers, heated sample line, lighting</t>
        </is>
      </c>
      <c r="E5405" s="12" t="inlineStr"/>
      <c r="F5405" s="12" t="inlineStr">
        <is>
          <t>SC-1 PCM + 15 kV GCB</t>
        </is>
      </c>
      <c r="G5405" s="12" t="inlineStr"/>
      <c r="H5405" s="12" t="inlineStr">
        <is>
          <t>SC-1 CEMS shelter</t>
        </is>
      </c>
      <c r="I5405" s="12" t="inlineStr">
        <is>
          <t>LV 600 V</t>
        </is>
      </c>
      <c r="J5405" s="12" t="inlineStr">
        <is>
          <t>Type TC-ER 600 V 3/C Cu XHHW-2 + ground, PVC jacket</t>
        </is>
      </c>
      <c r="K5405" s="12" t="inlineStr">
        <is>
          <t>LV|3/C+G|10</t>
        </is>
      </c>
      <c r="L5405" s="12" t="inlineStr">
        <is>
          <t>3/C+G</t>
        </is>
      </c>
      <c r="M5405" s="12" t="inlineStr">
        <is>
          <t>10</t>
        </is>
      </c>
      <c r="N5405" s="12" t="n">
        <v>1</v>
      </c>
      <c r="O5405" s="12" t="n">
        <v>1</v>
      </c>
      <c r="P5405" s="12" t="n">
        <v>480</v>
      </c>
      <c r="Q5405" s="12" t="n">
        <v>15</v>
      </c>
      <c r="R5405" s="12" t="n">
        <v>19</v>
      </c>
      <c r="S5405" s="12" t="inlineStr">
        <is>
          <t>Duct bank</t>
        </is>
      </c>
      <c r="T5405" s="15" t="n">
        <v>81</v>
      </c>
      <c r="U5405" s="15" t="n">
        <v>106</v>
      </c>
      <c r="V5405" s="15">
        <f>ROUNDUP((T5405+U5405+2*'Read Me'!$B$13)*(1+'Read Me'!$B$12),-1)</f>
        <v/>
      </c>
      <c r="W5405" s="15">
        <f>V5405*N5405*O5405</f>
        <v/>
      </c>
      <c r="X5405" s="12">
        <f>IF(LEFT(I5405,2)="MV",2*N5405*IF(L5405="1/C",O5405,1),0)</f>
        <v/>
      </c>
      <c r="Y5405" s="12">
        <f>IF(OR(LEFT(K5405,4)="LVAX",LEFT(K5405,6)="MV15AX",LEFT(K5405,4)="CTAX",LEFT(K5405,2)="W|"),2*N5405*O5405,0)</f>
        <v/>
      </c>
      <c r="Z5405" s="12" t="inlineStr">
        <is>
          <t>VD 1.7 %</t>
        </is>
      </c>
      <c r="AA5405" s="12">
        <f>N5405*O5405</f>
        <v/>
      </c>
    </row>
    <row r="5406">
      <c r="A5406" s="12" t="inlineStr">
        <is>
          <t>I-P-0247</t>
        </is>
      </c>
      <c r="B5406" s="12" t="inlineStr">
        <is>
          <t>I</t>
        </is>
      </c>
      <c r="C5406" s="12" t="inlineStr">
        <is>
          <t>Modular / portable power</t>
        </is>
      </c>
      <c r="D5406" s="12" t="inlineStr">
        <is>
          <t>Motor 1 of 2, 5 kW</t>
        </is>
      </c>
      <c r="E5406" s="12" t="inlineStr"/>
      <c r="F5406" s="12" t="inlineStr">
        <is>
          <t>SC-1 PCM + 15 kV GCB</t>
        </is>
      </c>
      <c r="G5406" s="12" t="inlineStr"/>
      <c r="H5406" s="12" t="inlineStr">
        <is>
          <t>SC-1 CEMS shelter</t>
        </is>
      </c>
      <c r="I5406" s="12" t="inlineStr">
        <is>
          <t>LV 600 V</t>
        </is>
      </c>
      <c r="J5406" s="12" t="inlineStr">
        <is>
          <t>Type TC-ER 600 V 3/C Cu XHHW-2 + ground, PVC jacket</t>
        </is>
      </c>
      <c r="K5406" s="12" t="inlineStr">
        <is>
          <t>LV|3/C+G|10</t>
        </is>
      </c>
      <c r="L5406" s="12" t="inlineStr">
        <is>
          <t>3/C+G</t>
        </is>
      </c>
      <c r="M5406" s="12" t="inlineStr">
        <is>
          <t>10</t>
        </is>
      </c>
      <c r="N5406" s="12" t="n">
        <v>1</v>
      </c>
      <c r="O5406" s="12" t="n">
        <v>1</v>
      </c>
      <c r="P5406" s="12" t="n">
        <v>480</v>
      </c>
      <c r="Q5406" s="12" t="n">
        <v>5</v>
      </c>
      <c r="R5406" s="12" t="n">
        <v>7.1</v>
      </c>
      <c r="S5406" s="12" t="inlineStr">
        <is>
          <t>Duct bank</t>
        </is>
      </c>
      <c r="T5406" s="15" t="n">
        <v>81</v>
      </c>
      <c r="U5406" s="15" t="n">
        <v>106</v>
      </c>
      <c r="V5406" s="15">
        <f>ROUNDUP((T5406+U5406+2*'Read Me'!$B$13)*(1+'Read Me'!$B$12),-1)</f>
        <v/>
      </c>
      <c r="W5406" s="15">
        <f>V5406*N5406*O5406</f>
        <v/>
      </c>
      <c r="X5406" s="12">
        <f>IF(LEFT(I5406,2)="MV",2*N5406*IF(L5406="1/C",O5406,1),0)</f>
        <v/>
      </c>
      <c r="Y5406" s="12">
        <f>IF(OR(LEFT(K5406,4)="LVAX",LEFT(K5406,6)="MV15AX",LEFT(K5406,4)="CTAX",LEFT(K5406,2)="W|"),2*N5406*O5406,0)</f>
        <v/>
      </c>
      <c r="Z5406" s="12" t="inlineStr">
        <is>
          <t>VD 0.6 %</t>
        </is>
      </c>
      <c r="AA5406" s="12">
        <f>N5406*O5406</f>
        <v/>
      </c>
    </row>
    <row r="5407">
      <c r="A5407" s="12" t="inlineStr">
        <is>
          <t>I-P-0248</t>
        </is>
      </c>
      <c r="B5407" s="12" t="inlineStr">
        <is>
          <t>I</t>
        </is>
      </c>
      <c r="C5407" s="12" t="inlineStr">
        <is>
          <t>Modular / portable power</t>
        </is>
      </c>
      <c r="D5407" s="12" t="inlineStr">
        <is>
          <t>Motor 2 of 2, 5 kW</t>
        </is>
      </c>
      <c r="E5407" s="12" t="inlineStr"/>
      <c r="F5407" s="12" t="inlineStr">
        <is>
          <t>SC-1 PCM + 15 kV GCB</t>
        </is>
      </c>
      <c r="G5407" s="12" t="inlineStr"/>
      <c r="H5407" s="12" t="inlineStr">
        <is>
          <t>SC-1 CEMS shelter</t>
        </is>
      </c>
      <c r="I5407" s="12" t="inlineStr">
        <is>
          <t>LV 600 V</t>
        </is>
      </c>
      <c r="J5407" s="12" t="inlineStr">
        <is>
          <t>Type TC-ER 600 V 3/C Cu XHHW-2 + ground, PVC jacket</t>
        </is>
      </c>
      <c r="K5407" s="12" t="inlineStr">
        <is>
          <t>LV|3/C+G|10</t>
        </is>
      </c>
      <c r="L5407" s="12" t="inlineStr">
        <is>
          <t>3/C+G</t>
        </is>
      </c>
      <c r="M5407" s="12" t="inlineStr">
        <is>
          <t>10</t>
        </is>
      </c>
      <c r="N5407" s="12" t="n">
        <v>1</v>
      </c>
      <c r="O5407" s="12" t="n">
        <v>1</v>
      </c>
      <c r="P5407" s="12" t="n">
        <v>480</v>
      </c>
      <c r="Q5407" s="12" t="n">
        <v>5</v>
      </c>
      <c r="R5407" s="12" t="n">
        <v>7.1</v>
      </c>
      <c r="S5407" s="12" t="inlineStr">
        <is>
          <t>Duct bank</t>
        </is>
      </c>
      <c r="T5407" s="15" t="n">
        <v>81</v>
      </c>
      <c r="U5407" s="15" t="n">
        <v>106</v>
      </c>
      <c r="V5407" s="15">
        <f>ROUNDUP((T5407+U5407+2*'Read Me'!$B$13)*(1+'Read Me'!$B$12),-1)</f>
        <v/>
      </c>
      <c r="W5407" s="15">
        <f>V5407*N5407*O5407</f>
        <v/>
      </c>
      <c r="X5407" s="12">
        <f>IF(LEFT(I5407,2)="MV",2*N5407*IF(L5407="1/C",O5407,1),0)</f>
        <v/>
      </c>
      <c r="Y5407" s="12">
        <f>IF(OR(LEFT(K5407,4)="LVAX",LEFT(K5407,6)="MV15AX",LEFT(K5407,4)="CTAX",LEFT(K5407,2)="W|"),2*N5407*O5407,0)</f>
        <v/>
      </c>
      <c r="Z5407" s="12" t="inlineStr">
        <is>
          <t>VD 0.6 %</t>
        </is>
      </c>
      <c r="AA5407" s="12">
        <f>N5407*O5407</f>
        <v/>
      </c>
    </row>
    <row r="5408">
      <c r="A5408" s="12" t="inlineStr">
        <is>
          <t>I-P-0249</t>
        </is>
      </c>
      <c r="B5408" s="12" t="inlineStr">
        <is>
          <t>I</t>
        </is>
      </c>
      <c r="C5408" s="12" t="inlineStr">
        <is>
          <t>Modular / portable power</t>
        </is>
      </c>
      <c r="D5408" s="12" t="inlineStr">
        <is>
          <t>SC-1 125 V DC battery to charger / DC panel</t>
        </is>
      </c>
      <c r="E5408" s="12" t="inlineStr"/>
      <c r="F5408" s="12" t="inlineStr">
        <is>
          <t>SC-1 PCM + 15 kV GCB</t>
        </is>
      </c>
      <c r="G5408" s="12" t="inlineStr"/>
      <c r="H5408" s="12" t="inlineStr">
        <is>
          <t>SC-1 PCM + 15 kV GCB</t>
        </is>
      </c>
      <c r="I5408" s="12" t="inlineStr">
        <is>
          <t>LV 600 V</t>
        </is>
      </c>
      <c r="J5408" s="12" t="inlineStr">
        <is>
          <t>XHHW-2 600 V 1/C Cu (feeder sets in tray / duct)</t>
        </is>
      </c>
      <c r="K5408" s="12" t="inlineStr">
        <is>
          <t>LV1C|1/C|4/0</t>
        </is>
      </c>
      <c r="L5408" s="12" t="inlineStr">
        <is>
          <t>1/C</t>
        </is>
      </c>
      <c r="M5408" s="12" t="inlineStr">
        <is>
          <t>4/0</t>
        </is>
      </c>
      <c r="N5408" s="12" t="n">
        <v>1</v>
      </c>
      <c r="O5408" s="12" t="n">
        <v>2</v>
      </c>
      <c r="P5408" s="12" t="n">
        <v>125</v>
      </c>
      <c r="Q5408" s="12" t="n"/>
      <c r="R5408" s="12" t="n"/>
      <c r="S5408" s="12" t="inlineStr">
        <is>
          <t>Tray</t>
        </is>
      </c>
      <c r="T5408" s="15" t="n">
        <v>15</v>
      </c>
      <c r="U5408" s="15" t="n">
        <v>5</v>
      </c>
      <c r="V5408" s="15">
        <f>ROUNDUP((T5408+U5408+2*'Read Me'!$B$13)*(1+'Read Me'!$B$12),-1)</f>
        <v/>
      </c>
      <c r="W5408" s="15">
        <f>V5408*N5408*O5408</f>
        <v/>
      </c>
      <c r="X5408" s="12">
        <f>IF(LEFT(I5408,2)="MV",2*N5408*IF(L5408="1/C",O5408,1),0)</f>
        <v/>
      </c>
      <c r="Y5408" s="12">
        <f>IF(OR(LEFT(K5408,4)="LVAX",LEFT(K5408,6)="MV15AX",LEFT(K5408,4)="CTAX",LEFT(K5408,2)="W|"),2*N5408*O5408,0)</f>
        <v/>
      </c>
      <c r="Z5408" s="12" t="inlineStr">
        <is>
          <t>battery rack inside the PCM</t>
        </is>
      </c>
      <c r="AA5408" s="12">
        <f>N5408*O5408</f>
        <v/>
      </c>
    </row>
    <row r="5409">
      <c r="A5409" s="12" t="inlineStr">
        <is>
          <t>I-P-0250</t>
        </is>
      </c>
      <c r="B5409" s="12" t="inlineStr">
        <is>
          <t>I</t>
        </is>
      </c>
      <c r="C5409" s="12" t="inlineStr">
        <is>
          <t>Modular / portable power</t>
        </is>
      </c>
      <c r="D5409" s="12" t="inlineStr">
        <is>
          <t>SC-1 PCM lighting, receptacles and HVAC (from its own 480 V board)</t>
        </is>
      </c>
      <c r="E5409" s="12" t="inlineStr"/>
      <c r="F5409" s="12" t="inlineStr">
        <is>
          <t>SC-1 PCM + 15 kV GCB</t>
        </is>
      </c>
      <c r="G5409" s="12" t="inlineStr"/>
      <c r="H5409" s="12" t="inlineStr">
        <is>
          <t>SC-1 PCM + 15 kV GCB</t>
        </is>
      </c>
      <c r="I5409" s="12" t="inlineStr">
        <is>
          <t>LV 600 V</t>
        </is>
      </c>
      <c r="J5409" s="12" t="inlineStr">
        <is>
          <t>Type TC-ER 600 V 3/C Cu XHHW-2 + ground, PVC jacket</t>
        </is>
      </c>
      <c r="K5409" s="12" t="inlineStr">
        <is>
          <t>LV|3/C+G|2</t>
        </is>
      </c>
      <c r="L5409" s="12" t="inlineStr">
        <is>
          <t>3/C+G</t>
        </is>
      </c>
      <c r="M5409" s="12" t="inlineStr">
        <is>
          <t>2</t>
        </is>
      </c>
      <c r="N5409" s="12" t="n">
        <v>1</v>
      </c>
      <c r="O5409" s="12" t="n">
        <v>1</v>
      </c>
      <c r="P5409" s="12" t="n">
        <v>480</v>
      </c>
      <c r="Q5409" s="12" t="n">
        <v>40</v>
      </c>
      <c r="R5409" s="12" t="n"/>
      <c r="S5409" s="12" t="inlineStr">
        <is>
          <t>Tray</t>
        </is>
      </c>
      <c r="T5409" s="15" t="n">
        <v>80</v>
      </c>
      <c r="U5409" s="15" t="n">
        <v>10</v>
      </c>
      <c r="V5409" s="15">
        <f>ROUNDUP((T5409+U5409+2*'Read Me'!$B$13)*(1+'Read Me'!$B$12),-1)</f>
        <v/>
      </c>
      <c r="W5409" s="15">
        <f>V5409*N5409*O5409</f>
        <v/>
      </c>
      <c r="X5409" s="12">
        <f>IF(LEFT(I5409,2)="MV",2*N5409*IF(L5409="1/C",O5409,1),0)</f>
        <v/>
      </c>
      <c r="Y5409" s="12">
        <f>IF(OR(LEFT(K5409,4)="LVAX",LEFT(K5409,6)="MV15AX",LEFT(K5409,4)="CTAX",LEFT(K5409,2)="W|"),2*N5409*O5409,0)</f>
        <v/>
      </c>
      <c r="Z5409" s="12" t="inlineStr">
        <is>
          <t>internal to the PCM; aux transformer 13.8 kV / 480 V inside</t>
        </is>
      </c>
      <c r="AA5409" s="12">
        <f>N5409*O5409</f>
        <v/>
      </c>
    </row>
    <row r="5410">
      <c r="A5410" s="12" t="inlineStr">
        <is>
          <t>I-P-0251</t>
        </is>
      </c>
      <c r="B5410" s="12" t="inlineStr">
        <is>
          <t>I</t>
        </is>
      </c>
      <c r="C5410" s="12" t="inlineStr">
        <is>
          <t>Modular / portable power</t>
        </is>
      </c>
      <c r="D5410" s="12" t="inlineStr">
        <is>
          <t>Area / platform lighting circuit 1 (10 fixtures)</t>
        </is>
      </c>
      <c r="E5410" s="12" t="inlineStr"/>
      <c r="F5410" s="12" t="inlineStr">
        <is>
          <t>SC-1 PCM + 15 kV GCB</t>
        </is>
      </c>
      <c r="G5410" s="12" t="inlineStr"/>
      <c r="H5410" s="12" t="inlineStr">
        <is>
          <t>SC-1 SCR / CO catalyst</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3</v>
      </c>
      <c r="R5410" s="12" t="n">
        <v>5</v>
      </c>
      <c r="S5410" s="12" t="inlineStr">
        <is>
          <t>Duct bank</t>
        </is>
      </c>
      <c r="T5410" s="15" t="n">
        <v>355</v>
      </c>
      <c r="U5410" s="15" t="n">
        <v>57</v>
      </c>
      <c r="V5410" s="15">
        <f>ROUNDUP((T5410+U5410+2*'Read Me'!$B$13)*(1+'Read Me'!$B$12),-1)</f>
        <v/>
      </c>
      <c r="W5410" s="15">
        <f>V5410*N5410*O5410</f>
        <v/>
      </c>
      <c r="X5410" s="12">
        <f>IF(LEFT(I5410,2)="MV",2*N5410*IF(L5410="1/C",O5410,1),0)</f>
        <v/>
      </c>
      <c r="Y5410" s="12">
        <f>IF(OR(LEFT(K5410,4)="LVAX",LEFT(K5410,6)="MV15AX",LEFT(K5410,4)="CTAX",LEFT(K5410,2)="W|"),2*N5410*O5410,0)</f>
        <v/>
      </c>
      <c r="Z5410" s="12" t="inlineStr">
        <is>
          <t>fixture-to-fixture run included</t>
        </is>
      </c>
      <c r="AA5410" s="12">
        <f>N5410*O5410</f>
        <v/>
      </c>
    </row>
    <row r="5411">
      <c r="A5411" s="12" t="inlineStr">
        <is>
          <t>I-P-0252</t>
        </is>
      </c>
      <c r="B5411" s="12" t="inlineStr">
        <is>
          <t>I</t>
        </is>
      </c>
      <c r="C5411" s="12" t="inlineStr">
        <is>
          <t>Modular / portable power</t>
        </is>
      </c>
      <c r="D5411" s="12" t="inlineStr">
        <is>
          <t>SC-1 ammonia vaporiser electric heater</t>
        </is>
      </c>
      <c r="E5411" s="12" t="inlineStr"/>
      <c r="F5411" s="12" t="inlineStr">
        <is>
          <t>SC-1 PCM + 15 kV GCB</t>
        </is>
      </c>
      <c r="G5411" s="12" t="inlineStr"/>
      <c r="H5411" s="12" t="inlineStr">
        <is>
          <t>SC-1 ammonia flow-control unit</t>
        </is>
      </c>
      <c r="I5411" s="12" t="inlineStr">
        <is>
          <t>LV 600 V</t>
        </is>
      </c>
      <c r="J5411" s="12" t="inlineStr">
        <is>
          <t>Type TC-ER 600 V 3/C Cu XHHW-2 + ground, PVC jacket</t>
        </is>
      </c>
      <c r="K5411" s="12" t="inlineStr">
        <is>
          <t>LV|3/C+G|4</t>
        </is>
      </c>
      <c r="L5411" s="12" t="inlineStr">
        <is>
          <t>3/C+G</t>
        </is>
      </c>
      <c r="M5411" s="12" t="inlineStr">
        <is>
          <t>4</t>
        </is>
      </c>
      <c r="N5411" s="12" t="n">
        <v>1</v>
      </c>
      <c r="O5411" s="12" t="n">
        <v>1</v>
      </c>
      <c r="P5411" s="12" t="n">
        <v>480</v>
      </c>
      <c r="Q5411" s="12" t="n">
        <v>45</v>
      </c>
      <c r="R5411" s="12" t="n">
        <v>57</v>
      </c>
      <c r="S5411" s="12" t="inlineStr">
        <is>
          <t>Duct bank</t>
        </is>
      </c>
      <c r="T5411" s="15" t="n">
        <v>55</v>
      </c>
      <c r="U5411" s="15" t="n">
        <v>55</v>
      </c>
      <c r="V5411" s="15">
        <f>ROUNDUP((T5411+U5411+2*'Read Me'!$B$13)*(1+'Read Me'!$B$12),-1)</f>
        <v/>
      </c>
      <c r="W5411" s="15">
        <f>V5411*N5411*O5411</f>
        <v/>
      </c>
      <c r="X5411" s="12">
        <f>IF(LEFT(I5411,2)="MV",2*N5411*IF(L5411="1/C",O5411,1),0)</f>
        <v/>
      </c>
      <c r="Y5411" s="12">
        <f>IF(OR(LEFT(K5411,4)="LVAX",LEFT(K5411,6)="MV15AX",LEFT(K5411,4)="CTAX",LEFT(K5411,2)="W|"),2*N5411*O5411,0)</f>
        <v/>
      </c>
      <c r="Z5411" s="12" t="inlineStr">
        <is>
          <t>VD 0.8 %</t>
        </is>
      </c>
      <c r="AA5411" s="12">
        <f>N5411*O5411</f>
        <v/>
      </c>
    </row>
    <row r="5412">
      <c r="A5412" s="12" t="inlineStr">
        <is>
          <t>I-P-0253</t>
        </is>
      </c>
      <c r="B5412" s="12" t="inlineStr">
        <is>
          <t>I</t>
        </is>
      </c>
      <c r="C5412" s="12" t="inlineStr">
        <is>
          <t>Modular / portable power</t>
        </is>
      </c>
      <c r="D5412" s="12" t="inlineStr">
        <is>
          <t>Motor 1 of 2, 7.5 kW</t>
        </is>
      </c>
      <c r="E5412" s="12" t="inlineStr"/>
      <c r="F5412" s="12" t="inlineStr">
        <is>
          <t>SC-1 PCM + 15 kV GCB</t>
        </is>
      </c>
      <c r="G5412" s="12" t="inlineStr"/>
      <c r="H5412" s="12" t="inlineStr">
        <is>
          <t>SC-1 ammonia flow-control unit</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7.5</v>
      </c>
      <c r="R5412" s="12" t="n">
        <v>10.6</v>
      </c>
      <c r="S5412" s="12" t="inlineStr">
        <is>
          <t>Duct bank</t>
        </is>
      </c>
      <c r="T5412" s="15" t="n">
        <v>55</v>
      </c>
      <c r="U5412" s="15" t="n">
        <v>55</v>
      </c>
      <c r="V5412" s="15">
        <f>ROUNDUP((T5412+U5412+2*'Read Me'!$B$13)*(1+'Read Me'!$B$12),-1)</f>
        <v/>
      </c>
      <c r="W5412" s="15">
        <f>V5412*N5412*O5412</f>
        <v/>
      </c>
      <c r="X5412" s="12">
        <f>IF(LEFT(I5412,2)="MV",2*N5412*IF(L5412="1/C",O5412,1),0)</f>
        <v/>
      </c>
      <c r="Y5412" s="12">
        <f>IF(OR(LEFT(K5412,4)="LVAX",LEFT(K5412,6)="MV15AX",LEFT(K5412,4)="CTAX",LEFT(K5412,2)="W|"),2*N5412*O5412,0)</f>
        <v/>
      </c>
      <c r="Z5412" s="12" t="inlineStr">
        <is>
          <t>VD 0.6 %</t>
        </is>
      </c>
      <c r="AA5412" s="12">
        <f>N5412*O5412</f>
        <v/>
      </c>
    </row>
    <row r="5413">
      <c r="A5413" s="12" t="inlineStr">
        <is>
          <t>I-P-0254</t>
        </is>
      </c>
      <c r="B5413" s="12" t="inlineStr">
        <is>
          <t>I</t>
        </is>
      </c>
      <c r="C5413" s="12" t="inlineStr">
        <is>
          <t>Modular / portable power</t>
        </is>
      </c>
      <c r="D5413" s="12" t="inlineStr">
        <is>
          <t>Motor 2 of 2, 7.5 kW</t>
        </is>
      </c>
      <c r="E5413" s="12" t="inlineStr"/>
      <c r="F5413" s="12" t="inlineStr">
        <is>
          <t>SC-1 PCM + 15 kV GCB</t>
        </is>
      </c>
      <c r="G5413" s="12" t="inlineStr"/>
      <c r="H5413" s="12" t="inlineStr">
        <is>
          <t>SC-1 ammonia flow-control unit</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7.5</v>
      </c>
      <c r="R5413" s="12" t="n">
        <v>10.6</v>
      </c>
      <c r="S5413" s="12" t="inlineStr">
        <is>
          <t>Duct bank</t>
        </is>
      </c>
      <c r="T5413" s="15" t="n">
        <v>55</v>
      </c>
      <c r="U5413" s="15" t="n">
        <v>55</v>
      </c>
      <c r="V5413" s="15">
        <f>ROUNDUP((T5413+U5413+2*'Read Me'!$B$13)*(1+'Read Me'!$B$12),-1)</f>
        <v/>
      </c>
      <c r="W5413" s="15">
        <f>V5413*N5413*O5413</f>
        <v/>
      </c>
      <c r="X5413" s="12">
        <f>IF(LEFT(I5413,2)="MV",2*N5413*IF(L5413="1/C",O5413,1),0)</f>
        <v/>
      </c>
      <c r="Y5413" s="12">
        <f>IF(OR(LEFT(K5413,4)="LVAX",LEFT(K5413,6)="MV15AX",LEFT(K5413,4)="CTAX",LEFT(K5413,2)="W|"),2*N5413*O5413,0)</f>
        <v/>
      </c>
      <c r="Z5413" s="12" t="inlineStr">
        <is>
          <t>VD 0.6 %</t>
        </is>
      </c>
      <c r="AA5413" s="12">
        <f>N5413*O5413</f>
        <v/>
      </c>
    </row>
    <row r="5414">
      <c r="A5414" s="12" t="inlineStr">
        <is>
          <t>I-P-0255</t>
        </is>
      </c>
      <c r="B5414" s="12" t="inlineStr">
        <is>
          <t>I</t>
        </is>
      </c>
      <c r="C5414" s="12" t="inlineStr">
        <is>
          <t>Modular / portable power</t>
        </is>
      </c>
      <c r="D5414" s="12" t="inlineStr">
        <is>
          <t>SC-1 water-wash tank heater</t>
        </is>
      </c>
      <c r="E5414" s="12" t="inlineStr"/>
      <c r="F5414" s="12" t="inlineStr">
        <is>
          <t>SC-1 PCM + 15 kV GCB</t>
        </is>
      </c>
      <c r="G5414" s="12" t="inlineStr"/>
      <c r="H5414" s="12" t="inlineStr">
        <is>
          <t>SC-1 auxiliary skids: fuel-gas module, water-wash skid</t>
        </is>
      </c>
      <c r="I5414" s="12" t="inlineStr">
        <is>
          <t>LV 600 V</t>
        </is>
      </c>
      <c r="J5414" s="12" t="inlineStr">
        <is>
          <t>ARMOR-X MC-HL 600 V 3/C Cu XHHW-2 + ground, CWA, black PVC (Class I Div 2)</t>
        </is>
      </c>
      <c r="K5414" s="12" t="inlineStr">
        <is>
          <t>LVAX|3/C+G|10</t>
        </is>
      </c>
      <c r="L5414" s="12" t="inlineStr">
        <is>
          <t>3/C+G</t>
        </is>
      </c>
      <c r="M5414" s="12" t="inlineStr">
        <is>
          <t>10</t>
        </is>
      </c>
      <c r="N5414" s="12" t="n">
        <v>1</v>
      </c>
      <c r="O5414" s="12" t="n">
        <v>1</v>
      </c>
      <c r="P5414" s="12" t="n">
        <v>480</v>
      </c>
      <c r="Q5414" s="12" t="n">
        <v>6</v>
      </c>
      <c r="R5414" s="12" t="n">
        <v>7.6</v>
      </c>
      <c r="S5414" s="12" t="inlineStr">
        <is>
          <t>Tray</t>
        </is>
      </c>
      <c r="T5414" s="15" t="n">
        <v>5</v>
      </c>
      <c r="U5414" s="15" t="n">
        <v>49</v>
      </c>
      <c r="V5414" s="15">
        <f>ROUNDUP((T5414+U5414+2*'Read Me'!$B$13)*(1+'Read Me'!$B$12),-1)</f>
        <v/>
      </c>
      <c r="W5414" s="15">
        <f>V5414*N5414*O5414</f>
        <v/>
      </c>
      <c r="X5414" s="12">
        <f>IF(LEFT(I5414,2)="MV",2*N5414*IF(L5414="1/C",O5414,1),0)</f>
        <v/>
      </c>
      <c r="Y5414" s="12">
        <f>IF(OR(LEFT(K5414,4)="LVAX",LEFT(K5414,6)="MV15AX",LEFT(K5414,4)="CTAX",LEFT(K5414,2)="W|"),2*N5414*O5414,0)</f>
        <v/>
      </c>
      <c r="Z5414" s="12" t="inlineStr">
        <is>
          <t>VD 0.2 %</t>
        </is>
      </c>
      <c r="AA5414" s="12">
        <f>N5414*O5414</f>
        <v/>
      </c>
    </row>
    <row r="5415">
      <c r="A5415" s="12" t="inlineStr">
        <is>
          <t>I-P-0256</t>
        </is>
      </c>
      <c r="B5415" s="12" t="inlineStr">
        <is>
          <t>I</t>
        </is>
      </c>
      <c r="C5415" s="12" t="inlineStr">
        <is>
          <t>Modular / portable power</t>
        </is>
      </c>
      <c r="D5415" s="12" t="inlineStr">
        <is>
          <t>Motor 1 of 1, 7.5 kW</t>
        </is>
      </c>
      <c r="E5415" s="12" t="inlineStr"/>
      <c r="F5415" s="12" t="inlineStr">
        <is>
          <t>SC-1 PCM + 15 kV GCB</t>
        </is>
      </c>
      <c r="G5415" s="12" t="inlineStr"/>
      <c r="H5415" s="12" t="inlineStr">
        <is>
          <t>SC-1 auxiliary skids: fuel-gas module, water-wash skid</t>
        </is>
      </c>
      <c r="I5415" s="12" t="inlineStr">
        <is>
          <t>LV 600 V</t>
        </is>
      </c>
      <c r="J5415" s="12" t="inlineStr">
        <is>
          <t>ARMOR-X MC-HL 600 V 3/C Cu XHHW-2 + ground, CWA, black PVC (Class I Div 2)</t>
        </is>
      </c>
      <c r="K5415" s="12" t="inlineStr">
        <is>
          <t>LVAX|3/C+G|10</t>
        </is>
      </c>
      <c r="L5415" s="12" t="inlineStr">
        <is>
          <t>3/C+G</t>
        </is>
      </c>
      <c r="M5415" s="12" t="inlineStr">
        <is>
          <t>10</t>
        </is>
      </c>
      <c r="N5415" s="12" t="n">
        <v>1</v>
      </c>
      <c r="O5415" s="12" t="n">
        <v>1</v>
      </c>
      <c r="P5415" s="12" t="n">
        <v>480</v>
      </c>
      <c r="Q5415" s="12" t="n">
        <v>7.5</v>
      </c>
      <c r="R5415" s="12" t="n">
        <v>10.6</v>
      </c>
      <c r="S5415" s="12" t="inlineStr">
        <is>
          <t>Tray</t>
        </is>
      </c>
      <c r="T5415" s="15" t="n">
        <v>5</v>
      </c>
      <c r="U5415" s="15" t="n">
        <v>49</v>
      </c>
      <c r="V5415" s="15">
        <f>ROUNDUP((T5415+U5415+2*'Read Me'!$B$13)*(1+'Read Me'!$B$12),-1)</f>
        <v/>
      </c>
      <c r="W5415" s="15">
        <f>V5415*N5415*O5415</f>
        <v/>
      </c>
      <c r="X5415" s="12">
        <f>IF(LEFT(I5415,2)="MV",2*N5415*IF(L5415="1/C",O5415,1),0)</f>
        <v/>
      </c>
      <c r="Y5415" s="12">
        <f>IF(OR(LEFT(K5415,4)="LVAX",LEFT(K5415,6)="MV15AX",LEFT(K5415,4)="CTAX",LEFT(K5415,2)="W|"),2*N5415*O5415,0)</f>
        <v/>
      </c>
      <c r="Z5415" s="12" t="inlineStr">
        <is>
          <t>VD 0.3 %</t>
        </is>
      </c>
      <c r="AA5415" s="12">
        <f>N5415*O5415</f>
        <v/>
      </c>
    </row>
    <row r="5416">
      <c r="A5416" s="12" t="inlineStr">
        <is>
          <t>I-P-0257</t>
        </is>
      </c>
      <c r="B5416" s="12" t="inlineStr">
        <is>
          <t>I</t>
        </is>
      </c>
      <c r="C5416" s="12" t="inlineStr">
        <is>
          <t>Modular / portable power</t>
        </is>
      </c>
      <c r="D5416" s="12" t="inlineStr">
        <is>
          <t>Motor 1 of 4, 15 kW</t>
        </is>
      </c>
      <c r="E5416" s="12" t="inlineStr"/>
      <c r="F5416" s="12" t="inlineStr">
        <is>
          <t>SC-1 PCM + 15 kV GCB</t>
        </is>
      </c>
      <c r="G5416" s="12" t="inlineStr"/>
      <c r="H5416" s="12" t="inlineStr">
        <is>
          <t>SC-1 lube-oil fin-fan cooler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15</v>
      </c>
      <c r="R5416" s="12" t="n">
        <v>21.2</v>
      </c>
      <c r="S5416" s="12" t="inlineStr">
        <is>
          <t>Riser</t>
        </is>
      </c>
      <c r="T5416" s="15" t="n">
        <v>9</v>
      </c>
      <c r="U5416" s="15" t="n">
        <v>33</v>
      </c>
      <c r="V5416" s="15">
        <f>ROUNDUP((T5416+U5416+2*'Read Me'!$B$13)*(1+'Read Me'!$B$12),-1)</f>
        <v/>
      </c>
      <c r="W5416" s="15">
        <f>V5416*N5416*O5416</f>
        <v/>
      </c>
      <c r="X5416" s="12">
        <f>IF(LEFT(I5416,2)="MV",2*N5416*IF(L5416="1/C",O5416,1),0)</f>
        <v/>
      </c>
      <c r="Y5416" s="12">
        <f>IF(OR(LEFT(K5416,4)="LVAX",LEFT(K5416,6)="MV15AX",LEFT(K5416,4)="CTAX",LEFT(K5416,2)="W|"),2*N5416*O5416,0)</f>
        <v/>
      </c>
      <c r="Z5416" s="12" t="inlineStr">
        <is>
          <t>VD 0.4 %</t>
        </is>
      </c>
      <c r="AA5416" s="12">
        <f>N5416*O5416</f>
        <v/>
      </c>
    </row>
    <row r="5417">
      <c r="A5417" s="12" t="inlineStr">
        <is>
          <t>I-P-0258</t>
        </is>
      </c>
      <c r="B5417" s="12" t="inlineStr">
        <is>
          <t>I</t>
        </is>
      </c>
      <c r="C5417" s="12" t="inlineStr">
        <is>
          <t>Modular / portable power</t>
        </is>
      </c>
      <c r="D5417" s="12" t="inlineStr">
        <is>
          <t>Motor 2 of 4, 15 kW</t>
        </is>
      </c>
      <c r="E5417" s="12" t="inlineStr"/>
      <c r="F5417" s="12" t="inlineStr">
        <is>
          <t>SC-1 PCM + 15 kV GCB</t>
        </is>
      </c>
      <c r="G5417" s="12" t="inlineStr"/>
      <c r="H5417" s="12" t="inlineStr">
        <is>
          <t>SC-1 lube-oil fin-fan cooler</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15</v>
      </c>
      <c r="R5417" s="12" t="n">
        <v>21.2</v>
      </c>
      <c r="S5417" s="12" t="inlineStr">
        <is>
          <t>Riser</t>
        </is>
      </c>
      <c r="T5417" s="15" t="n">
        <v>9</v>
      </c>
      <c r="U5417" s="15" t="n">
        <v>33</v>
      </c>
      <c r="V5417" s="15">
        <f>ROUNDUP((T5417+U5417+2*'Read Me'!$B$13)*(1+'Read Me'!$B$12),-1)</f>
        <v/>
      </c>
      <c r="W5417" s="15">
        <f>V5417*N5417*O5417</f>
        <v/>
      </c>
      <c r="X5417" s="12">
        <f>IF(LEFT(I5417,2)="MV",2*N5417*IF(L5417="1/C",O5417,1),0)</f>
        <v/>
      </c>
      <c r="Y5417" s="12">
        <f>IF(OR(LEFT(K5417,4)="LVAX",LEFT(K5417,6)="MV15AX",LEFT(K5417,4)="CTAX",LEFT(K5417,2)="W|"),2*N5417*O5417,0)</f>
        <v/>
      </c>
      <c r="Z5417" s="12" t="inlineStr">
        <is>
          <t>VD 0.4 %</t>
        </is>
      </c>
      <c r="AA5417" s="12">
        <f>N5417*O5417</f>
        <v/>
      </c>
    </row>
    <row r="5418">
      <c r="A5418" s="12" t="inlineStr">
        <is>
          <t>I-P-0259</t>
        </is>
      </c>
      <c r="B5418" s="12" t="inlineStr">
        <is>
          <t>I</t>
        </is>
      </c>
      <c r="C5418" s="12" t="inlineStr">
        <is>
          <t>Modular / portable power</t>
        </is>
      </c>
      <c r="D5418" s="12" t="inlineStr">
        <is>
          <t>Motor 3 of 4, 15 kW</t>
        </is>
      </c>
      <c r="E5418" s="12" t="inlineStr"/>
      <c r="F5418" s="12" t="inlineStr">
        <is>
          <t>SC-1 PCM + 15 kV GCB</t>
        </is>
      </c>
      <c r="G5418" s="12" t="inlineStr"/>
      <c r="H5418" s="12" t="inlineStr">
        <is>
          <t>SC-1 lube-oil fin-fan cooler</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15</v>
      </c>
      <c r="R5418" s="12" t="n">
        <v>21.2</v>
      </c>
      <c r="S5418" s="12" t="inlineStr">
        <is>
          <t>Riser</t>
        </is>
      </c>
      <c r="T5418" s="15" t="n">
        <v>9</v>
      </c>
      <c r="U5418" s="15" t="n">
        <v>33</v>
      </c>
      <c r="V5418" s="15">
        <f>ROUNDUP((T5418+U5418+2*'Read Me'!$B$13)*(1+'Read Me'!$B$12),-1)</f>
        <v/>
      </c>
      <c r="W5418" s="15">
        <f>V5418*N5418*O5418</f>
        <v/>
      </c>
      <c r="X5418" s="12">
        <f>IF(LEFT(I5418,2)="MV",2*N5418*IF(L5418="1/C",O5418,1),0)</f>
        <v/>
      </c>
      <c r="Y5418" s="12">
        <f>IF(OR(LEFT(K5418,4)="LVAX",LEFT(K5418,6)="MV15AX",LEFT(K5418,4)="CTAX",LEFT(K5418,2)="W|"),2*N5418*O5418,0)</f>
        <v/>
      </c>
      <c r="Z5418" s="12" t="inlineStr">
        <is>
          <t>VD 0.4 %</t>
        </is>
      </c>
      <c r="AA5418" s="12">
        <f>N5418*O5418</f>
        <v/>
      </c>
    </row>
    <row r="5419">
      <c r="A5419" s="12" t="inlineStr">
        <is>
          <t>I-P-0260</t>
        </is>
      </c>
      <c r="B5419" s="12" t="inlineStr">
        <is>
          <t>I</t>
        </is>
      </c>
      <c r="C5419" s="12" t="inlineStr">
        <is>
          <t>Modular / portable power</t>
        </is>
      </c>
      <c r="D5419" s="12" t="inlineStr">
        <is>
          <t>Motor 4 of 4, 15 kW</t>
        </is>
      </c>
      <c r="E5419" s="12" t="inlineStr"/>
      <c r="F5419" s="12" t="inlineStr">
        <is>
          <t>SC-1 PCM + 15 kV GCB</t>
        </is>
      </c>
      <c r="G5419" s="12" t="inlineStr"/>
      <c r="H5419" s="12" t="inlineStr">
        <is>
          <t>SC-1 lube-oil fin-fan cooler</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15</v>
      </c>
      <c r="R5419" s="12" t="n">
        <v>21.2</v>
      </c>
      <c r="S5419" s="12" t="inlineStr">
        <is>
          <t>Riser</t>
        </is>
      </c>
      <c r="T5419" s="15" t="n">
        <v>9</v>
      </c>
      <c r="U5419" s="15" t="n">
        <v>33</v>
      </c>
      <c r="V5419" s="15">
        <f>ROUNDUP((T5419+U5419+2*'Read Me'!$B$13)*(1+'Read Me'!$B$12),-1)</f>
        <v/>
      </c>
      <c r="W5419" s="15">
        <f>V5419*N5419*O5419</f>
        <v/>
      </c>
      <c r="X5419" s="12">
        <f>IF(LEFT(I5419,2)="MV",2*N5419*IF(L5419="1/C",O5419,1),0)</f>
        <v/>
      </c>
      <c r="Y5419" s="12">
        <f>IF(OR(LEFT(K5419,4)="LVAX",LEFT(K5419,6)="MV15AX",LEFT(K5419,4)="CTAX",LEFT(K5419,2)="W|"),2*N5419*O5419,0)</f>
        <v/>
      </c>
      <c r="Z5419" s="12" t="inlineStr">
        <is>
          <t>VD 0.4 %</t>
        </is>
      </c>
      <c r="AA5419" s="12">
        <f>N5419*O5419</f>
        <v/>
      </c>
    </row>
    <row r="5420">
      <c r="A5420" s="12" t="inlineStr">
        <is>
          <t>I-P-0261</t>
        </is>
      </c>
      <c r="B5420" s="12" t="inlineStr">
        <is>
          <t>I</t>
        </is>
      </c>
      <c r="C5420" s="12" t="inlineStr">
        <is>
          <t>Modular / portable power</t>
        </is>
      </c>
      <c r="D5420" s="12" t="inlineStr">
        <is>
          <t>Area / platform lighting circuit 1 (4 fixtures)</t>
        </is>
      </c>
      <c r="E5420" s="12" t="inlineStr"/>
      <c r="F5420" s="12" t="inlineStr">
        <is>
          <t>SC-1 PCM + 15 kV GCB</t>
        </is>
      </c>
      <c r="G5420" s="12" t="inlineStr"/>
      <c r="H5420" s="12" t="inlineStr">
        <is>
          <t>SC-1 stack (80 ft)</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3</v>
      </c>
      <c r="R5420" s="12" t="n">
        <v>5</v>
      </c>
      <c r="S5420" s="12" t="inlineStr">
        <is>
          <t>Duct bank</t>
        </is>
      </c>
      <c r="T5420" s="15" t="n">
        <v>381</v>
      </c>
      <c r="U5420" s="15" t="n">
        <v>86</v>
      </c>
      <c r="V5420" s="15">
        <f>ROUNDUP((T5420+U5420+2*'Read Me'!$B$13)*(1+'Read Me'!$B$12),-1)</f>
        <v/>
      </c>
      <c r="W5420" s="15">
        <f>V5420*N5420*O5420</f>
        <v/>
      </c>
      <c r="X5420" s="12">
        <f>IF(LEFT(I5420,2)="MV",2*N5420*IF(L5420="1/C",O5420,1),0)</f>
        <v/>
      </c>
      <c r="Y5420" s="12">
        <f>IF(OR(LEFT(K5420,4)="LVAX",LEFT(K5420,6)="MV15AX",LEFT(K5420,4)="CTAX",LEFT(K5420,2)="W|"),2*N5420*O5420,0)</f>
        <v/>
      </c>
      <c r="Z5420" s="12" t="inlineStr">
        <is>
          <t>fixture-to-fixture run included</t>
        </is>
      </c>
      <c r="AA5420" s="12">
        <f>N5420*O5420</f>
        <v/>
      </c>
    </row>
    <row r="5421">
      <c r="A5421" s="12" t="inlineStr">
        <is>
          <t>I-P-0262</t>
        </is>
      </c>
      <c r="B5421" s="12" t="inlineStr">
        <is>
          <t>I</t>
        </is>
      </c>
      <c r="C5421" s="12" t="inlineStr">
        <is>
          <t>Modular / portable power</t>
        </is>
      </c>
      <c r="D5421" s="12" t="inlineStr">
        <is>
          <t>Motor 1 of 2, 185 kW</t>
        </is>
      </c>
      <c r="E5421" s="12" t="inlineStr"/>
      <c r="F5421" s="12" t="inlineStr">
        <is>
          <t>SC-1 PCM + 15 kV GCB</t>
        </is>
      </c>
      <c r="G5421" s="12" t="inlineStr"/>
      <c r="H5421" s="12" t="inlineStr">
        <is>
          <t>SC-1 tempering-air fans (2 x 100 %)</t>
        </is>
      </c>
      <c r="I5421" s="12" t="inlineStr">
        <is>
          <t>LV 600 V</t>
        </is>
      </c>
      <c r="J5421" s="12" t="inlineStr">
        <is>
          <t>Type TC-ER 600 V 3/C Cu XHHW-2 + ground, PVC jacket</t>
        </is>
      </c>
      <c r="K5421" s="12" t="inlineStr">
        <is>
          <t>LV|3/C+G|500</t>
        </is>
      </c>
      <c r="L5421" s="12" t="inlineStr">
        <is>
          <t>3/C+G</t>
        </is>
      </c>
      <c r="M5421" s="12" t="inlineStr">
        <is>
          <t>500 kcmil</t>
        </is>
      </c>
      <c r="N5421" s="12" t="n">
        <v>1</v>
      </c>
      <c r="O5421" s="12" t="n">
        <v>1</v>
      </c>
      <c r="P5421" s="12" t="n">
        <v>480</v>
      </c>
      <c r="Q5421" s="12" t="n">
        <v>185</v>
      </c>
      <c r="R5421" s="12" t="n">
        <v>261.8</v>
      </c>
      <c r="S5421" s="12" t="inlineStr">
        <is>
          <t>Duct bank</t>
        </is>
      </c>
      <c r="T5421" s="15" t="n">
        <v>15</v>
      </c>
      <c r="U5421" s="15" t="n">
        <v>99</v>
      </c>
      <c r="V5421" s="15">
        <f>ROUNDUP((T5421+U5421+2*'Read Me'!$B$13)*(1+'Read Me'!$B$12),-1)</f>
        <v/>
      </c>
      <c r="W5421" s="15">
        <f>V5421*N5421*O5421</f>
        <v/>
      </c>
      <c r="X5421" s="12">
        <f>IF(LEFT(I5421,2)="MV",2*N5421*IF(L5421="1/C",O5421,1),0)</f>
        <v/>
      </c>
      <c r="Y5421" s="12">
        <f>IF(OR(LEFT(K5421,4)="LVAX",LEFT(K5421,6)="MV15AX",LEFT(K5421,4)="CTAX",LEFT(K5421,2)="W|"),2*N5421*O5421,0)</f>
        <v/>
      </c>
      <c r="Z5421" s="12" t="inlineStr">
        <is>
          <t>VD 0.3 %</t>
        </is>
      </c>
      <c r="AA5421" s="12">
        <f>N5421*O5421</f>
        <v/>
      </c>
    </row>
    <row r="5422">
      <c r="A5422" s="12" t="inlineStr">
        <is>
          <t>I-P-0263</t>
        </is>
      </c>
      <c r="B5422" s="12" t="inlineStr">
        <is>
          <t>I</t>
        </is>
      </c>
      <c r="C5422" s="12" t="inlineStr">
        <is>
          <t>Modular / portable power</t>
        </is>
      </c>
      <c r="D5422" s="12" t="inlineStr">
        <is>
          <t>Motor 2 of 2, 185 kW</t>
        </is>
      </c>
      <c r="E5422" s="12" t="inlineStr"/>
      <c r="F5422" s="12" t="inlineStr">
        <is>
          <t>SC-1 PCM + 15 kV GCB</t>
        </is>
      </c>
      <c r="G5422" s="12" t="inlineStr"/>
      <c r="H5422" s="12" t="inlineStr">
        <is>
          <t>SC-1 tempering-air fans (2 x 100 %)</t>
        </is>
      </c>
      <c r="I5422" s="12" t="inlineStr">
        <is>
          <t>LV 600 V</t>
        </is>
      </c>
      <c r="J5422" s="12" t="inlineStr">
        <is>
          <t>Type TC-ER 600 V 3/C Cu XHHW-2 + ground, PVC jacket</t>
        </is>
      </c>
      <c r="K5422" s="12" t="inlineStr">
        <is>
          <t>LV|3/C+G|500</t>
        </is>
      </c>
      <c r="L5422" s="12" t="inlineStr">
        <is>
          <t>3/C+G</t>
        </is>
      </c>
      <c r="M5422" s="12" t="inlineStr">
        <is>
          <t>500 kcmil</t>
        </is>
      </c>
      <c r="N5422" s="12" t="n">
        <v>1</v>
      </c>
      <c r="O5422" s="12" t="n">
        <v>1</v>
      </c>
      <c r="P5422" s="12" t="n">
        <v>480</v>
      </c>
      <c r="Q5422" s="12" t="n">
        <v>185</v>
      </c>
      <c r="R5422" s="12" t="n">
        <v>261.8</v>
      </c>
      <c r="S5422" s="12" t="inlineStr">
        <is>
          <t>Duct bank</t>
        </is>
      </c>
      <c r="T5422" s="15" t="n">
        <v>15</v>
      </c>
      <c r="U5422" s="15" t="n">
        <v>99</v>
      </c>
      <c r="V5422" s="15">
        <f>ROUNDUP((T5422+U5422+2*'Read Me'!$B$13)*(1+'Read Me'!$B$12),-1)</f>
        <v/>
      </c>
      <c r="W5422" s="15">
        <f>V5422*N5422*O5422</f>
        <v/>
      </c>
      <c r="X5422" s="12">
        <f>IF(LEFT(I5422,2)="MV",2*N5422*IF(L5422="1/C",O5422,1),0)</f>
        <v/>
      </c>
      <c r="Y5422" s="12">
        <f>IF(OR(LEFT(K5422,4)="LVAX",LEFT(K5422,6)="MV15AX",LEFT(K5422,4)="CTAX",LEFT(K5422,2)="W|"),2*N5422*O5422,0)</f>
        <v/>
      </c>
      <c r="Z5422" s="12" t="inlineStr">
        <is>
          <t>VD 0.3 %</t>
        </is>
      </c>
      <c r="AA5422" s="12">
        <f>N5422*O5422</f>
        <v/>
      </c>
    </row>
    <row r="5423">
      <c r="A5423" s="12" t="inlineStr">
        <is>
          <t>I-P-0264</t>
        </is>
      </c>
      <c r="B5423" s="12" t="inlineStr">
        <is>
          <t>I</t>
        </is>
      </c>
      <c r="C5423" s="12" t="inlineStr">
        <is>
          <t>Modular / portable power</t>
        </is>
      </c>
      <c r="D5423" s="12" t="inlineStr">
        <is>
          <t>Area / platform lighting circuit 1 (4 fixtures)</t>
        </is>
      </c>
      <c r="E5423" s="12" t="inlineStr"/>
      <c r="F5423" s="12" t="inlineStr">
        <is>
          <t>SC-1 PCM + 15 kV GCB</t>
        </is>
      </c>
      <c r="G5423" s="12" t="inlineStr"/>
      <c r="H5423" s="12" t="inlineStr">
        <is>
          <t>SC-1 tempering-air fans (2 x 100 %)</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3</v>
      </c>
      <c r="R5423" s="12" t="n">
        <v>5</v>
      </c>
      <c r="S5423" s="12" t="inlineStr">
        <is>
          <t>Duct bank</t>
        </is>
      </c>
      <c r="T5423" s="15" t="n">
        <v>315</v>
      </c>
      <c r="U5423" s="15" t="n">
        <v>99</v>
      </c>
      <c r="V5423" s="15">
        <f>ROUNDUP((T5423+U5423+2*'Read Me'!$B$13)*(1+'Read Me'!$B$12),-1)</f>
        <v/>
      </c>
      <c r="W5423" s="15">
        <f>V5423*N5423*O5423</f>
        <v/>
      </c>
      <c r="X5423" s="12">
        <f>IF(LEFT(I5423,2)="MV",2*N5423*IF(L5423="1/C",O5423,1),0)</f>
        <v/>
      </c>
      <c r="Y5423" s="12">
        <f>IF(OR(LEFT(K5423,4)="LVAX",LEFT(K5423,6)="MV15AX",LEFT(K5423,4)="CTAX",LEFT(K5423,2)="W|"),2*N5423*O5423,0)</f>
        <v/>
      </c>
      <c r="Z5423" s="12" t="inlineStr">
        <is>
          <t>fixture-to-fixture run included</t>
        </is>
      </c>
      <c r="AA5423" s="12">
        <f>N5423*O5423</f>
        <v/>
      </c>
    </row>
    <row r="5424">
      <c r="A5424" s="12" t="inlineStr">
        <is>
          <t>I-P-0265</t>
        </is>
      </c>
      <c r="B5424" s="12" t="inlineStr">
        <is>
          <t>I</t>
        </is>
      </c>
      <c r="C5424" s="12" t="inlineStr">
        <is>
          <t>Modular / portable power</t>
        </is>
      </c>
      <c r="D5424" s="12" t="inlineStr">
        <is>
          <t>SC-1 emergency DC lube-oil pump (125 V DC, coast-down)</t>
        </is>
      </c>
      <c r="E5424" s="12" t="inlineStr"/>
      <c r="F5424" s="12" t="inlineStr">
        <is>
          <t>SC-1 PCM + 15 kV GCB</t>
        </is>
      </c>
      <c r="G5424" s="12" t="inlineStr">
        <is>
          <t>SC-1</t>
        </is>
      </c>
      <c r="H5424" s="12" t="inlineStr">
        <is>
          <t>SC-1: aeroderivative simple-cycle unit (LM6000 class)</t>
        </is>
      </c>
      <c r="I5424" s="12" t="inlineStr">
        <is>
          <t>LV 600 V</t>
        </is>
      </c>
      <c r="J5424" s="12" t="inlineStr">
        <is>
          <t>XHHW-2 600 V 1/C Cu (feeder sets in tray / duct)</t>
        </is>
      </c>
      <c r="K5424" s="12" t="inlineStr">
        <is>
          <t>LV1C|1/C|2</t>
        </is>
      </c>
      <c r="L5424" s="12" t="inlineStr">
        <is>
          <t>1/C</t>
        </is>
      </c>
      <c r="M5424" s="12" t="inlineStr">
        <is>
          <t>2</t>
        </is>
      </c>
      <c r="N5424" s="12" t="n">
        <v>1</v>
      </c>
      <c r="O5424" s="12" t="n">
        <v>2</v>
      </c>
      <c r="P5424" s="12" t="n">
        <v>125</v>
      </c>
      <c r="Q5424" s="12" t="n">
        <v>7.5</v>
      </c>
      <c r="R5424" s="12" t="n">
        <v>65</v>
      </c>
      <c r="S5424" s="12" t="inlineStr">
        <is>
          <t>Tray</t>
        </is>
      </c>
      <c r="T5424" s="15" t="n">
        <v>5</v>
      </c>
      <c r="U5424" s="15" t="n">
        <v>62</v>
      </c>
      <c r="V5424" s="15">
        <f>ROUNDUP((T5424+U5424+2*'Read Me'!$B$13)*(1+'Read Me'!$B$12),-1)</f>
        <v/>
      </c>
      <c r="W5424" s="15">
        <f>V5424*N5424*O5424</f>
        <v/>
      </c>
      <c r="X5424" s="12">
        <f>IF(LEFT(I5424,2)="MV",2*N5424*IF(L5424="1/C",O5424,1),0)</f>
        <v/>
      </c>
      <c r="Y5424" s="12">
        <f>IF(OR(LEFT(K5424,4)="LVAX",LEFT(K5424,6)="MV15AX",LEFT(K5424,4)="CTAX",LEFT(K5424,2)="W|"),2*N5424*O5424,0)</f>
        <v/>
      </c>
      <c r="Z5424" s="12" t="inlineStr">
        <is>
          <t>LM6000 class: DC pump keeps the bearings fed on loss of AC</t>
        </is>
      </c>
      <c r="AA5424" s="12">
        <f>N5424*O5424</f>
        <v/>
      </c>
    </row>
    <row r="5425">
      <c r="A5425" s="12" t="inlineStr">
        <is>
          <t>I-P-0266</t>
        </is>
      </c>
      <c r="B5425" s="12" t="inlineStr">
        <is>
          <t>I</t>
        </is>
      </c>
      <c r="C5425" s="12" t="inlineStr">
        <is>
          <t>Modular / portable power</t>
        </is>
      </c>
      <c r="D5425" s="12" t="inlineStr">
        <is>
          <t>SC-1 120 V AC UPS to the unit control and protection</t>
        </is>
      </c>
      <c r="E5425" s="12" t="inlineStr"/>
      <c r="F5425" s="12" t="inlineStr">
        <is>
          <t>SC-1 PCM + 15 kV GCB</t>
        </is>
      </c>
      <c r="G5425" s="12" t="inlineStr">
        <is>
          <t>SC-1</t>
        </is>
      </c>
      <c r="H5425" s="12" t="inlineStr">
        <is>
          <t>SC-1: aeroderivative simple-cycle unit (LM6000 class)</t>
        </is>
      </c>
      <c r="I5425" s="12" t="inlineStr">
        <is>
          <t>LV 600 V</t>
        </is>
      </c>
      <c r="J5425" s="12" t="inlineStr">
        <is>
          <t>XHHW-2 600 V 1/C Cu (feeder sets in tray / duct)</t>
        </is>
      </c>
      <c r="K5425" s="12" t="inlineStr">
        <is>
          <t>LV1C|1/C|6</t>
        </is>
      </c>
      <c r="L5425" s="12" t="inlineStr">
        <is>
          <t>1/C</t>
        </is>
      </c>
      <c r="M5425" s="12" t="inlineStr">
        <is>
          <t>6</t>
        </is>
      </c>
      <c r="N5425" s="12" t="n">
        <v>1</v>
      </c>
      <c r="O5425" s="12" t="n">
        <v>2</v>
      </c>
      <c r="P5425" s="12" t="n">
        <v>120</v>
      </c>
      <c r="Q5425" s="12" t="n">
        <v>5</v>
      </c>
      <c r="R5425" s="12" t="n"/>
      <c r="S5425" s="12" t="inlineStr">
        <is>
          <t>Tray</t>
        </is>
      </c>
      <c r="T5425" s="15" t="n">
        <v>5</v>
      </c>
      <c r="U5425" s="15" t="n">
        <v>62</v>
      </c>
      <c r="V5425" s="15">
        <f>ROUNDUP((T5425+U5425+2*'Read Me'!$B$13)*(1+'Read Me'!$B$12),-1)</f>
        <v/>
      </c>
      <c r="W5425" s="15">
        <f>V5425*N5425*O5425</f>
        <v/>
      </c>
      <c r="X5425" s="12">
        <f>IF(LEFT(I5425,2)="MV",2*N5425*IF(L5425="1/C",O5425,1),0)</f>
        <v/>
      </c>
      <c r="Y5425" s="12">
        <f>IF(OR(LEFT(K5425,4)="LVAX",LEFT(K5425,6)="MV15AX",LEFT(K5425,4)="CTAX",LEFT(K5425,2)="W|"),2*N5425*O5425,0)</f>
        <v/>
      </c>
      <c r="Z5425" s="12" t="inlineStr"/>
      <c r="AA5425" s="12">
        <f>N5425*O5425</f>
        <v/>
      </c>
    </row>
    <row r="5426">
      <c r="A5426" s="12" t="inlineStr">
        <is>
          <t>I-P-0267</t>
        </is>
      </c>
      <c r="B5426" s="12" t="inlineStr">
        <is>
          <t>I</t>
        </is>
      </c>
      <c r="C5426" s="12" t="inlineStr">
        <is>
          <t>Modular / portable power</t>
        </is>
      </c>
      <c r="D5426" s="12" t="inlineStr">
        <is>
          <t>SC-1 hydraulic starter pump motor (start sequence only)</t>
        </is>
      </c>
      <c r="E5426" s="12" t="inlineStr"/>
      <c r="F5426" s="12" t="inlineStr">
        <is>
          <t>SC-1 PCM + 15 kV GCB</t>
        </is>
      </c>
      <c r="G5426" s="12" t="inlineStr">
        <is>
          <t>SC-1</t>
        </is>
      </c>
      <c r="H5426" s="12" t="inlineStr">
        <is>
          <t>SC-1: aeroderivative simple-cycle unit (LM6000 class)</t>
        </is>
      </c>
      <c r="I5426" s="12" t="inlineStr">
        <is>
          <t>LV 600 V</t>
        </is>
      </c>
      <c r="J5426" s="12" t="inlineStr">
        <is>
          <t>Type TC-ER 600 V 3/C Cu XHHW-2 + ground, PVC jacket</t>
        </is>
      </c>
      <c r="K5426" s="12" t="inlineStr">
        <is>
          <t>LV|3/C+G|3/0</t>
        </is>
      </c>
      <c r="L5426" s="12" t="inlineStr">
        <is>
          <t>3/C+G</t>
        </is>
      </c>
      <c r="M5426" s="12" t="inlineStr">
        <is>
          <t>3/0</t>
        </is>
      </c>
      <c r="N5426" s="12" t="n">
        <v>2</v>
      </c>
      <c r="O5426" s="12" t="n">
        <v>1</v>
      </c>
      <c r="P5426" s="12" t="n">
        <v>480</v>
      </c>
      <c r="Q5426" s="12" t="n">
        <v>225</v>
      </c>
      <c r="R5426" s="12" t="n">
        <v>318.4</v>
      </c>
      <c r="S5426" s="12" t="inlineStr">
        <is>
          <t>Tray</t>
        </is>
      </c>
      <c r="T5426" s="15" t="n">
        <v>5</v>
      </c>
      <c r="U5426" s="15" t="n">
        <v>62</v>
      </c>
      <c r="V5426" s="15">
        <f>ROUNDUP((T5426+U5426+2*'Read Me'!$B$13)*(1+'Read Me'!$B$12),-1)</f>
        <v/>
      </c>
      <c r="W5426" s="15">
        <f>V5426*N5426*O5426</f>
        <v/>
      </c>
      <c r="X5426" s="12">
        <f>IF(LEFT(I5426,2)="MV",2*N5426*IF(L5426="1/C",O5426,1),0)</f>
        <v/>
      </c>
      <c r="Y5426" s="12">
        <f>IF(OR(LEFT(K5426,4)="LVAX",LEFT(K5426,6)="MV15AX",LEFT(K5426,4)="CTAX",LEFT(K5426,2)="W|"),2*N5426*O5426,0)</f>
        <v/>
      </c>
      <c r="Z5426" s="12" t="inlineStr">
        <is>
          <t>typical LM6000 hydraulic start; verify starter type / rating with the OEM</t>
        </is>
      </c>
      <c r="AA5426" s="12">
        <f>N5426*O5426</f>
        <v/>
      </c>
    </row>
    <row r="5427">
      <c r="A5427" s="12" t="inlineStr">
        <is>
          <t>I-P-0268</t>
        </is>
      </c>
      <c r="B5427" s="12" t="inlineStr">
        <is>
          <t>I</t>
        </is>
      </c>
      <c r="C5427" s="12" t="inlineStr">
        <is>
          <t>Modular / portable power</t>
        </is>
      </c>
      <c r="D5427" s="12" t="inlineStr">
        <is>
          <t>SC-1 480 V welding receptacle 1</t>
        </is>
      </c>
      <c r="E5427" s="12" t="inlineStr"/>
      <c r="F5427" s="12" t="inlineStr">
        <is>
          <t>SC-1 PCM + 15 kV GCB</t>
        </is>
      </c>
      <c r="G5427" s="12" t="inlineStr">
        <is>
          <t>SC-1</t>
        </is>
      </c>
      <c r="H5427" s="12" t="inlineStr">
        <is>
          <t>SC-1: aeroderivative simple-cycle unit (LM6000 class)</t>
        </is>
      </c>
      <c r="I5427" s="12" t="inlineStr">
        <is>
          <t>LV 600 V</t>
        </is>
      </c>
      <c r="J5427" s="12" t="inlineStr">
        <is>
          <t>Type TC-ER 600 V 3/C Cu XHHW-2 + ground, PVC jacket</t>
        </is>
      </c>
      <c r="K5427" s="12" t="inlineStr">
        <is>
          <t>LV|3/C+G|2</t>
        </is>
      </c>
      <c r="L5427" s="12" t="inlineStr">
        <is>
          <t>3/C+G</t>
        </is>
      </c>
      <c r="M5427" s="12" t="inlineStr">
        <is>
          <t>2</t>
        </is>
      </c>
      <c r="N5427" s="12" t="n">
        <v>1</v>
      </c>
      <c r="O5427" s="12" t="n">
        <v>1</v>
      </c>
      <c r="P5427" s="12" t="n">
        <v>480</v>
      </c>
      <c r="Q5427" s="12" t="n">
        <v>60</v>
      </c>
      <c r="R5427" s="12" t="n">
        <v>76</v>
      </c>
      <c r="S5427" s="12" t="inlineStr">
        <is>
          <t>Tray</t>
        </is>
      </c>
      <c r="T5427" s="15" t="n">
        <v>5</v>
      </c>
      <c r="U5427" s="15" t="n">
        <v>62</v>
      </c>
      <c r="V5427" s="15">
        <f>ROUNDUP((T5427+U5427+2*'Read Me'!$B$13)*(1+'Read Me'!$B$12),-1)</f>
        <v/>
      </c>
      <c r="W5427" s="15">
        <f>V5427*N5427*O5427</f>
        <v/>
      </c>
      <c r="X5427" s="12">
        <f>IF(LEFT(I5427,2)="MV",2*N5427*IF(L5427="1/C",O5427,1),0)</f>
        <v/>
      </c>
      <c r="Y5427" s="12">
        <f>IF(OR(LEFT(K5427,4)="LVAX",LEFT(K5427,6)="MV15AX",LEFT(K5427,4)="CTAX",LEFT(K5427,2)="W|"),2*N5427*O5427,0)</f>
        <v/>
      </c>
      <c r="Z5427" s="12" t="inlineStr">
        <is>
          <t>VD 0.4 %</t>
        </is>
      </c>
      <c r="AA5427" s="12">
        <f>N5427*O5427</f>
        <v/>
      </c>
    </row>
    <row r="5428">
      <c r="A5428" s="12" t="inlineStr">
        <is>
          <t>I-P-0269</t>
        </is>
      </c>
      <c r="B5428" s="12" t="inlineStr">
        <is>
          <t>I</t>
        </is>
      </c>
      <c r="C5428" s="12" t="inlineStr">
        <is>
          <t>Modular / portable power</t>
        </is>
      </c>
      <c r="D5428" s="12" t="inlineStr">
        <is>
          <t>SC-1 480 V welding receptacle 2</t>
        </is>
      </c>
      <c r="E5428" s="12" t="inlineStr"/>
      <c r="F5428" s="12" t="inlineStr">
        <is>
          <t>SC-1 PCM + 15 kV GCB</t>
        </is>
      </c>
      <c r="G5428" s="12" t="inlineStr">
        <is>
          <t>SC-1</t>
        </is>
      </c>
      <c r="H5428" s="12" t="inlineStr">
        <is>
          <t>SC-1: aeroderivative simple-cycle unit (LM6000 class)</t>
        </is>
      </c>
      <c r="I5428" s="12" t="inlineStr">
        <is>
          <t>LV 600 V</t>
        </is>
      </c>
      <c r="J5428" s="12" t="inlineStr">
        <is>
          <t>Type TC-ER 600 V 3/C Cu XHHW-2 + ground, PVC jacket</t>
        </is>
      </c>
      <c r="K5428" s="12" t="inlineStr">
        <is>
          <t>LV|3/C+G|2</t>
        </is>
      </c>
      <c r="L5428" s="12" t="inlineStr">
        <is>
          <t>3/C+G</t>
        </is>
      </c>
      <c r="M5428" s="12" t="inlineStr">
        <is>
          <t>2</t>
        </is>
      </c>
      <c r="N5428" s="12" t="n">
        <v>1</v>
      </c>
      <c r="O5428" s="12" t="n">
        <v>1</v>
      </c>
      <c r="P5428" s="12" t="n">
        <v>480</v>
      </c>
      <c r="Q5428" s="12" t="n">
        <v>60</v>
      </c>
      <c r="R5428" s="12" t="n">
        <v>76</v>
      </c>
      <c r="S5428" s="12" t="inlineStr">
        <is>
          <t>Tray</t>
        </is>
      </c>
      <c r="T5428" s="15" t="n">
        <v>5</v>
      </c>
      <c r="U5428" s="15" t="n">
        <v>62</v>
      </c>
      <c r="V5428" s="15">
        <f>ROUNDUP((T5428+U5428+2*'Read Me'!$B$13)*(1+'Read Me'!$B$12),-1)</f>
        <v/>
      </c>
      <c r="W5428" s="15">
        <f>V5428*N5428*O5428</f>
        <v/>
      </c>
      <c r="X5428" s="12">
        <f>IF(LEFT(I5428,2)="MV",2*N5428*IF(L5428="1/C",O5428,1),0)</f>
        <v/>
      </c>
      <c r="Y5428" s="12">
        <f>IF(OR(LEFT(K5428,4)="LVAX",LEFT(K5428,6)="MV15AX",LEFT(K5428,4)="CTAX",LEFT(K5428,2)="W|"),2*N5428*O5428,0)</f>
        <v/>
      </c>
      <c r="Z5428" s="12" t="inlineStr">
        <is>
          <t>VD 0.4 %</t>
        </is>
      </c>
      <c r="AA5428" s="12">
        <f>N5428*O5428</f>
        <v/>
      </c>
    </row>
    <row r="5429">
      <c r="A5429" s="12" t="inlineStr">
        <is>
          <t>I-P-0270</t>
        </is>
      </c>
      <c r="B5429" s="12" t="inlineStr">
        <is>
          <t>I</t>
        </is>
      </c>
      <c r="C5429" s="12" t="inlineStr">
        <is>
          <t>Modular / portable power</t>
        </is>
      </c>
      <c r="D5429" s="12" t="inlineStr">
        <is>
          <t>Motor 1 of 10, 30 kW</t>
        </is>
      </c>
      <c r="E5429" s="12" t="inlineStr"/>
      <c r="F5429" s="12" t="inlineStr">
        <is>
          <t>SC-1 PCM + 15 kV GCB</t>
        </is>
      </c>
      <c r="G5429" s="12" t="inlineStr">
        <is>
          <t>SC-1</t>
        </is>
      </c>
      <c r="H5429" s="12" t="inlineStr">
        <is>
          <t>SC-1: aeroderivative simple-cycle unit (LM6000 class)</t>
        </is>
      </c>
      <c r="I5429" s="12" t="inlineStr">
        <is>
          <t>LV 600 V</t>
        </is>
      </c>
      <c r="J5429" s="12" t="inlineStr">
        <is>
          <t>Type TC-ER 600 V 3/C Cu XHHW-2 + ground, PVC jacket</t>
        </is>
      </c>
      <c r="K5429" s="12" t="inlineStr">
        <is>
          <t>LV|3/C+G|6</t>
        </is>
      </c>
      <c r="L5429" s="12" t="inlineStr">
        <is>
          <t>3/C+G</t>
        </is>
      </c>
      <c r="M5429" s="12" t="inlineStr">
        <is>
          <t>6</t>
        </is>
      </c>
      <c r="N5429" s="12" t="n">
        <v>1</v>
      </c>
      <c r="O5429" s="12" t="n">
        <v>1</v>
      </c>
      <c r="P5429" s="12" t="n">
        <v>480</v>
      </c>
      <c r="Q5429" s="12" t="n">
        <v>30</v>
      </c>
      <c r="R5429" s="12" t="n">
        <v>42.5</v>
      </c>
      <c r="S5429" s="12" t="inlineStr">
        <is>
          <t>Tray</t>
        </is>
      </c>
      <c r="T5429" s="15" t="n">
        <v>5</v>
      </c>
      <c r="U5429" s="15" t="n">
        <v>62</v>
      </c>
      <c r="V5429" s="15">
        <f>ROUNDUP((T5429+U5429+2*'Read Me'!$B$13)*(1+'Read Me'!$B$12),-1)</f>
        <v/>
      </c>
      <c r="W5429" s="15">
        <f>V5429*N5429*O5429</f>
        <v/>
      </c>
      <c r="X5429" s="12">
        <f>IF(LEFT(I5429,2)="MV",2*N5429*IF(L5429="1/C",O5429,1),0)</f>
        <v/>
      </c>
      <c r="Y5429" s="12">
        <f>IF(OR(LEFT(K5429,4)="LVAX",LEFT(K5429,6)="MV15AX",LEFT(K5429,4)="CTAX",LEFT(K5429,2)="W|"),2*N5429*O5429,0)</f>
        <v/>
      </c>
      <c r="Z5429" s="12" t="inlineStr">
        <is>
          <t>VD 0.6 %</t>
        </is>
      </c>
      <c r="AA5429" s="12">
        <f>N5429*O5429</f>
        <v/>
      </c>
    </row>
    <row r="5430">
      <c r="A5430" s="12" t="inlineStr">
        <is>
          <t>I-P-0271</t>
        </is>
      </c>
      <c r="B5430" s="12" t="inlineStr">
        <is>
          <t>I</t>
        </is>
      </c>
      <c r="C5430" s="12" t="inlineStr">
        <is>
          <t>Modular / portable power</t>
        </is>
      </c>
      <c r="D5430" s="12" t="inlineStr">
        <is>
          <t>Motor 2 of 10, 30 kW</t>
        </is>
      </c>
      <c r="E5430" s="12" t="inlineStr"/>
      <c r="F5430" s="12" t="inlineStr">
        <is>
          <t>SC-1 PCM + 15 kV GCB</t>
        </is>
      </c>
      <c r="G5430" s="12" t="inlineStr">
        <is>
          <t>SC-1</t>
        </is>
      </c>
      <c r="H5430" s="12" t="inlineStr">
        <is>
          <t>SC-1: aeroderivative simple-cycle unit (LM6000 class)</t>
        </is>
      </c>
      <c r="I5430" s="12" t="inlineStr">
        <is>
          <t>LV 600 V</t>
        </is>
      </c>
      <c r="J5430" s="12" t="inlineStr">
        <is>
          <t>Type TC-ER 600 V 3/C Cu XHHW-2 + ground, PVC jacket</t>
        </is>
      </c>
      <c r="K5430" s="12" t="inlineStr">
        <is>
          <t>LV|3/C+G|6</t>
        </is>
      </c>
      <c r="L5430" s="12" t="inlineStr">
        <is>
          <t>3/C+G</t>
        </is>
      </c>
      <c r="M5430" s="12" t="inlineStr">
        <is>
          <t>6</t>
        </is>
      </c>
      <c r="N5430" s="12" t="n">
        <v>1</v>
      </c>
      <c r="O5430" s="12" t="n">
        <v>1</v>
      </c>
      <c r="P5430" s="12" t="n">
        <v>480</v>
      </c>
      <c r="Q5430" s="12" t="n">
        <v>30</v>
      </c>
      <c r="R5430" s="12" t="n">
        <v>42.5</v>
      </c>
      <c r="S5430" s="12" t="inlineStr">
        <is>
          <t>Tray</t>
        </is>
      </c>
      <c r="T5430" s="15" t="n">
        <v>5</v>
      </c>
      <c r="U5430" s="15" t="n">
        <v>62</v>
      </c>
      <c r="V5430" s="15">
        <f>ROUNDUP((T5430+U5430+2*'Read Me'!$B$13)*(1+'Read Me'!$B$12),-1)</f>
        <v/>
      </c>
      <c r="W5430" s="15">
        <f>V5430*N5430*O5430</f>
        <v/>
      </c>
      <c r="X5430" s="12">
        <f>IF(LEFT(I5430,2)="MV",2*N5430*IF(L5430="1/C",O5430,1),0)</f>
        <v/>
      </c>
      <c r="Y5430" s="12">
        <f>IF(OR(LEFT(K5430,4)="LVAX",LEFT(K5430,6)="MV15AX",LEFT(K5430,4)="CTAX",LEFT(K5430,2)="W|"),2*N5430*O5430,0)</f>
        <v/>
      </c>
      <c r="Z5430" s="12" t="inlineStr">
        <is>
          <t>VD 0.6 %</t>
        </is>
      </c>
      <c r="AA5430" s="12">
        <f>N5430*O5430</f>
        <v/>
      </c>
    </row>
    <row r="5431">
      <c r="A5431" s="12" t="inlineStr">
        <is>
          <t>I-P-0272</t>
        </is>
      </c>
      <c r="B5431" s="12" t="inlineStr">
        <is>
          <t>I</t>
        </is>
      </c>
      <c r="C5431" s="12" t="inlineStr">
        <is>
          <t>Modular / portable power</t>
        </is>
      </c>
      <c r="D5431" s="12" t="inlineStr">
        <is>
          <t>Motor 3 of 10, 30 kW</t>
        </is>
      </c>
      <c r="E5431" s="12" t="inlineStr"/>
      <c r="F5431" s="12" t="inlineStr">
        <is>
          <t>SC-1 PCM + 15 kV GCB</t>
        </is>
      </c>
      <c r="G5431" s="12" t="inlineStr">
        <is>
          <t>SC-1</t>
        </is>
      </c>
      <c r="H5431" s="12" t="inlineStr">
        <is>
          <t>SC-1: aeroderivative simple-cycle unit (LM6000 class)</t>
        </is>
      </c>
      <c r="I5431" s="12" t="inlineStr">
        <is>
          <t>LV 600 V</t>
        </is>
      </c>
      <c r="J5431" s="12" t="inlineStr">
        <is>
          <t>Type TC-ER 600 V 3/C Cu XHHW-2 + ground, PVC jacket</t>
        </is>
      </c>
      <c r="K5431" s="12" t="inlineStr">
        <is>
          <t>LV|3/C+G|6</t>
        </is>
      </c>
      <c r="L5431" s="12" t="inlineStr">
        <is>
          <t>3/C+G</t>
        </is>
      </c>
      <c r="M5431" s="12" t="inlineStr">
        <is>
          <t>6</t>
        </is>
      </c>
      <c r="N5431" s="12" t="n">
        <v>1</v>
      </c>
      <c r="O5431" s="12" t="n">
        <v>1</v>
      </c>
      <c r="P5431" s="12" t="n">
        <v>480</v>
      </c>
      <c r="Q5431" s="12" t="n">
        <v>30</v>
      </c>
      <c r="R5431" s="12" t="n">
        <v>42.5</v>
      </c>
      <c r="S5431" s="12" t="inlineStr">
        <is>
          <t>Tray</t>
        </is>
      </c>
      <c r="T5431" s="15" t="n">
        <v>5</v>
      </c>
      <c r="U5431" s="15" t="n">
        <v>62</v>
      </c>
      <c r="V5431" s="15">
        <f>ROUNDUP((T5431+U5431+2*'Read Me'!$B$13)*(1+'Read Me'!$B$12),-1)</f>
        <v/>
      </c>
      <c r="W5431" s="15">
        <f>V5431*N5431*O5431</f>
        <v/>
      </c>
      <c r="X5431" s="12">
        <f>IF(LEFT(I5431,2)="MV",2*N5431*IF(L5431="1/C",O5431,1),0)</f>
        <v/>
      </c>
      <c r="Y5431" s="12">
        <f>IF(OR(LEFT(K5431,4)="LVAX",LEFT(K5431,6)="MV15AX",LEFT(K5431,4)="CTAX",LEFT(K5431,2)="W|"),2*N5431*O5431,0)</f>
        <v/>
      </c>
      <c r="Z5431" s="12" t="inlineStr">
        <is>
          <t>VD 0.6 %</t>
        </is>
      </c>
      <c r="AA5431" s="12">
        <f>N5431*O5431</f>
        <v/>
      </c>
    </row>
    <row r="5432">
      <c r="A5432" s="12" t="inlineStr">
        <is>
          <t>I-P-0273</t>
        </is>
      </c>
      <c r="B5432" s="12" t="inlineStr">
        <is>
          <t>I</t>
        </is>
      </c>
      <c r="C5432" s="12" t="inlineStr">
        <is>
          <t>Modular / portable power</t>
        </is>
      </c>
      <c r="D5432" s="12" t="inlineStr">
        <is>
          <t>Motor 4 of 10, 30 kW</t>
        </is>
      </c>
      <c r="E5432" s="12" t="inlineStr"/>
      <c r="F5432" s="12" t="inlineStr">
        <is>
          <t>SC-1 PCM + 15 kV GCB</t>
        </is>
      </c>
      <c r="G5432" s="12" t="inlineStr">
        <is>
          <t>SC-1</t>
        </is>
      </c>
      <c r="H5432" s="12" t="inlineStr">
        <is>
          <t>SC-1: aeroderivative simple-cycle unit (LM6000 class)</t>
        </is>
      </c>
      <c r="I5432" s="12" t="inlineStr">
        <is>
          <t>LV 600 V</t>
        </is>
      </c>
      <c r="J5432" s="12" t="inlineStr">
        <is>
          <t>Type TC-ER 600 V 3/C Cu XHHW-2 + ground, PVC jacket</t>
        </is>
      </c>
      <c r="K5432" s="12" t="inlineStr">
        <is>
          <t>LV|3/C+G|6</t>
        </is>
      </c>
      <c r="L5432" s="12" t="inlineStr">
        <is>
          <t>3/C+G</t>
        </is>
      </c>
      <c r="M5432" s="12" t="inlineStr">
        <is>
          <t>6</t>
        </is>
      </c>
      <c r="N5432" s="12" t="n">
        <v>1</v>
      </c>
      <c r="O5432" s="12" t="n">
        <v>1</v>
      </c>
      <c r="P5432" s="12" t="n">
        <v>480</v>
      </c>
      <c r="Q5432" s="12" t="n">
        <v>30</v>
      </c>
      <c r="R5432" s="12" t="n">
        <v>42.5</v>
      </c>
      <c r="S5432" s="12" t="inlineStr">
        <is>
          <t>Tray</t>
        </is>
      </c>
      <c r="T5432" s="15" t="n">
        <v>5</v>
      </c>
      <c r="U5432" s="15" t="n">
        <v>62</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I-P-0274</t>
        </is>
      </c>
      <c r="B5433" s="12" t="inlineStr">
        <is>
          <t>I</t>
        </is>
      </c>
      <c r="C5433" s="12" t="inlineStr">
        <is>
          <t>Modular / portable power</t>
        </is>
      </c>
      <c r="D5433" s="12" t="inlineStr">
        <is>
          <t>Motor 5 of 10, 30 kW</t>
        </is>
      </c>
      <c r="E5433" s="12" t="inlineStr"/>
      <c r="F5433" s="12" t="inlineStr">
        <is>
          <t>SC-1 PCM + 15 kV GCB</t>
        </is>
      </c>
      <c r="G5433" s="12" t="inlineStr">
        <is>
          <t>SC-1</t>
        </is>
      </c>
      <c r="H5433" s="12" t="inlineStr">
        <is>
          <t>SC-1: aeroderivative simple-cycle unit (LM6000 class)</t>
        </is>
      </c>
      <c r="I5433" s="12" t="inlineStr">
        <is>
          <t>LV 600 V</t>
        </is>
      </c>
      <c r="J5433" s="12" t="inlineStr">
        <is>
          <t>Type TC-ER 600 V 3/C Cu XHHW-2 + ground, PVC jacket</t>
        </is>
      </c>
      <c r="K5433" s="12" t="inlineStr">
        <is>
          <t>LV|3/C+G|6</t>
        </is>
      </c>
      <c r="L5433" s="12" t="inlineStr">
        <is>
          <t>3/C+G</t>
        </is>
      </c>
      <c r="M5433" s="12" t="inlineStr">
        <is>
          <t>6</t>
        </is>
      </c>
      <c r="N5433" s="12" t="n">
        <v>1</v>
      </c>
      <c r="O5433" s="12" t="n">
        <v>1</v>
      </c>
      <c r="P5433" s="12" t="n">
        <v>480</v>
      </c>
      <c r="Q5433" s="12" t="n">
        <v>30</v>
      </c>
      <c r="R5433" s="12" t="n">
        <v>42.5</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I-P-0275</t>
        </is>
      </c>
      <c r="B5434" s="12" t="inlineStr">
        <is>
          <t>I</t>
        </is>
      </c>
      <c r="C5434" s="12" t="inlineStr">
        <is>
          <t>Modular / portable power</t>
        </is>
      </c>
      <c r="D5434" s="12" t="inlineStr">
        <is>
          <t>Motor 6 of 10, 30 kW</t>
        </is>
      </c>
      <c r="E5434" s="12" t="inlineStr"/>
      <c r="F5434" s="12" t="inlineStr">
        <is>
          <t>SC-1 PCM + 15 kV GCB</t>
        </is>
      </c>
      <c r="G5434" s="12" t="inlineStr">
        <is>
          <t>SC-1</t>
        </is>
      </c>
      <c r="H5434" s="12" t="inlineStr">
        <is>
          <t>SC-1: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is>
          <t>VD 0.6 %</t>
        </is>
      </c>
      <c r="AA5434" s="12">
        <f>N5434*O5434</f>
        <v/>
      </c>
    </row>
    <row r="5435">
      <c r="A5435" s="12" t="inlineStr">
        <is>
          <t>I-P-0276</t>
        </is>
      </c>
      <c r="B5435" s="12" t="inlineStr">
        <is>
          <t>I</t>
        </is>
      </c>
      <c r="C5435" s="12" t="inlineStr">
        <is>
          <t>Modular / portable power</t>
        </is>
      </c>
      <c r="D5435" s="12" t="inlineStr">
        <is>
          <t>Motor 7 of 10, 30 kW</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LV|3/C+G|6</t>
        </is>
      </c>
      <c r="L5435" s="12" t="inlineStr">
        <is>
          <t>3/C+G</t>
        </is>
      </c>
      <c r="M5435" s="12" t="inlineStr">
        <is>
          <t>6</t>
        </is>
      </c>
      <c r="N5435" s="12" t="n">
        <v>1</v>
      </c>
      <c r="O5435" s="12" t="n">
        <v>1</v>
      </c>
      <c r="P5435" s="12" t="n">
        <v>480</v>
      </c>
      <c r="Q5435" s="12" t="n">
        <v>30</v>
      </c>
      <c r="R5435" s="12" t="n">
        <v>42.5</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VD 0.6 %</t>
        </is>
      </c>
      <c r="AA5435" s="12">
        <f>N5435*O5435</f>
        <v/>
      </c>
    </row>
    <row r="5436">
      <c r="A5436" s="12" t="inlineStr">
        <is>
          <t>I-P-0277</t>
        </is>
      </c>
      <c r="B5436" s="12" t="inlineStr">
        <is>
          <t>I</t>
        </is>
      </c>
      <c r="C5436" s="12" t="inlineStr">
        <is>
          <t>Modular / portable power</t>
        </is>
      </c>
      <c r="D5436" s="12" t="inlineStr">
        <is>
          <t>Motor 8 of 10, 30 kW</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LV|3/C+G|6</t>
        </is>
      </c>
      <c r="L5436" s="12" t="inlineStr">
        <is>
          <t>3/C+G</t>
        </is>
      </c>
      <c r="M5436" s="12" t="inlineStr">
        <is>
          <t>6</t>
        </is>
      </c>
      <c r="N5436" s="12" t="n">
        <v>1</v>
      </c>
      <c r="O5436" s="12" t="n">
        <v>1</v>
      </c>
      <c r="P5436" s="12" t="n">
        <v>480</v>
      </c>
      <c r="Q5436" s="12" t="n">
        <v>30</v>
      </c>
      <c r="R5436" s="12" t="n">
        <v>42.5</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0.6 %</t>
        </is>
      </c>
      <c r="AA5436" s="12">
        <f>N5436*O5436</f>
        <v/>
      </c>
    </row>
    <row r="5437">
      <c r="A5437" s="12" t="inlineStr">
        <is>
          <t>I-P-0278</t>
        </is>
      </c>
      <c r="B5437" s="12" t="inlineStr">
        <is>
          <t>I</t>
        </is>
      </c>
      <c r="C5437" s="12" t="inlineStr">
        <is>
          <t>Modular / portable power</t>
        </is>
      </c>
      <c r="D5437" s="12" t="inlineStr">
        <is>
          <t>Motor 9 of 10, 30 kW</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LV|3/C+G|6</t>
        </is>
      </c>
      <c r="L5437" s="12" t="inlineStr">
        <is>
          <t>3/C+G</t>
        </is>
      </c>
      <c r="M5437" s="12" t="inlineStr">
        <is>
          <t>6</t>
        </is>
      </c>
      <c r="N5437" s="12" t="n">
        <v>1</v>
      </c>
      <c r="O5437" s="12" t="n">
        <v>1</v>
      </c>
      <c r="P5437" s="12" t="n">
        <v>480</v>
      </c>
      <c r="Q5437" s="12" t="n">
        <v>30</v>
      </c>
      <c r="R5437" s="12" t="n">
        <v>42.5</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0.6 %</t>
        </is>
      </c>
      <c r="AA5437" s="12">
        <f>N5437*O5437</f>
        <v/>
      </c>
    </row>
    <row r="5438">
      <c r="A5438" s="12" t="inlineStr">
        <is>
          <t>I-P-0279</t>
        </is>
      </c>
      <c r="B5438" s="12" t="inlineStr">
        <is>
          <t>I</t>
        </is>
      </c>
      <c r="C5438" s="12" t="inlineStr">
        <is>
          <t>Modular / portable power</t>
        </is>
      </c>
      <c r="D5438" s="12" t="inlineStr">
        <is>
          <t>Motor 10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I-P-0280</t>
        </is>
      </c>
      <c r="B5439" s="12" t="inlineStr">
        <is>
          <t>I</t>
        </is>
      </c>
      <c r="C5439" s="12" t="inlineStr">
        <is>
          <t>Modular / portable power</t>
        </is>
      </c>
      <c r="D5439" s="12" t="inlineStr">
        <is>
          <t>Area / platform lighting circuit 1 (8 fixtures)</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3</v>
      </c>
      <c r="R5439" s="12" t="n">
        <v>5</v>
      </c>
      <c r="S5439" s="12" t="inlineStr">
        <is>
          <t>Tray</t>
        </is>
      </c>
      <c r="T5439" s="15" t="n">
        <v>305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fixture-to-fixture run included</t>
        </is>
      </c>
      <c r="AA5439" s="12">
        <f>N5439*O5439</f>
        <v/>
      </c>
    </row>
    <row r="5440">
      <c r="A5440" s="12" t="inlineStr">
        <is>
          <t>I-P-0281</t>
        </is>
      </c>
      <c r="B5440" s="12" t="inlineStr">
        <is>
          <t>I</t>
        </is>
      </c>
      <c r="C5440" s="12" t="inlineStr">
        <is>
          <t>Modular / portable power</t>
        </is>
      </c>
      <c r="D5440" s="12" t="inlineStr">
        <is>
          <t>SC-2 CEMS shelter panel: analysers, heated sample line, lighting</t>
        </is>
      </c>
      <c r="E5440" s="12" t="inlineStr"/>
      <c r="F5440" s="12" t="inlineStr">
        <is>
          <t>SC-2 PCM + 15 kV GCB</t>
        </is>
      </c>
      <c r="G5440" s="12" t="inlineStr"/>
      <c r="H5440" s="12" t="inlineStr">
        <is>
          <t>SC-2 CEMS shelter</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15</v>
      </c>
      <c r="R5440" s="12" t="n">
        <v>19</v>
      </c>
      <c r="S5440" s="12" t="inlineStr">
        <is>
          <t>Duct bank</t>
        </is>
      </c>
      <c r="T5440" s="15" t="n">
        <v>74</v>
      </c>
      <c r="U5440" s="15" t="n">
        <v>112</v>
      </c>
      <c r="V5440" s="15">
        <f>ROUNDUP((T5440+U5440+2*'Read Me'!$B$13)*(1+'Read Me'!$B$12),-1)</f>
        <v/>
      </c>
      <c r="W5440" s="15">
        <f>V5440*N5440*O5440</f>
        <v/>
      </c>
      <c r="X5440" s="12">
        <f>IF(LEFT(I5440,2)="MV",2*N5440*IF(L5440="1/C",O5440,1),0)</f>
        <v/>
      </c>
      <c r="Y5440" s="12">
        <f>IF(OR(LEFT(K5440,4)="LVAX",LEFT(K5440,6)="MV15AX",LEFT(K5440,4)="CTAX",LEFT(K5440,2)="W|"),2*N5440*O5440,0)</f>
        <v/>
      </c>
      <c r="Z5440" s="12" t="inlineStr">
        <is>
          <t>VD 1.7 %</t>
        </is>
      </c>
      <c r="AA5440" s="12">
        <f>N5440*O5440</f>
        <v/>
      </c>
    </row>
    <row r="5441">
      <c r="A5441" s="12" t="inlineStr">
        <is>
          <t>I-P-0282</t>
        </is>
      </c>
      <c r="B5441" s="12" t="inlineStr">
        <is>
          <t>I</t>
        </is>
      </c>
      <c r="C5441" s="12" t="inlineStr">
        <is>
          <t>Modular / portable power</t>
        </is>
      </c>
      <c r="D5441" s="12" t="inlineStr">
        <is>
          <t>Motor 1 of 2, 5 kW</t>
        </is>
      </c>
      <c r="E5441" s="12" t="inlineStr"/>
      <c r="F5441" s="12" t="inlineStr">
        <is>
          <t>SC-2 PCM + 15 kV GCB</t>
        </is>
      </c>
      <c r="G5441" s="12" t="inlineStr"/>
      <c r="H5441" s="12" t="inlineStr">
        <is>
          <t>SC-2 CEMS shelter</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5</v>
      </c>
      <c r="R5441" s="12" t="n">
        <v>7.1</v>
      </c>
      <c r="S5441" s="12" t="inlineStr">
        <is>
          <t>Duct bank</t>
        </is>
      </c>
      <c r="T5441" s="15" t="n">
        <v>74</v>
      </c>
      <c r="U5441" s="15" t="n">
        <v>112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I-P-0283</t>
        </is>
      </c>
      <c r="B5442" s="12" t="inlineStr">
        <is>
          <t>I</t>
        </is>
      </c>
      <c r="C5442" s="12" t="inlineStr">
        <is>
          <t>Modular / portable power</t>
        </is>
      </c>
      <c r="D5442" s="12" t="inlineStr">
        <is>
          <t>Motor 2 of 2, 5 kW</t>
        </is>
      </c>
      <c r="E5442" s="12" t="inlineStr"/>
      <c r="F5442" s="12" t="inlineStr">
        <is>
          <t>SC-2 PCM + 15 kV GCB</t>
        </is>
      </c>
      <c r="G5442" s="12" t="inlineStr"/>
      <c r="H5442" s="12" t="inlineStr">
        <is>
          <t>SC-2 CEMS shelter</t>
        </is>
      </c>
      <c r="I5442" s="12" t="inlineStr">
        <is>
          <t>LV 600 V</t>
        </is>
      </c>
      <c r="J5442" s="12" t="inlineStr">
        <is>
          <t>Type TC-ER 600 V 3/C Cu XHHW-2 + ground, PVC jacket</t>
        </is>
      </c>
      <c r="K5442" s="12" t="inlineStr">
        <is>
          <t>LV|3/C+G|10</t>
        </is>
      </c>
      <c r="L5442" s="12" t="inlineStr">
        <is>
          <t>3/C+G</t>
        </is>
      </c>
      <c r="M5442" s="12" t="inlineStr">
        <is>
          <t>10</t>
        </is>
      </c>
      <c r="N5442" s="12" t="n">
        <v>1</v>
      </c>
      <c r="O5442" s="12" t="n">
        <v>1</v>
      </c>
      <c r="P5442" s="12" t="n">
        <v>480</v>
      </c>
      <c r="Q5442" s="12" t="n">
        <v>5</v>
      </c>
      <c r="R5442" s="12" t="n">
        <v>7.1</v>
      </c>
      <c r="S5442" s="12" t="inlineStr">
        <is>
          <t>Duct bank</t>
        </is>
      </c>
      <c r="T5442" s="15" t="n">
        <v>74</v>
      </c>
      <c r="U5442" s="15" t="n">
        <v>112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I-P-0284</t>
        </is>
      </c>
      <c r="B5443" s="12" t="inlineStr">
        <is>
          <t>I</t>
        </is>
      </c>
      <c r="C5443" s="12" t="inlineStr">
        <is>
          <t>Modular / portable power</t>
        </is>
      </c>
      <c r="D5443" s="12" t="inlineStr">
        <is>
          <t>SC-2 125 V DC battery to charger / DC panel</t>
        </is>
      </c>
      <c r="E5443" s="12" t="inlineStr"/>
      <c r="F5443" s="12" t="inlineStr">
        <is>
          <t>SC-2 PCM + 15 kV GCB</t>
        </is>
      </c>
      <c r="G5443" s="12" t="inlineStr"/>
      <c r="H5443" s="12" t="inlineStr">
        <is>
          <t>SC-2 PCM + 15 kV GCB</t>
        </is>
      </c>
      <c r="I5443" s="12" t="inlineStr">
        <is>
          <t>LV 600 V</t>
        </is>
      </c>
      <c r="J5443" s="12" t="inlineStr">
        <is>
          <t>XHHW-2 600 V 1/C Cu (feeder sets in tray / duct)</t>
        </is>
      </c>
      <c r="K5443" s="12" t="inlineStr">
        <is>
          <t>LV1C|1/C|4/0</t>
        </is>
      </c>
      <c r="L5443" s="12" t="inlineStr">
        <is>
          <t>1/C</t>
        </is>
      </c>
      <c r="M5443" s="12" t="inlineStr">
        <is>
          <t>4/0</t>
        </is>
      </c>
      <c r="N5443" s="12" t="n">
        <v>1</v>
      </c>
      <c r="O5443" s="12" t="n">
        <v>2</v>
      </c>
      <c r="P5443" s="12" t="n">
        <v>125</v>
      </c>
      <c r="Q5443" s="12" t="n"/>
      <c r="R5443" s="12" t="n"/>
      <c r="S5443" s="12" t="inlineStr">
        <is>
          <t>Tray</t>
        </is>
      </c>
      <c r="T5443" s="15" t="n">
        <v>15</v>
      </c>
      <c r="U5443" s="15" t="n">
        <v>5</v>
      </c>
      <c r="V5443" s="15">
        <f>ROUNDUP((T5443+U5443+2*'Read Me'!$B$13)*(1+'Read Me'!$B$12),-1)</f>
        <v/>
      </c>
      <c r="W5443" s="15">
        <f>V5443*N5443*O5443</f>
        <v/>
      </c>
      <c r="X5443" s="12">
        <f>IF(LEFT(I5443,2)="MV",2*N5443*IF(L5443="1/C",O5443,1),0)</f>
        <v/>
      </c>
      <c r="Y5443" s="12">
        <f>IF(OR(LEFT(K5443,4)="LVAX",LEFT(K5443,6)="MV15AX",LEFT(K5443,4)="CTAX",LEFT(K5443,2)="W|"),2*N5443*O5443,0)</f>
        <v/>
      </c>
      <c r="Z5443" s="12" t="inlineStr">
        <is>
          <t>battery rack inside the PCM</t>
        </is>
      </c>
      <c r="AA5443" s="12">
        <f>N5443*O5443</f>
        <v/>
      </c>
    </row>
    <row r="5444">
      <c r="A5444" s="12" t="inlineStr">
        <is>
          <t>I-P-0285</t>
        </is>
      </c>
      <c r="B5444" s="12" t="inlineStr">
        <is>
          <t>I</t>
        </is>
      </c>
      <c r="C5444" s="12" t="inlineStr">
        <is>
          <t>Modular / portable power</t>
        </is>
      </c>
      <c r="D5444" s="12" t="inlineStr">
        <is>
          <t>SC-2 PCM lighting, receptacles and HVAC (from its own 480 V board)</t>
        </is>
      </c>
      <c r="E5444" s="12" t="inlineStr"/>
      <c r="F5444" s="12" t="inlineStr">
        <is>
          <t>SC-2 PCM + 15 kV GCB</t>
        </is>
      </c>
      <c r="G5444" s="12" t="inlineStr"/>
      <c r="H5444" s="12" t="inlineStr">
        <is>
          <t>SC-2 PCM + 15 kV GCB</t>
        </is>
      </c>
      <c r="I5444" s="12" t="inlineStr">
        <is>
          <t>LV 600 V</t>
        </is>
      </c>
      <c r="J5444" s="12" t="inlineStr">
        <is>
          <t>Type TC-ER 600 V 3/C Cu XHHW-2 + ground, PVC jacket</t>
        </is>
      </c>
      <c r="K5444" s="12" t="inlineStr">
        <is>
          <t>LV|3/C+G|2</t>
        </is>
      </c>
      <c r="L5444" s="12" t="inlineStr">
        <is>
          <t>3/C+G</t>
        </is>
      </c>
      <c r="M5444" s="12" t="inlineStr">
        <is>
          <t>2</t>
        </is>
      </c>
      <c r="N5444" s="12" t="n">
        <v>1</v>
      </c>
      <c r="O5444" s="12" t="n">
        <v>1</v>
      </c>
      <c r="P5444" s="12" t="n">
        <v>480</v>
      </c>
      <c r="Q5444" s="12" t="n">
        <v>40</v>
      </c>
      <c r="R5444" s="12" t="n"/>
      <c r="S5444" s="12" t="inlineStr">
        <is>
          <t>Tray</t>
        </is>
      </c>
      <c r="T5444" s="15" t="n">
        <v>80</v>
      </c>
      <c r="U5444" s="15" t="n">
        <v>10</v>
      </c>
      <c r="V5444" s="15">
        <f>ROUNDUP((T5444+U5444+2*'Read Me'!$B$13)*(1+'Read Me'!$B$12),-1)</f>
        <v/>
      </c>
      <c r="W5444" s="15">
        <f>V5444*N5444*O5444</f>
        <v/>
      </c>
      <c r="X5444" s="12">
        <f>IF(LEFT(I5444,2)="MV",2*N5444*IF(L5444="1/C",O5444,1),0)</f>
        <v/>
      </c>
      <c r="Y5444" s="12">
        <f>IF(OR(LEFT(K5444,4)="LVAX",LEFT(K5444,6)="MV15AX",LEFT(K5444,4)="CTAX",LEFT(K5444,2)="W|"),2*N5444*O5444,0)</f>
        <v/>
      </c>
      <c r="Z5444" s="12" t="inlineStr">
        <is>
          <t>internal to the PCM; aux transformer 13.8 kV / 480 V inside</t>
        </is>
      </c>
      <c r="AA5444" s="12">
        <f>N5444*O5444</f>
        <v/>
      </c>
    </row>
    <row r="5445">
      <c r="A5445" s="12" t="inlineStr">
        <is>
          <t>I-P-0286</t>
        </is>
      </c>
      <c r="B5445" s="12" t="inlineStr">
        <is>
          <t>I</t>
        </is>
      </c>
      <c r="C5445" s="12" t="inlineStr">
        <is>
          <t>Modular / portable power</t>
        </is>
      </c>
      <c r="D5445" s="12" t="inlineStr">
        <is>
          <t>Area / platform lighting circuit 1 (10 fixtures)</t>
        </is>
      </c>
      <c r="E5445" s="12" t="inlineStr"/>
      <c r="F5445" s="12" t="inlineStr">
        <is>
          <t>SC-2 PCM + 15 kV GCB</t>
        </is>
      </c>
      <c r="G5445" s="12" t="inlineStr"/>
      <c r="H5445" s="12" t="inlineStr">
        <is>
          <t>SC-2 SCR / CO catalyst</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3</v>
      </c>
      <c r="R5445" s="12" t="n">
        <v>5</v>
      </c>
      <c r="S5445" s="12" t="inlineStr">
        <is>
          <t>Duct bank</t>
        </is>
      </c>
      <c r="T5445" s="15" t="n">
        <v>348</v>
      </c>
      <c r="U5445" s="15" t="n">
        <v>64</v>
      </c>
      <c r="V5445" s="15">
        <f>ROUNDUP((T5445+U5445+2*'Read Me'!$B$13)*(1+'Read Me'!$B$12),-1)</f>
        <v/>
      </c>
      <c r="W5445" s="15">
        <f>V5445*N5445*O5445</f>
        <v/>
      </c>
      <c r="X5445" s="12">
        <f>IF(LEFT(I5445,2)="MV",2*N5445*IF(L5445="1/C",O5445,1),0)</f>
        <v/>
      </c>
      <c r="Y5445" s="12">
        <f>IF(OR(LEFT(K5445,4)="LVAX",LEFT(K5445,6)="MV15AX",LEFT(K5445,4)="CTAX",LEFT(K5445,2)="W|"),2*N5445*O5445,0)</f>
        <v/>
      </c>
      <c r="Z5445" s="12" t="inlineStr">
        <is>
          <t>fixture-to-fixture run included</t>
        </is>
      </c>
      <c r="AA5445" s="12">
        <f>N5445*O5445</f>
        <v/>
      </c>
    </row>
    <row r="5446">
      <c r="A5446" s="12" t="inlineStr">
        <is>
          <t>I-P-0287</t>
        </is>
      </c>
      <c r="B5446" s="12" t="inlineStr">
        <is>
          <t>I</t>
        </is>
      </c>
      <c r="C5446" s="12" t="inlineStr">
        <is>
          <t>Modular / portable power</t>
        </is>
      </c>
      <c r="D5446" s="12" t="inlineStr">
        <is>
          <t>SC-2 ammonia vaporiser electric heater</t>
        </is>
      </c>
      <c r="E5446" s="12" t="inlineStr"/>
      <c r="F5446" s="12" t="inlineStr">
        <is>
          <t>SC-2 PCM + 15 kV GCB</t>
        </is>
      </c>
      <c r="G5446" s="12" t="inlineStr"/>
      <c r="H5446" s="12" t="inlineStr">
        <is>
          <t>SC-2 ammonia flow-control unit</t>
        </is>
      </c>
      <c r="I5446" s="12" t="inlineStr">
        <is>
          <t>LV 600 V</t>
        </is>
      </c>
      <c r="J5446" s="12" t="inlineStr">
        <is>
          <t>Type TC-ER 600 V 3/C Cu XHHW-2 + ground, PVC jacket</t>
        </is>
      </c>
      <c r="K5446" s="12" t="inlineStr">
        <is>
          <t>LV|3/C+G|4</t>
        </is>
      </c>
      <c r="L5446" s="12" t="inlineStr">
        <is>
          <t>3/C+G</t>
        </is>
      </c>
      <c r="M5446" s="12" t="inlineStr">
        <is>
          <t>4</t>
        </is>
      </c>
      <c r="N5446" s="12" t="n">
        <v>1</v>
      </c>
      <c r="O5446" s="12" t="n">
        <v>1</v>
      </c>
      <c r="P5446" s="12" t="n">
        <v>480</v>
      </c>
      <c r="Q5446" s="12" t="n">
        <v>45</v>
      </c>
      <c r="R5446" s="12" t="n">
        <v>57</v>
      </c>
      <c r="S5446" s="12" t="inlineStr">
        <is>
          <t>Duct bank</t>
        </is>
      </c>
      <c r="T5446" s="15" t="n">
        <v>48</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0.8 %</t>
        </is>
      </c>
      <c r="AA5446" s="12">
        <f>N5446*O5446</f>
        <v/>
      </c>
    </row>
    <row r="5447">
      <c r="A5447" s="12" t="inlineStr">
        <is>
          <t>I-P-0288</t>
        </is>
      </c>
      <c r="B5447" s="12" t="inlineStr">
        <is>
          <t>I</t>
        </is>
      </c>
      <c r="C5447" s="12" t="inlineStr">
        <is>
          <t>Modular / portable power</t>
        </is>
      </c>
      <c r="D5447" s="12" t="inlineStr">
        <is>
          <t>Motor 1 of 2, 7.5 kW</t>
        </is>
      </c>
      <c r="E5447" s="12" t="inlineStr"/>
      <c r="F5447" s="12" t="inlineStr">
        <is>
          <t>SC-2 PCM + 15 kV GCB</t>
        </is>
      </c>
      <c r="G5447" s="12" t="inlineStr"/>
      <c r="H5447" s="12" t="inlineStr">
        <is>
          <t>SC-2 ammonia flow-control unit</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7.5</v>
      </c>
      <c r="R5447" s="12" t="n">
        <v>10.6</v>
      </c>
      <c r="S5447" s="12" t="inlineStr">
        <is>
          <t>Duct bank</t>
        </is>
      </c>
      <c r="T5447" s="15" t="n">
        <v>48</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I-P-0289</t>
        </is>
      </c>
      <c r="B5448" s="12" t="inlineStr">
        <is>
          <t>I</t>
        </is>
      </c>
      <c r="C5448" s="12" t="inlineStr">
        <is>
          <t>Modular / portable power</t>
        </is>
      </c>
      <c r="D5448" s="12" t="inlineStr">
        <is>
          <t>Motor 2 of 2, 7.5 kW</t>
        </is>
      </c>
      <c r="E5448" s="12" t="inlineStr"/>
      <c r="F5448" s="12" t="inlineStr">
        <is>
          <t>SC-2 PCM + 15 kV GCB</t>
        </is>
      </c>
      <c r="G5448" s="12" t="inlineStr"/>
      <c r="H5448" s="12" t="inlineStr">
        <is>
          <t>SC-2 ammonia flow-control unit</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7.5</v>
      </c>
      <c r="R5448" s="12" t="n">
        <v>10.6</v>
      </c>
      <c r="S5448" s="12" t="inlineStr">
        <is>
          <t>Duct bank</t>
        </is>
      </c>
      <c r="T5448" s="15" t="n">
        <v>48</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0.6 %</t>
        </is>
      </c>
      <c r="AA5448" s="12">
        <f>N5448*O5448</f>
        <v/>
      </c>
    </row>
    <row r="5449">
      <c r="A5449" s="12" t="inlineStr">
        <is>
          <t>I-P-0290</t>
        </is>
      </c>
      <c r="B5449" s="12" t="inlineStr">
        <is>
          <t>I</t>
        </is>
      </c>
      <c r="C5449" s="12" t="inlineStr">
        <is>
          <t>Modular / portable power</t>
        </is>
      </c>
      <c r="D5449" s="12" t="inlineStr">
        <is>
          <t>SC-2 water-wash tank heater</t>
        </is>
      </c>
      <c r="E5449" s="12" t="inlineStr"/>
      <c r="F5449" s="12" t="inlineStr">
        <is>
          <t>SC-2 PCM + 15 kV GCB</t>
        </is>
      </c>
      <c r="G5449" s="12" t="inlineStr"/>
      <c r="H5449" s="12" t="inlineStr">
        <is>
          <t>SC-2 auxiliary skids: fuel-gas module, water-wash skid</t>
        </is>
      </c>
      <c r="I5449" s="12" t="inlineStr">
        <is>
          <t>LV 600 V</t>
        </is>
      </c>
      <c r="J5449" s="12" t="inlineStr">
        <is>
          <t>ARMOR-X MC-HL 600 V 3/C Cu XHHW-2 + ground, CWA, black PVC (Class I Div 2)</t>
        </is>
      </c>
      <c r="K5449" s="12" t="inlineStr">
        <is>
          <t>LVAX|3/C+G|10</t>
        </is>
      </c>
      <c r="L5449" s="12" t="inlineStr">
        <is>
          <t>3/C+G</t>
        </is>
      </c>
      <c r="M5449" s="12" t="inlineStr">
        <is>
          <t>10</t>
        </is>
      </c>
      <c r="N5449" s="12" t="n">
        <v>1</v>
      </c>
      <c r="O5449" s="12" t="n">
        <v>1</v>
      </c>
      <c r="P5449" s="12" t="n">
        <v>480</v>
      </c>
      <c r="Q5449" s="12" t="n">
        <v>6</v>
      </c>
      <c r="R5449" s="12" t="n">
        <v>7.6</v>
      </c>
      <c r="S5449" s="12" t="inlineStr">
        <is>
          <t>Duct bank</t>
        </is>
      </c>
      <c r="T5449" s="15" t="n">
        <v>10</v>
      </c>
      <c r="U5449" s="15" t="n">
        <v>43</v>
      </c>
      <c r="V5449" s="15">
        <f>ROUNDUP((T5449+U5449+2*'Read Me'!$B$13)*(1+'Read Me'!$B$12),-1)</f>
        <v/>
      </c>
      <c r="W5449" s="15">
        <f>V5449*N5449*O5449</f>
        <v/>
      </c>
      <c r="X5449" s="12">
        <f>IF(LEFT(I5449,2)="MV",2*N5449*IF(L5449="1/C",O5449,1),0)</f>
        <v/>
      </c>
      <c r="Y5449" s="12">
        <f>IF(OR(LEFT(K5449,4)="LVAX",LEFT(K5449,6)="MV15AX",LEFT(K5449,4)="CTAX",LEFT(K5449,2)="W|"),2*N5449*O5449,0)</f>
        <v/>
      </c>
      <c r="Z5449" s="12" t="inlineStr">
        <is>
          <t>VD 0.2 %</t>
        </is>
      </c>
      <c r="AA5449" s="12">
        <f>N5449*O5449</f>
        <v/>
      </c>
    </row>
    <row r="5450">
      <c r="A5450" s="12" t="inlineStr">
        <is>
          <t>I-P-0291</t>
        </is>
      </c>
      <c r="B5450" s="12" t="inlineStr">
        <is>
          <t>I</t>
        </is>
      </c>
      <c r="C5450" s="12" t="inlineStr">
        <is>
          <t>Modular / portable power</t>
        </is>
      </c>
      <c r="D5450" s="12" t="inlineStr">
        <is>
          <t>Motor 1 of 1, 7.5 kW</t>
        </is>
      </c>
      <c r="E5450" s="12" t="inlineStr"/>
      <c r="F5450" s="12" t="inlineStr">
        <is>
          <t>SC-2 PCM + 15 kV GCB</t>
        </is>
      </c>
      <c r="G5450" s="12" t="inlineStr"/>
      <c r="H5450" s="12" t="inlineStr">
        <is>
          <t>SC-2 auxiliary skids: fuel-gas module, water-wash skid</t>
        </is>
      </c>
      <c r="I5450" s="12" t="inlineStr">
        <is>
          <t>LV 600 V</t>
        </is>
      </c>
      <c r="J5450" s="12" t="inlineStr">
        <is>
          <t>ARMOR-X MC-HL 600 V 3/C Cu XHHW-2 + ground, CWA, black PVC (Class I Div 2)</t>
        </is>
      </c>
      <c r="K5450" s="12" t="inlineStr">
        <is>
          <t>LVAX|3/C+G|10</t>
        </is>
      </c>
      <c r="L5450" s="12" t="inlineStr">
        <is>
          <t>3/C+G</t>
        </is>
      </c>
      <c r="M5450" s="12" t="inlineStr">
        <is>
          <t>10</t>
        </is>
      </c>
      <c r="N5450" s="12" t="n">
        <v>1</v>
      </c>
      <c r="O5450" s="12" t="n">
        <v>1</v>
      </c>
      <c r="P5450" s="12" t="n">
        <v>480</v>
      </c>
      <c r="Q5450" s="12" t="n">
        <v>7.5</v>
      </c>
      <c r="R5450" s="12" t="n">
        <v>10.6</v>
      </c>
      <c r="S5450" s="12" t="inlineStr">
        <is>
          <t>Duct bank</t>
        </is>
      </c>
      <c r="T5450" s="15" t="n">
        <v>10</v>
      </c>
      <c r="U5450" s="15" t="n">
        <v>43</v>
      </c>
      <c r="V5450" s="15">
        <f>ROUNDUP((T5450+U5450+2*'Read Me'!$B$13)*(1+'Read Me'!$B$12),-1)</f>
        <v/>
      </c>
      <c r="W5450" s="15">
        <f>V5450*N5450*O5450</f>
        <v/>
      </c>
      <c r="X5450" s="12">
        <f>IF(LEFT(I5450,2)="MV",2*N5450*IF(L5450="1/C",O5450,1),0)</f>
        <v/>
      </c>
      <c r="Y5450" s="12">
        <f>IF(OR(LEFT(K5450,4)="LVAX",LEFT(K5450,6)="MV15AX",LEFT(K5450,4)="CTAX",LEFT(K5450,2)="W|"),2*N5450*O5450,0)</f>
        <v/>
      </c>
      <c r="Z5450" s="12" t="inlineStr">
        <is>
          <t>VD 0.3 %</t>
        </is>
      </c>
      <c r="AA5450" s="12">
        <f>N5450*O5450</f>
        <v/>
      </c>
    </row>
    <row r="5451">
      <c r="A5451" s="12" t="inlineStr">
        <is>
          <t>I-P-0292</t>
        </is>
      </c>
      <c r="B5451" s="12" t="inlineStr">
        <is>
          <t>I</t>
        </is>
      </c>
      <c r="C5451" s="12" t="inlineStr">
        <is>
          <t>Modular / portable power</t>
        </is>
      </c>
      <c r="D5451" s="12" t="inlineStr">
        <is>
          <t>Motor 1 of 4, 15 kW</t>
        </is>
      </c>
      <c r="E5451" s="12" t="inlineStr"/>
      <c r="F5451" s="12" t="inlineStr">
        <is>
          <t>SC-2 PCM + 15 kV GCB</t>
        </is>
      </c>
      <c r="G5451" s="12" t="inlineStr"/>
      <c r="H5451" s="12" t="inlineStr">
        <is>
          <t>SC-2 lube-oil fin-fan cooler</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15</v>
      </c>
      <c r="R5451" s="12" t="n">
        <v>21.2</v>
      </c>
      <c r="S5451" s="12" t="inlineStr">
        <is>
          <t>Duct bank</t>
        </is>
      </c>
      <c r="T5451" s="15" t="n">
        <v>4</v>
      </c>
      <c r="U5451" s="15" t="n">
        <v>38</v>
      </c>
      <c r="V5451" s="15">
        <f>ROUNDUP((T5451+U5451+2*'Read Me'!$B$13)*(1+'Read Me'!$B$12),-1)</f>
        <v/>
      </c>
      <c r="W5451" s="15">
        <f>V5451*N5451*O5451</f>
        <v/>
      </c>
      <c r="X5451" s="12">
        <f>IF(LEFT(I5451,2)="MV",2*N5451*IF(L5451="1/C",O5451,1),0)</f>
        <v/>
      </c>
      <c r="Y5451" s="12">
        <f>IF(OR(LEFT(K5451,4)="LVAX",LEFT(K5451,6)="MV15AX",LEFT(K5451,4)="CTAX",LEFT(K5451,2)="W|"),2*N5451*O5451,0)</f>
        <v/>
      </c>
      <c r="Z5451" s="12" t="inlineStr">
        <is>
          <t>VD 0.4 %</t>
        </is>
      </c>
      <c r="AA5451" s="12">
        <f>N5451*O5451</f>
        <v/>
      </c>
    </row>
    <row r="5452">
      <c r="A5452" s="12" t="inlineStr">
        <is>
          <t>I-P-0293</t>
        </is>
      </c>
      <c r="B5452" s="12" t="inlineStr">
        <is>
          <t>I</t>
        </is>
      </c>
      <c r="C5452" s="12" t="inlineStr">
        <is>
          <t>Modular / portable power</t>
        </is>
      </c>
      <c r="D5452" s="12" t="inlineStr">
        <is>
          <t>Motor 2 of 4, 15 kW</t>
        </is>
      </c>
      <c r="E5452" s="12" t="inlineStr"/>
      <c r="F5452" s="12" t="inlineStr">
        <is>
          <t>SC-2 PCM + 15 kV GCB</t>
        </is>
      </c>
      <c r="G5452" s="12" t="inlineStr"/>
      <c r="H5452" s="12" t="inlineStr">
        <is>
          <t>SC-2 lube-oil fin-fan cooler</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15</v>
      </c>
      <c r="R5452" s="12" t="n">
        <v>21.2</v>
      </c>
      <c r="S5452" s="12" t="inlineStr">
        <is>
          <t>Duct bank</t>
        </is>
      </c>
      <c r="T5452" s="15" t="n">
        <v>4</v>
      </c>
      <c r="U5452" s="15" t="n">
        <v>38</v>
      </c>
      <c r="V5452" s="15">
        <f>ROUNDUP((T5452+U5452+2*'Read Me'!$B$13)*(1+'Read Me'!$B$12),-1)</f>
        <v/>
      </c>
      <c r="W5452" s="15">
        <f>V5452*N5452*O5452</f>
        <v/>
      </c>
      <c r="X5452" s="12">
        <f>IF(LEFT(I5452,2)="MV",2*N5452*IF(L5452="1/C",O5452,1),0)</f>
        <v/>
      </c>
      <c r="Y5452" s="12">
        <f>IF(OR(LEFT(K5452,4)="LVAX",LEFT(K5452,6)="MV15AX",LEFT(K5452,4)="CTAX",LEFT(K5452,2)="W|"),2*N5452*O5452,0)</f>
        <v/>
      </c>
      <c r="Z5452" s="12" t="inlineStr">
        <is>
          <t>VD 0.4 %</t>
        </is>
      </c>
      <c r="AA5452" s="12">
        <f>N5452*O5452</f>
        <v/>
      </c>
    </row>
    <row r="5453">
      <c r="A5453" s="12" t="inlineStr">
        <is>
          <t>I-P-0294</t>
        </is>
      </c>
      <c r="B5453" s="12" t="inlineStr">
        <is>
          <t>I</t>
        </is>
      </c>
      <c r="C5453" s="12" t="inlineStr">
        <is>
          <t>Modular / portable power</t>
        </is>
      </c>
      <c r="D5453" s="12" t="inlineStr">
        <is>
          <t>Motor 3 of 4, 15 kW</t>
        </is>
      </c>
      <c r="E5453" s="12" t="inlineStr"/>
      <c r="F5453" s="12" t="inlineStr">
        <is>
          <t>SC-2 PCM + 15 kV GCB</t>
        </is>
      </c>
      <c r="G5453" s="12" t="inlineStr"/>
      <c r="H5453" s="12" t="inlineStr">
        <is>
          <t>SC-2 lube-oil fin-fan cooler</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15</v>
      </c>
      <c r="R5453" s="12" t="n">
        <v>21.2</v>
      </c>
      <c r="S5453" s="12" t="inlineStr">
        <is>
          <t>Duct bank</t>
        </is>
      </c>
      <c r="T5453" s="15" t="n">
        <v>4</v>
      </c>
      <c r="U5453" s="15" t="n">
        <v>38</v>
      </c>
      <c r="V5453" s="15">
        <f>ROUNDUP((T5453+U5453+2*'Read Me'!$B$13)*(1+'Read Me'!$B$12),-1)</f>
        <v/>
      </c>
      <c r="W5453" s="15">
        <f>V5453*N5453*O5453</f>
        <v/>
      </c>
      <c r="X5453" s="12">
        <f>IF(LEFT(I5453,2)="MV",2*N5453*IF(L5453="1/C",O5453,1),0)</f>
        <v/>
      </c>
      <c r="Y5453" s="12">
        <f>IF(OR(LEFT(K5453,4)="LVAX",LEFT(K5453,6)="MV15AX",LEFT(K5453,4)="CTAX",LEFT(K5453,2)="W|"),2*N5453*O5453,0)</f>
        <v/>
      </c>
      <c r="Z5453" s="12" t="inlineStr">
        <is>
          <t>VD 0.4 %</t>
        </is>
      </c>
      <c r="AA5453" s="12">
        <f>N5453*O5453</f>
        <v/>
      </c>
    </row>
    <row r="5454">
      <c r="A5454" s="12" t="inlineStr">
        <is>
          <t>I-P-0295</t>
        </is>
      </c>
      <c r="B5454" s="12" t="inlineStr">
        <is>
          <t>I</t>
        </is>
      </c>
      <c r="C5454" s="12" t="inlineStr">
        <is>
          <t>Modular / portable power</t>
        </is>
      </c>
      <c r="D5454" s="12" t="inlineStr">
        <is>
          <t>Motor 4 of 4, 15 kW</t>
        </is>
      </c>
      <c r="E5454" s="12" t="inlineStr"/>
      <c r="F5454" s="12" t="inlineStr">
        <is>
          <t>SC-2 PCM + 15 kV GCB</t>
        </is>
      </c>
      <c r="G5454" s="12" t="inlineStr"/>
      <c r="H5454" s="12" t="inlineStr">
        <is>
          <t>SC-2 lube-oil fin-fan cooler</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15</v>
      </c>
      <c r="R5454" s="12" t="n">
        <v>21.2</v>
      </c>
      <c r="S5454" s="12" t="inlineStr">
        <is>
          <t>Duct bank</t>
        </is>
      </c>
      <c r="T5454" s="15" t="n">
        <v>4</v>
      </c>
      <c r="U5454" s="15" t="n">
        <v>38</v>
      </c>
      <c r="V5454" s="15">
        <f>ROUNDUP((T5454+U5454+2*'Read Me'!$B$13)*(1+'Read Me'!$B$12),-1)</f>
        <v/>
      </c>
      <c r="W5454" s="15">
        <f>V5454*N5454*O5454</f>
        <v/>
      </c>
      <c r="X5454" s="12">
        <f>IF(LEFT(I5454,2)="MV",2*N5454*IF(L5454="1/C",O5454,1),0)</f>
        <v/>
      </c>
      <c r="Y5454" s="12">
        <f>IF(OR(LEFT(K5454,4)="LVAX",LEFT(K5454,6)="MV15AX",LEFT(K5454,4)="CTAX",LEFT(K5454,2)="W|"),2*N5454*O5454,0)</f>
        <v/>
      </c>
      <c r="Z5454" s="12" t="inlineStr">
        <is>
          <t>VD 0.4 %</t>
        </is>
      </c>
      <c r="AA5454" s="12">
        <f>N5454*O5454</f>
        <v/>
      </c>
    </row>
    <row r="5455">
      <c r="A5455" s="12" t="inlineStr">
        <is>
          <t>I-P-0296</t>
        </is>
      </c>
      <c r="B5455" s="12" t="inlineStr">
        <is>
          <t>I</t>
        </is>
      </c>
      <c r="C5455" s="12" t="inlineStr">
        <is>
          <t>Modular / portable power</t>
        </is>
      </c>
      <c r="D5455" s="12" t="inlineStr">
        <is>
          <t>Area / platform lighting circuit 1 (4 fixtures)</t>
        </is>
      </c>
      <c r="E5455" s="12" t="inlineStr"/>
      <c r="F5455" s="12" t="inlineStr">
        <is>
          <t>SC-2 PCM + 15 kV GCB</t>
        </is>
      </c>
      <c r="G5455" s="12" t="inlineStr"/>
      <c r="H5455" s="12" t="inlineStr">
        <is>
          <t>SC-2 stack (80 ft)</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3</v>
      </c>
      <c r="R5455" s="12" t="n">
        <v>5</v>
      </c>
      <c r="S5455" s="12" t="inlineStr">
        <is>
          <t>Duct bank</t>
        </is>
      </c>
      <c r="T5455" s="15" t="n">
        <v>374</v>
      </c>
      <c r="U5455" s="15" t="n">
        <v>92</v>
      </c>
      <c r="V5455" s="15">
        <f>ROUNDUP((T5455+U5455+2*'Read Me'!$B$13)*(1+'Read Me'!$B$12),-1)</f>
        <v/>
      </c>
      <c r="W5455" s="15">
        <f>V5455*N5455*O5455</f>
        <v/>
      </c>
      <c r="X5455" s="12">
        <f>IF(LEFT(I5455,2)="MV",2*N5455*IF(L5455="1/C",O5455,1),0)</f>
        <v/>
      </c>
      <c r="Y5455" s="12">
        <f>IF(OR(LEFT(K5455,4)="LVAX",LEFT(K5455,6)="MV15AX",LEFT(K5455,4)="CTAX",LEFT(K5455,2)="W|"),2*N5455*O5455,0)</f>
        <v/>
      </c>
      <c r="Z5455" s="12" t="inlineStr">
        <is>
          <t>fixture-to-fixture run included</t>
        </is>
      </c>
      <c r="AA5455" s="12">
        <f>N5455*O5455</f>
        <v/>
      </c>
    </row>
    <row r="5456">
      <c r="A5456" s="12" t="inlineStr">
        <is>
          <t>I-P-0297</t>
        </is>
      </c>
      <c r="B5456" s="12" t="inlineStr">
        <is>
          <t>I</t>
        </is>
      </c>
      <c r="C5456" s="12" t="inlineStr">
        <is>
          <t>Modular / portable power</t>
        </is>
      </c>
      <c r="D5456" s="12" t="inlineStr">
        <is>
          <t>Motor 1 of 2, 185 kW</t>
        </is>
      </c>
      <c r="E5456" s="12" t="inlineStr"/>
      <c r="F5456" s="12" t="inlineStr">
        <is>
          <t>SC-2 PCM + 15 kV GCB</t>
        </is>
      </c>
      <c r="G5456" s="12" t="inlineStr"/>
      <c r="H5456" s="12" t="inlineStr">
        <is>
          <t>SC-2 tempering-air fans (2 x 100 %)</t>
        </is>
      </c>
      <c r="I5456" s="12" t="inlineStr">
        <is>
          <t>LV 600 V</t>
        </is>
      </c>
      <c r="J5456" s="12" t="inlineStr">
        <is>
          <t>Type TC-ER 600 V 3/C Cu XHHW-2 + ground, PVC jacket</t>
        </is>
      </c>
      <c r="K5456" s="12" t="inlineStr">
        <is>
          <t>LV|3/C+G|500</t>
        </is>
      </c>
      <c r="L5456" s="12" t="inlineStr">
        <is>
          <t>3/C+G</t>
        </is>
      </c>
      <c r="M5456" s="12" t="inlineStr">
        <is>
          <t>500 kcmil</t>
        </is>
      </c>
      <c r="N5456" s="12" t="n">
        <v>1</v>
      </c>
      <c r="O5456" s="12" t="n">
        <v>1</v>
      </c>
      <c r="P5456" s="12" t="n">
        <v>480</v>
      </c>
      <c r="Q5456" s="12" t="n">
        <v>185</v>
      </c>
      <c r="R5456" s="12" t="n">
        <v>261.8</v>
      </c>
      <c r="S5456" s="12" t="inlineStr">
        <is>
          <t>Duct bank</t>
        </is>
      </c>
      <c r="T5456" s="15" t="n">
        <v>35</v>
      </c>
      <c r="U5456" s="15" t="n">
        <v>79</v>
      </c>
      <c r="V5456" s="15">
        <f>ROUNDUP((T5456+U5456+2*'Read Me'!$B$13)*(1+'Read Me'!$B$12),-1)</f>
        <v/>
      </c>
      <c r="W5456" s="15">
        <f>V5456*N5456*O5456</f>
        <v/>
      </c>
      <c r="X5456" s="12">
        <f>IF(LEFT(I5456,2)="MV",2*N5456*IF(L5456="1/C",O5456,1),0)</f>
        <v/>
      </c>
      <c r="Y5456" s="12">
        <f>IF(OR(LEFT(K5456,4)="LVAX",LEFT(K5456,6)="MV15AX",LEFT(K5456,4)="CTAX",LEFT(K5456,2)="W|"),2*N5456*O5456,0)</f>
        <v/>
      </c>
      <c r="Z5456" s="12" t="inlineStr">
        <is>
          <t>VD 0.3 %</t>
        </is>
      </c>
      <c r="AA5456" s="12">
        <f>N5456*O5456</f>
        <v/>
      </c>
    </row>
    <row r="5457">
      <c r="A5457" s="12" t="inlineStr">
        <is>
          <t>I-P-0298</t>
        </is>
      </c>
      <c r="B5457" s="12" t="inlineStr">
        <is>
          <t>I</t>
        </is>
      </c>
      <c r="C5457" s="12" t="inlineStr">
        <is>
          <t>Modular / portable power</t>
        </is>
      </c>
      <c r="D5457" s="12" t="inlineStr">
        <is>
          <t>Motor 2 of 2, 185 kW</t>
        </is>
      </c>
      <c r="E5457" s="12" t="inlineStr"/>
      <c r="F5457" s="12" t="inlineStr">
        <is>
          <t>SC-2 PCM + 15 kV GCB</t>
        </is>
      </c>
      <c r="G5457" s="12" t="inlineStr"/>
      <c r="H5457" s="12" t="inlineStr">
        <is>
          <t>SC-2 tempering-air fans (2 x 100 %)</t>
        </is>
      </c>
      <c r="I5457" s="12" t="inlineStr">
        <is>
          <t>LV 600 V</t>
        </is>
      </c>
      <c r="J5457" s="12" t="inlineStr">
        <is>
          <t>Type TC-ER 600 V 3/C Cu XHHW-2 + ground, PVC jacket</t>
        </is>
      </c>
      <c r="K5457" s="12" t="inlineStr">
        <is>
          <t>LV|3/C+G|500</t>
        </is>
      </c>
      <c r="L5457" s="12" t="inlineStr">
        <is>
          <t>3/C+G</t>
        </is>
      </c>
      <c r="M5457" s="12" t="inlineStr">
        <is>
          <t>500 kcmil</t>
        </is>
      </c>
      <c r="N5457" s="12" t="n">
        <v>1</v>
      </c>
      <c r="O5457" s="12" t="n">
        <v>1</v>
      </c>
      <c r="P5457" s="12" t="n">
        <v>480</v>
      </c>
      <c r="Q5457" s="12" t="n">
        <v>185</v>
      </c>
      <c r="R5457" s="12" t="n">
        <v>261.8</v>
      </c>
      <c r="S5457" s="12" t="inlineStr">
        <is>
          <t>Duct bank</t>
        </is>
      </c>
      <c r="T5457" s="15" t="n">
        <v>35</v>
      </c>
      <c r="U5457" s="15" t="n">
        <v>79</v>
      </c>
      <c r="V5457" s="15">
        <f>ROUNDUP((T5457+U5457+2*'Read Me'!$B$13)*(1+'Read Me'!$B$12),-1)</f>
        <v/>
      </c>
      <c r="W5457" s="15">
        <f>V5457*N5457*O5457</f>
        <v/>
      </c>
      <c r="X5457" s="12">
        <f>IF(LEFT(I5457,2)="MV",2*N5457*IF(L5457="1/C",O5457,1),0)</f>
        <v/>
      </c>
      <c r="Y5457" s="12">
        <f>IF(OR(LEFT(K5457,4)="LVAX",LEFT(K5457,6)="MV15AX",LEFT(K5457,4)="CTAX",LEFT(K5457,2)="W|"),2*N5457*O5457,0)</f>
        <v/>
      </c>
      <c r="Z5457" s="12" t="inlineStr">
        <is>
          <t>VD 0.3 %</t>
        </is>
      </c>
      <c r="AA5457" s="12">
        <f>N5457*O5457</f>
        <v/>
      </c>
    </row>
    <row r="5458">
      <c r="A5458" s="12" t="inlineStr">
        <is>
          <t>I-P-0299</t>
        </is>
      </c>
      <c r="B5458" s="12" t="inlineStr">
        <is>
          <t>I</t>
        </is>
      </c>
      <c r="C5458" s="12" t="inlineStr">
        <is>
          <t>Modular / portable power</t>
        </is>
      </c>
      <c r="D5458" s="12" t="inlineStr">
        <is>
          <t>Area / platform lighting circuit 1 (4 fixtures)</t>
        </is>
      </c>
      <c r="E5458" s="12" t="inlineStr"/>
      <c r="F5458" s="12" t="inlineStr">
        <is>
          <t>SC-2 PCM + 15 kV GCB</t>
        </is>
      </c>
      <c r="G5458" s="12" t="inlineStr"/>
      <c r="H5458" s="12" t="inlineStr">
        <is>
          <t>SC-2 tempering-air fans (2 x 100 %)</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3</v>
      </c>
      <c r="R5458" s="12" t="n">
        <v>5</v>
      </c>
      <c r="S5458" s="12" t="inlineStr">
        <is>
          <t>Duct bank</t>
        </is>
      </c>
      <c r="T5458" s="15" t="n">
        <v>335</v>
      </c>
      <c r="U5458" s="15" t="n">
        <v>79</v>
      </c>
      <c r="V5458" s="15">
        <f>ROUNDUP((T5458+U5458+2*'Read Me'!$B$13)*(1+'Read Me'!$B$12),-1)</f>
        <v/>
      </c>
      <c r="W5458" s="15">
        <f>V5458*N5458*O5458</f>
        <v/>
      </c>
      <c r="X5458" s="12">
        <f>IF(LEFT(I5458,2)="MV",2*N5458*IF(L5458="1/C",O5458,1),0)</f>
        <v/>
      </c>
      <c r="Y5458" s="12">
        <f>IF(OR(LEFT(K5458,4)="LVAX",LEFT(K5458,6)="MV15AX",LEFT(K5458,4)="CTAX",LEFT(K5458,2)="W|"),2*N5458*O5458,0)</f>
        <v/>
      </c>
      <c r="Z5458" s="12" t="inlineStr">
        <is>
          <t>fixture-to-fixture run included</t>
        </is>
      </c>
      <c r="AA5458" s="12">
        <f>N5458*O5458</f>
        <v/>
      </c>
    </row>
    <row r="5459">
      <c r="A5459" s="12" t="inlineStr">
        <is>
          <t>I-P-0300</t>
        </is>
      </c>
      <c r="B5459" s="12" t="inlineStr">
        <is>
          <t>I</t>
        </is>
      </c>
      <c r="C5459" s="12" t="inlineStr">
        <is>
          <t>Modular / portable power</t>
        </is>
      </c>
      <c r="D5459" s="12" t="inlineStr">
        <is>
          <t>SC-2 emergency DC lube-oil pump (125 V DC, coast-down)</t>
        </is>
      </c>
      <c r="E5459" s="12" t="inlineStr"/>
      <c r="F5459" s="12" t="inlineStr">
        <is>
          <t>SC-2 PCM + 15 kV GCB</t>
        </is>
      </c>
      <c r="G5459" s="12" t="inlineStr">
        <is>
          <t>SC-2</t>
        </is>
      </c>
      <c r="H5459" s="12" t="inlineStr">
        <is>
          <t>SC-2: aeroderivative simple-cycle unit (LM6000 class)</t>
        </is>
      </c>
      <c r="I5459" s="12" t="inlineStr">
        <is>
          <t>LV 600 V</t>
        </is>
      </c>
      <c r="J5459" s="12" t="inlineStr">
        <is>
          <t>XHHW-2 600 V 1/C Cu (feeder sets in tray / duct)</t>
        </is>
      </c>
      <c r="K5459" s="12" t="inlineStr">
        <is>
          <t>LV1C|1/C|2</t>
        </is>
      </c>
      <c r="L5459" s="12" t="inlineStr">
        <is>
          <t>1/C</t>
        </is>
      </c>
      <c r="M5459" s="12" t="inlineStr">
        <is>
          <t>2</t>
        </is>
      </c>
      <c r="N5459" s="12" t="n">
        <v>1</v>
      </c>
      <c r="O5459" s="12" t="n">
        <v>2</v>
      </c>
      <c r="P5459" s="12" t="n">
        <v>125</v>
      </c>
      <c r="Q5459" s="12" t="n">
        <v>7.5</v>
      </c>
      <c r="R5459" s="12" t="n">
        <v>65</v>
      </c>
      <c r="S5459" s="12" t="inlineStr">
        <is>
          <t>Duct bank</t>
        </is>
      </c>
      <c r="T5459" s="15" t="n">
        <v>35</v>
      </c>
      <c r="U5459" s="15" t="n">
        <v>32</v>
      </c>
      <c r="V5459" s="15">
        <f>ROUNDUP((T5459+U5459+2*'Read Me'!$B$13)*(1+'Read Me'!$B$12),-1)</f>
        <v/>
      </c>
      <c r="W5459" s="15">
        <f>V5459*N5459*O5459</f>
        <v/>
      </c>
      <c r="X5459" s="12">
        <f>IF(LEFT(I5459,2)="MV",2*N5459*IF(L5459="1/C",O5459,1),0)</f>
        <v/>
      </c>
      <c r="Y5459" s="12">
        <f>IF(OR(LEFT(K5459,4)="LVAX",LEFT(K5459,6)="MV15AX",LEFT(K5459,4)="CTAX",LEFT(K5459,2)="W|"),2*N5459*O5459,0)</f>
        <v/>
      </c>
      <c r="Z5459" s="12" t="inlineStr">
        <is>
          <t>LM6000 class: DC pump keeps the bearings fed on loss of AC</t>
        </is>
      </c>
      <c r="AA5459" s="12">
        <f>N5459*O5459</f>
        <v/>
      </c>
    </row>
    <row r="5460">
      <c r="A5460" s="12" t="inlineStr">
        <is>
          <t>I-P-0301</t>
        </is>
      </c>
      <c r="B5460" s="12" t="inlineStr">
        <is>
          <t>I</t>
        </is>
      </c>
      <c r="C5460" s="12" t="inlineStr">
        <is>
          <t>Modular / portable power</t>
        </is>
      </c>
      <c r="D5460" s="12" t="inlineStr">
        <is>
          <t>SC-2 120 V AC UPS to the unit control and protection</t>
        </is>
      </c>
      <c r="E5460" s="12" t="inlineStr"/>
      <c r="F5460" s="12" t="inlineStr">
        <is>
          <t>SC-2 PCM + 15 kV GCB</t>
        </is>
      </c>
      <c r="G5460" s="12" t="inlineStr">
        <is>
          <t>SC-2</t>
        </is>
      </c>
      <c r="H5460" s="12" t="inlineStr">
        <is>
          <t>SC-2: aeroderivative simple-cycle unit (LM6000 class)</t>
        </is>
      </c>
      <c r="I5460" s="12" t="inlineStr">
        <is>
          <t>LV 600 V</t>
        </is>
      </c>
      <c r="J5460" s="12" t="inlineStr">
        <is>
          <t>XHHW-2 600 V 1/C Cu (feeder sets in tray / duct)</t>
        </is>
      </c>
      <c r="K5460" s="12" t="inlineStr">
        <is>
          <t>LV1C|1/C|6</t>
        </is>
      </c>
      <c r="L5460" s="12" t="inlineStr">
        <is>
          <t>1/C</t>
        </is>
      </c>
      <c r="M5460" s="12" t="inlineStr">
        <is>
          <t>6</t>
        </is>
      </c>
      <c r="N5460" s="12" t="n">
        <v>1</v>
      </c>
      <c r="O5460" s="12" t="n">
        <v>2</v>
      </c>
      <c r="P5460" s="12" t="n">
        <v>120</v>
      </c>
      <c r="Q5460" s="12" t="n">
        <v>5</v>
      </c>
      <c r="R5460" s="12" t="n"/>
      <c r="S5460" s="12" t="inlineStr">
        <is>
          <t>Duct bank</t>
        </is>
      </c>
      <c r="T5460" s="15" t="n">
        <v>35</v>
      </c>
      <c r="U5460" s="15" t="n">
        <v>32</v>
      </c>
      <c r="V5460" s="15">
        <f>ROUNDUP((T5460+U5460+2*'Read Me'!$B$13)*(1+'Read Me'!$B$12),-1)</f>
        <v/>
      </c>
      <c r="W5460" s="15">
        <f>V5460*N5460*O5460</f>
        <v/>
      </c>
      <c r="X5460" s="12">
        <f>IF(LEFT(I5460,2)="MV",2*N5460*IF(L5460="1/C",O5460,1),0)</f>
        <v/>
      </c>
      <c r="Y5460" s="12">
        <f>IF(OR(LEFT(K5460,4)="LVAX",LEFT(K5460,6)="MV15AX",LEFT(K5460,4)="CTAX",LEFT(K5460,2)="W|"),2*N5460*O5460,0)</f>
        <v/>
      </c>
      <c r="Z5460" s="12" t="inlineStr"/>
      <c r="AA5460" s="12">
        <f>N5460*O5460</f>
        <v/>
      </c>
    </row>
    <row r="5461">
      <c r="A5461" s="12" t="inlineStr">
        <is>
          <t>I-P-0302</t>
        </is>
      </c>
      <c r="B5461" s="12" t="inlineStr">
        <is>
          <t>I</t>
        </is>
      </c>
      <c r="C5461" s="12" t="inlineStr">
        <is>
          <t>Modular / portable power</t>
        </is>
      </c>
      <c r="D5461" s="12" t="inlineStr">
        <is>
          <t>SC-2 hydraulic starter pump motor (start sequence only)</t>
        </is>
      </c>
      <c r="E5461" s="12" t="inlineStr"/>
      <c r="F5461" s="12" t="inlineStr">
        <is>
          <t>SC-2 PCM + 15 kV GCB</t>
        </is>
      </c>
      <c r="G5461" s="12" t="inlineStr">
        <is>
          <t>SC-2</t>
        </is>
      </c>
      <c r="H5461" s="12" t="inlineStr">
        <is>
          <t>SC-2: aeroderivative simple-cycle unit (LM6000 class)</t>
        </is>
      </c>
      <c r="I5461" s="12" t="inlineStr">
        <is>
          <t>LV 600 V</t>
        </is>
      </c>
      <c r="J5461" s="12" t="inlineStr">
        <is>
          <t>Type TC-ER 600 V 3/C Cu XHHW-2 + ground, PVC jacket</t>
        </is>
      </c>
      <c r="K5461" s="12" t="inlineStr">
        <is>
          <t>LV|3/C+G|3/0</t>
        </is>
      </c>
      <c r="L5461" s="12" t="inlineStr">
        <is>
          <t>3/C+G</t>
        </is>
      </c>
      <c r="M5461" s="12" t="inlineStr">
        <is>
          <t>3/0</t>
        </is>
      </c>
      <c r="N5461" s="12" t="n">
        <v>2</v>
      </c>
      <c r="O5461" s="12" t="n">
        <v>1</v>
      </c>
      <c r="P5461" s="12" t="n">
        <v>480</v>
      </c>
      <c r="Q5461" s="12" t="n">
        <v>225</v>
      </c>
      <c r="R5461" s="12" t="n">
        <v>318.4</v>
      </c>
      <c r="S5461" s="12" t="inlineStr">
        <is>
          <t>Duct bank</t>
        </is>
      </c>
      <c r="T5461" s="15" t="n">
        <v>35</v>
      </c>
      <c r="U5461" s="15" t="n">
        <v>32</v>
      </c>
      <c r="V5461" s="15">
        <f>ROUNDUP((T5461+U5461+2*'Read Me'!$B$13)*(1+'Read Me'!$B$12),-1)</f>
        <v/>
      </c>
      <c r="W5461" s="15">
        <f>V5461*N5461*O5461</f>
        <v/>
      </c>
      <c r="X5461" s="12">
        <f>IF(LEFT(I5461,2)="MV",2*N5461*IF(L5461="1/C",O5461,1),0)</f>
        <v/>
      </c>
      <c r="Y5461" s="12">
        <f>IF(OR(LEFT(K5461,4)="LVAX",LEFT(K5461,6)="MV15AX",LEFT(K5461,4)="CTAX",LEFT(K5461,2)="W|"),2*N5461*O5461,0)</f>
        <v/>
      </c>
      <c r="Z5461" s="12" t="inlineStr">
        <is>
          <t>typical LM6000 hydraulic start; verify starter type / rating with the OEM</t>
        </is>
      </c>
      <c r="AA5461" s="12">
        <f>N5461*O5461</f>
        <v/>
      </c>
    </row>
    <row r="5462">
      <c r="A5462" s="12" t="inlineStr">
        <is>
          <t>I-P-0303</t>
        </is>
      </c>
      <c r="B5462" s="12" t="inlineStr">
        <is>
          <t>I</t>
        </is>
      </c>
      <c r="C5462" s="12" t="inlineStr">
        <is>
          <t>Modular / portable power</t>
        </is>
      </c>
      <c r="D5462" s="12" t="inlineStr">
        <is>
          <t>SC-2 480 V welding receptacle 1</t>
        </is>
      </c>
      <c r="E5462" s="12" t="inlineStr"/>
      <c r="F5462" s="12" t="inlineStr">
        <is>
          <t>SC-2 PCM + 15 kV GCB</t>
        </is>
      </c>
      <c r="G5462" s="12" t="inlineStr">
        <is>
          <t>SC-2</t>
        </is>
      </c>
      <c r="H5462" s="12" t="inlineStr">
        <is>
          <t>SC-2: aeroderivative simple-cycle unit (LM6000 class)</t>
        </is>
      </c>
      <c r="I5462" s="12" t="inlineStr">
        <is>
          <t>LV 600 V</t>
        </is>
      </c>
      <c r="J5462" s="12" t="inlineStr">
        <is>
          <t>Type TC-ER 600 V 3/C Cu XHHW-2 + ground, PVC jacket</t>
        </is>
      </c>
      <c r="K5462" s="12" t="inlineStr">
        <is>
          <t>LV|3/C+G|2</t>
        </is>
      </c>
      <c r="L5462" s="12" t="inlineStr">
        <is>
          <t>3/C+G</t>
        </is>
      </c>
      <c r="M5462" s="12" t="inlineStr">
        <is>
          <t>2</t>
        </is>
      </c>
      <c r="N5462" s="12" t="n">
        <v>1</v>
      </c>
      <c r="O5462" s="12" t="n">
        <v>1</v>
      </c>
      <c r="P5462" s="12" t="n">
        <v>480</v>
      </c>
      <c r="Q5462" s="12" t="n">
        <v>60</v>
      </c>
      <c r="R5462" s="12" t="n">
        <v>76</v>
      </c>
      <c r="S5462" s="12" t="inlineStr">
        <is>
          <t>Duct bank</t>
        </is>
      </c>
      <c r="T5462" s="15" t="n">
        <v>35</v>
      </c>
      <c r="U5462" s="15" t="n">
        <v>32</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I-P-0304</t>
        </is>
      </c>
      <c r="B5463" s="12" t="inlineStr">
        <is>
          <t>I</t>
        </is>
      </c>
      <c r="C5463" s="12" t="inlineStr">
        <is>
          <t>Modular / portable power</t>
        </is>
      </c>
      <c r="D5463" s="12" t="inlineStr">
        <is>
          <t>SC-2 480 V welding receptacle 2</t>
        </is>
      </c>
      <c r="E5463" s="12" t="inlineStr"/>
      <c r="F5463" s="12" t="inlineStr">
        <is>
          <t>SC-2 PCM + 15 kV GCB</t>
        </is>
      </c>
      <c r="G5463" s="12" t="inlineStr">
        <is>
          <t>SC-2</t>
        </is>
      </c>
      <c r="H5463" s="12" t="inlineStr">
        <is>
          <t>SC-2: aeroderivative simple-cycle unit (LM6000 class)</t>
        </is>
      </c>
      <c r="I5463" s="12" t="inlineStr">
        <is>
          <t>LV 600 V</t>
        </is>
      </c>
      <c r="J5463" s="12" t="inlineStr">
        <is>
          <t>Type TC-ER 600 V 3/C Cu XHHW-2 + ground, PVC jacket</t>
        </is>
      </c>
      <c r="K5463" s="12" t="inlineStr">
        <is>
          <t>LV|3/C+G|2</t>
        </is>
      </c>
      <c r="L5463" s="12" t="inlineStr">
        <is>
          <t>3/C+G</t>
        </is>
      </c>
      <c r="M5463" s="12" t="inlineStr">
        <is>
          <t>2</t>
        </is>
      </c>
      <c r="N5463" s="12" t="n">
        <v>1</v>
      </c>
      <c r="O5463" s="12" t="n">
        <v>1</v>
      </c>
      <c r="P5463" s="12" t="n">
        <v>480</v>
      </c>
      <c r="Q5463" s="12" t="n">
        <v>60</v>
      </c>
      <c r="R5463" s="12" t="n">
        <v>76</v>
      </c>
      <c r="S5463" s="12" t="inlineStr">
        <is>
          <t>Duct bank</t>
        </is>
      </c>
      <c r="T5463" s="15" t="n">
        <v>35</v>
      </c>
      <c r="U5463" s="15" t="n">
        <v>32</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I-P-0305</t>
        </is>
      </c>
      <c r="B5464" s="12" t="inlineStr">
        <is>
          <t>I</t>
        </is>
      </c>
      <c r="C5464" s="12" t="inlineStr">
        <is>
          <t>Modular / portable power</t>
        </is>
      </c>
      <c r="D5464" s="12" t="inlineStr">
        <is>
          <t>Motor 1 of 10, 30 kW</t>
        </is>
      </c>
      <c r="E5464" s="12" t="inlineStr"/>
      <c r="F5464" s="12" t="inlineStr">
        <is>
          <t>SC-2 PCM + 15 kV GCB</t>
        </is>
      </c>
      <c r="G5464" s="12" t="inlineStr">
        <is>
          <t>SC-2</t>
        </is>
      </c>
      <c r="H5464" s="12" t="inlineStr">
        <is>
          <t>SC-2: aeroderivative simple-cycle unit (LM6000 class)</t>
        </is>
      </c>
      <c r="I5464" s="12" t="inlineStr">
        <is>
          <t>LV 600 V</t>
        </is>
      </c>
      <c r="J5464" s="12" t="inlineStr">
        <is>
          <t>Type TC-ER 600 V 3/C Cu XHHW-2 + ground, PVC jacket</t>
        </is>
      </c>
      <c r="K5464" s="12" t="inlineStr">
        <is>
          <t>LV|3/C+G|6</t>
        </is>
      </c>
      <c r="L5464" s="12" t="inlineStr">
        <is>
          <t>3/C+G</t>
        </is>
      </c>
      <c r="M5464" s="12" t="inlineStr">
        <is>
          <t>6</t>
        </is>
      </c>
      <c r="N5464" s="12" t="n">
        <v>1</v>
      </c>
      <c r="O5464" s="12" t="n">
        <v>1</v>
      </c>
      <c r="P5464" s="12" t="n">
        <v>480</v>
      </c>
      <c r="Q5464" s="12" t="n">
        <v>30</v>
      </c>
      <c r="R5464" s="12" t="n">
        <v>42.5</v>
      </c>
      <c r="S5464" s="12" t="inlineStr">
        <is>
          <t>Duct bank</t>
        </is>
      </c>
      <c r="T5464" s="15" t="n">
        <v>35</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is>
          <t>VD 0.6 %</t>
        </is>
      </c>
      <c r="AA5464" s="12">
        <f>N5464*O5464</f>
        <v/>
      </c>
    </row>
    <row r="5465">
      <c r="A5465" s="12" t="inlineStr">
        <is>
          <t>I-P-0306</t>
        </is>
      </c>
      <c r="B5465" s="12" t="inlineStr">
        <is>
          <t>I</t>
        </is>
      </c>
      <c r="C5465" s="12" t="inlineStr">
        <is>
          <t>Modular / portable power</t>
        </is>
      </c>
      <c r="D5465" s="12" t="inlineStr">
        <is>
          <t>Motor 2 of 10, 30 kW</t>
        </is>
      </c>
      <c r="E5465" s="12" t="inlineStr"/>
      <c r="F5465" s="12" t="inlineStr">
        <is>
          <t>SC-2 PCM + 15 kV GCB</t>
        </is>
      </c>
      <c r="G5465" s="12" t="inlineStr">
        <is>
          <t>SC-2</t>
        </is>
      </c>
      <c r="H5465" s="12" t="inlineStr">
        <is>
          <t>SC-2: aeroderivative simple-cycle unit (LM6000 class)</t>
        </is>
      </c>
      <c r="I5465" s="12" t="inlineStr">
        <is>
          <t>LV 600 V</t>
        </is>
      </c>
      <c r="J5465" s="12" t="inlineStr">
        <is>
          <t>Type TC-ER 600 V 3/C Cu XHHW-2 + ground, PVC jacket</t>
        </is>
      </c>
      <c r="K5465" s="12" t="inlineStr">
        <is>
          <t>LV|3/C+G|6</t>
        </is>
      </c>
      <c r="L5465" s="12" t="inlineStr">
        <is>
          <t>3/C+G</t>
        </is>
      </c>
      <c r="M5465" s="12" t="inlineStr">
        <is>
          <t>6</t>
        </is>
      </c>
      <c r="N5465" s="12" t="n">
        <v>1</v>
      </c>
      <c r="O5465" s="12" t="n">
        <v>1</v>
      </c>
      <c r="P5465" s="12" t="n">
        <v>480</v>
      </c>
      <c r="Q5465" s="12" t="n">
        <v>30</v>
      </c>
      <c r="R5465" s="12" t="n">
        <v>42.5</v>
      </c>
      <c r="S5465" s="12" t="inlineStr">
        <is>
          <t>Duct bank</t>
        </is>
      </c>
      <c r="T5465" s="15" t="n">
        <v>35</v>
      </c>
      <c r="U5465" s="15" t="n">
        <v>32</v>
      </c>
      <c r="V5465" s="15">
        <f>ROUNDUP((T5465+U5465+2*'Read Me'!$B$13)*(1+'Read Me'!$B$12),-1)</f>
        <v/>
      </c>
      <c r="W5465" s="15">
        <f>V5465*N5465*O5465</f>
        <v/>
      </c>
      <c r="X5465" s="12">
        <f>IF(LEFT(I5465,2)="MV",2*N5465*IF(L5465="1/C",O5465,1),0)</f>
        <v/>
      </c>
      <c r="Y5465" s="12">
        <f>IF(OR(LEFT(K5465,4)="LVAX",LEFT(K5465,6)="MV15AX",LEFT(K5465,4)="CTAX",LEFT(K5465,2)="W|"),2*N5465*O5465,0)</f>
        <v/>
      </c>
      <c r="Z5465" s="12" t="inlineStr">
        <is>
          <t>VD 0.6 %</t>
        </is>
      </c>
      <c r="AA5465" s="12">
        <f>N5465*O5465</f>
        <v/>
      </c>
    </row>
    <row r="5466">
      <c r="A5466" s="12" t="inlineStr">
        <is>
          <t>I-P-0307</t>
        </is>
      </c>
      <c r="B5466" s="12" t="inlineStr">
        <is>
          <t>I</t>
        </is>
      </c>
      <c r="C5466" s="12" t="inlineStr">
        <is>
          <t>Modular / portable power</t>
        </is>
      </c>
      <c r="D5466" s="12" t="inlineStr">
        <is>
          <t>Motor 3 of 10, 30 kW</t>
        </is>
      </c>
      <c r="E5466" s="12" t="inlineStr"/>
      <c r="F5466" s="12" t="inlineStr">
        <is>
          <t>SC-2 PCM + 15 kV GCB</t>
        </is>
      </c>
      <c r="G5466" s="12" t="inlineStr">
        <is>
          <t>SC-2</t>
        </is>
      </c>
      <c r="H5466" s="12" t="inlineStr">
        <is>
          <t>SC-2: aeroderivative simple-cycle unit (LM6000 class)</t>
        </is>
      </c>
      <c r="I5466" s="12" t="inlineStr">
        <is>
          <t>LV 600 V</t>
        </is>
      </c>
      <c r="J5466" s="12" t="inlineStr">
        <is>
          <t>Type TC-ER 600 V 3/C Cu XHHW-2 + ground, PVC jacket</t>
        </is>
      </c>
      <c r="K5466" s="12" t="inlineStr">
        <is>
          <t>LV|3/C+G|6</t>
        </is>
      </c>
      <c r="L5466" s="12" t="inlineStr">
        <is>
          <t>3/C+G</t>
        </is>
      </c>
      <c r="M5466" s="12" t="inlineStr">
        <is>
          <t>6</t>
        </is>
      </c>
      <c r="N5466" s="12" t="n">
        <v>1</v>
      </c>
      <c r="O5466" s="12" t="n">
        <v>1</v>
      </c>
      <c r="P5466" s="12" t="n">
        <v>480</v>
      </c>
      <c r="Q5466" s="12" t="n">
        <v>30</v>
      </c>
      <c r="R5466" s="12" t="n">
        <v>42.5</v>
      </c>
      <c r="S5466" s="12" t="inlineStr">
        <is>
          <t>Duct bank</t>
        </is>
      </c>
      <c r="T5466" s="15" t="n">
        <v>35</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is>
          <t>VD 0.6 %</t>
        </is>
      </c>
      <c r="AA5466" s="12">
        <f>N5466*O5466</f>
        <v/>
      </c>
    </row>
    <row r="5467">
      <c r="A5467" s="12" t="inlineStr">
        <is>
          <t>I-P-0308</t>
        </is>
      </c>
      <c r="B5467" s="12" t="inlineStr">
        <is>
          <t>I</t>
        </is>
      </c>
      <c r="C5467" s="12" t="inlineStr">
        <is>
          <t>Modular / portable power</t>
        </is>
      </c>
      <c r="D5467" s="12" t="inlineStr">
        <is>
          <t>Motor 4 of 10, 30 kW</t>
        </is>
      </c>
      <c r="E5467" s="12" t="inlineStr"/>
      <c r="F5467" s="12" t="inlineStr">
        <is>
          <t>SC-2 PCM + 15 kV GCB</t>
        </is>
      </c>
      <c r="G5467" s="12" t="inlineStr">
        <is>
          <t>SC-2</t>
        </is>
      </c>
      <c r="H5467" s="12" t="inlineStr">
        <is>
          <t>SC-2: aeroderivative simple-cycle unit (LM6000 class)</t>
        </is>
      </c>
      <c r="I5467" s="12" t="inlineStr">
        <is>
          <t>LV 600 V</t>
        </is>
      </c>
      <c r="J5467" s="12" t="inlineStr">
        <is>
          <t>Type TC-ER 600 V 3/C Cu XHHW-2 + ground, PVC jacket</t>
        </is>
      </c>
      <c r="K5467" s="12" t="inlineStr">
        <is>
          <t>LV|3/C+G|6</t>
        </is>
      </c>
      <c r="L5467" s="12" t="inlineStr">
        <is>
          <t>3/C+G</t>
        </is>
      </c>
      <c r="M5467" s="12" t="inlineStr">
        <is>
          <t>6</t>
        </is>
      </c>
      <c r="N5467" s="12" t="n">
        <v>1</v>
      </c>
      <c r="O5467" s="12" t="n">
        <v>1</v>
      </c>
      <c r="P5467" s="12" t="n">
        <v>480</v>
      </c>
      <c r="Q5467" s="12" t="n">
        <v>30</v>
      </c>
      <c r="R5467" s="12" t="n">
        <v>42.5</v>
      </c>
      <c r="S5467" s="12" t="inlineStr">
        <is>
          <t>Duct bank</t>
        </is>
      </c>
      <c r="T5467" s="15" t="n">
        <v>35</v>
      </c>
      <c r="U5467" s="15" t="n">
        <v>32</v>
      </c>
      <c r="V5467" s="15">
        <f>ROUNDUP((T5467+U5467+2*'Read Me'!$B$13)*(1+'Read Me'!$B$12),-1)</f>
        <v/>
      </c>
      <c r="W5467" s="15">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I-P-0309</t>
        </is>
      </c>
      <c r="B5468" s="12" t="inlineStr">
        <is>
          <t>I</t>
        </is>
      </c>
      <c r="C5468" s="12" t="inlineStr">
        <is>
          <t>Modular / portable power</t>
        </is>
      </c>
      <c r="D5468" s="12" t="inlineStr">
        <is>
          <t>Motor 5 of 10, 30 kW</t>
        </is>
      </c>
      <c r="E5468" s="12" t="inlineStr"/>
      <c r="F5468" s="12" t="inlineStr">
        <is>
          <t>SC-2 PCM + 15 kV GCB</t>
        </is>
      </c>
      <c r="G5468" s="12" t="inlineStr">
        <is>
          <t>SC-2</t>
        </is>
      </c>
      <c r="H5468" s="12" t="inlineStr">
        <is>
          <t>SC-2: aeroderivative simple-cycle unit (LM6000 class)</t>
        </is>
      </c>
      <c r="I5468" s="12" t="inlineStr">
        <is>
          <t>LV 600 V</t>
        </is>
      </c>
      <c r="J5468" s="12" t="inlineStr">
        <is>
          <t>Type TC-ER 600 V 3/C Cu XHHW-2 + ground, PVC jacket</t>
        </is>
      </c>
      <c r="K5468" s="12" t="inlineStr">
        <is>
          <t>LV|3/C+G|6</t>
        </is>
      </c>
      <c r="L5468" s="12" t="inlineStr">
        <is>
          <t>3/C+G</t>
        </is>
      </c>
      <c r="M5468" s="12" t="inlineStr">
        <is>
          <t>6</t>
        </is>
      </c>
      <c r="N5468" s="12" t="n">
        <v>1</v>
      </c>
      <c r="O5468" s="12" t="n">
        <v>1</v>
      </c>
      <c r="P5468" s="12" t="n">
        <v>480</v>
      </c>
      <c r="Q5468" s="12" t="n">
        <v>30</v>
      </c>
      <c r="R5468" s="12" t="n">
        <v>42.5</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VD 0.6 %</t>
        </is>
      </c>
      <c r="AA5468" s="12">
        <f>N5468*O5468</f>
        <v/>
      </c>
    </row>
    <row r="5469">
      <c r="A5469" s="12" t="inlineStr">
        <is>
          <t>I-P-0310</t>
        </is>
      </c>
      <c r="B5469" s="12" t="inlineStr">
        <is>
          <t>I</t>
        </is>
      </c>
      <c r="C5469" s="12" t="inlineStr">
        <is>
          <t>Modular / portable power</t>
        </is>
      </c>
      <c r="D5469" s="12" t="inlineStr">
        <is>
          <t>Motor 6 of 10, 30 kW</t>
        </is>
      </c>
      <c r="E5469" s="12" t="inlineStr"/>
      <c r="F5469" s="12" t="inlineStr">
        <is>
          <t>SC-2 PCM + 15 kV GCB</t>
        </is>
      </c>
      <c r="G5469" s="12" t="inlineStr">
        <is>
          <t>SC-2</t>
        </is>
      </c>
      <c r="H5469" s="12" t="inlineStr">
        <is>
          <t>SC-2: aeroderivative simple-cycle unit (LM6000 class)</t>
        </is>
      </c>
      <c r="I5469" s="12" t="inlineStr">
        <is>
          <t>LV 600 V</t>
        </is>
      </c>
      <c r="J5469" s="12" t="inlineStr">
        <is>
          <t>Type TC-ER 600 V 3/C Cu XHHW-2 + ground, PVC jacket</t>
        </is>
      </c>
      <c r="K5469" s="12" t="inlineStr">
        <is>
          <t>LV|3/C+G|6</t>
        </is>
      </c>
      <c r="L5469" s="12" t="inlineStr">
        <is>
          <t>3/C+G</t>
        </is>
      </c>
      <c r="M5469" s="12" t="inlineStr">
        <is>
          <t>6</t>
        </is>
      </c>
      <c r="N5469" s="12" t="n">
        <v>1</v>
      </c>
      <c r="O5469" s="12" t="n">
        <v>1</v>
      </c>
      <c r="P5469" s="12" t="n">
        <v>480</v>
      </c>
      <c r="Q5469" s="12" t="n">
        <v>30</v>
      </c>
      <c r="R5469" s="12" t="n">
        <v>42.5</v>
      </c>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is>
          <t>VD 0.6 %</t>
        </is>
      </c>
      <c r="AA5469" s="12">
        <f>N5469*O5469</f>
        <v/>
      </c>
    </row>
    <row r="5470">
      <c r="A5470" s="12" t="inlineStr">
        <is>
          <t>I-P-0311</t>
        </is>
      </c>
      <c r="B5470" s="12" t="inlineStr">
        <is>
          <t>I</t>
        </is>
      </c>
      <c r="C5470" s="12" t="inlineStr">
        <is>
          <t>Modular / portable power</t>
        </is>
      </c>
      <c r="D5470" s="12" t="inlineStr">
        <is>
          <t>Motor 7 of 10, 30 kW</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30</v>
      </c>
      <c r="R5470" s="12" t="n">
        <v>42.5</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VD 0.6 %</t>
        </is>
      </c>
      <c r="AA5470" s="12">
        <f>N5470*O5470</f>
        <v/>
      </c>
    </row>
    <row r="5471">
      <c r="A5471" s="12" t="inlineStr">
        <is>
          <t>I-P-0312</t>
        </is>
      </c>
      <c r="B5471" s="12" t="inlineStr">
        <is>
          <t>I</t>
        </is>
      </c>
      <c r="C5471" s="12" t="inlineStr">
        <is>
          <t>Modular / portable power</t>
        </is>
      </c>
      <c r="D5471" s="12" t="inlineStr">
        <is>
          <t>Motor 8 of 10, 30 kW</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30</v>
      </c>
      <c r="R5471" s="12" t="n">
        <v>42.5</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0.6 %</t>
        </is>
      </c>
      <c r="AA5471" s="12">
        <f>N5471*O5471</f>
        <v/>
      </c>
    </row>
    <row r="5472">
      <c r="A5472" s="12" t="inlineStr">
        <is>
          <t>I-P-0313</t>
        </is>
      </c>
      <c r="B5472" s="12" t="inlineStr">
        <is>
          <t>I</t>
        </is>
      </c>
      <c r="C5472" s="12" t="inlineStr">
        <is>
          <t>Modular / portable power</t>
        </is>
      </c>
      <c r="D5472" s="12" t="inlineStr">
        <is>
          <t>Motor 9 of 10, 30 kW</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30</v>
      </c>
      <c r="R5472" s="12" t="n">
        <v>42.5</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0.6 %</t>
        </is>
      </c>
      <c r="AA5472" s="12">
        <f>N5472*O5472</f>
        <v/>
      </c>
    </row>
    <row r="5473">
      <c r="A5473" s="12" t="inlineStr">
        <is>
          <t>I-P-0314</t>
        </is>
      </c>
      <c r="B5473" s="12" t="inlineStr">
        <is>
          <t>I</t>
        </is>
      </c>
      <c r="C5473" s="12" t="inlineStr">
        <is>
          <t>Modular / portable power</t>
        </is>
      </c>
      <c r="D5473" s="12" t="inlineStr">
        <is>
          <t>Motor 10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I-P-0315</t>
        </is>
      </c>
      <c r="B5474" s="12" t="inlineStr">
        <is>
          <t>I</t>
        </is>
      </c>
      <c r="C5474" s="12" t="inlineStr">
        <is>
          <t>Modular / portable power</t>
        </is>
      </c>
      <c r="D5474" s="12" t="inlineStr">
        <is>
          <t>Area / platform lighting circuit 1 (8 fixtures)</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3</v>
      </c>
      <c r="R5474" s="12" t="n">
        <v>5</v>
      </c>
      <c r="S5474" s="12" t="inlineStr">
        <is>
          <t>Duct bank</t>
        </is>
      </c>
      <c r="T5474" s="15" t="n">
        <v>335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fixture-to-fixture run included</t>
        </is>
      </c>
      <c r="AA5474" s="12">
        <f>N5474*O5474</f>
        <v/>
      </c>
    </row>
    <row r="5475">
      <c r="A5475" s="12" t="inlineStr">
        <is>
          <t>I-P-0316</t>
        </is>
      </c>
      <c r="B5475" s="12" t="inlineStr">
        <is>
          <t>I</t>
        </is>
      </c>
      <c r="C5475" s="12" t="inlineStr">
        <is>
          <t>Modular / portable power</t>
        </is>
      </c>
      <c r="D5475" s="12" t="inlineStr">
        <is>
          <t>SWG-MY station service from its internal 480 V aux transformer: charger, heaters, HVAC</t>
        </is>
      </c>
      <c r="E5475" s="12" t="inlineStr">
        <is>
          <t>SWG-MY</t>
        </is>
      </c>
      <c r="F5475" s="12" t="inlineStr">
        <is>
          <t xml:space="preserve">SWG-MY: 35 kV switchgear lineup for the modular blocks (group breaker </t>
        </is>
      </c>
      <c r="G5475" s="12" t="inlineStr">
        <is>
          <t>SWG-MY</t>
        </is>
      </c>
      <c r="H5475" s="12" t="inlineStr">
        <is>
          <t xml:space="preserve">SWG-MY: 35 kV switchgear lineup for the modular blocks (group breaker </t>
        </is>
      </c>
      <c r="I5475" s="12" t="inlineStr">
        <is>
          <t>LV 600 V</t>
        </is>
      </c>
      <c r="J5475" s="12" t="inlineStr">
        <is>
          <t>Type TC-ER 600 V 3/C Cu XHHW-2 + ground, PVC jacket</t>
        </is>
      </c>
      <c r="K5475" s="12" t="inlineStr">
        <is>
          <t>LV|3/C+G|2</t>
        </is>
      </c>
      <c r="L5475" s="12" t="inlineStr">
        <is>
          <t>3/C+G</t>
        </is>
      </c>
      <c r="M5475" s="12" t="inlineStr">
        <is>
          <t>2</t>
        </is>
      </c>
      <c r="N5475" s="12" t="n">
        <v>1</v>
      </c>
      <c r="O5475" s="12" t="n">
        <v>1</v>
      </c>
      <c r="P5475" s="12" t="n">
        <v>480</v>
      </c>
      <c r="Q5475" s="12" t="n">
        <v>45</v>
      </c>
      <c r="R5475" s="12" t="n">
        <v>60</v>
      </c>
      <c r="S5475" s="12" t="inlineStr">
        <is>
          <t>Tray</t>
        </is>
      </c>
      <c r="T5475" s="15" t="n">
        <v>40</v>
      </c>
      <c r="U5475" s="15" t="n">
        <v>10</v>
      </c>
      <c r="V5475" s="15">
        <f>ROUNDUP((T5475+U5475+2*'Read Me'!$B$13)*(1+'Read Me'!$B$12),-1)</f>
        <v/>
      </c>
      <c r="W5475" s="15">
        <f>V5475*N5475*O5475</f>
        <v/>
      </c>
      <c r="X5475" s="12">
        <f>IF(LEFT(I5475,2)="MV",2*N5475*IF(L5475="1/C",O5475,1),0)</f>
        <v/>
      </c>
      <c r="Y5475" s="12">
        <f>IF(OR(LEFT(K5475,4)="LVAX",LEFT(K5475,6)="MV15AX",LEFT(K5475,4)="CTAX",LEFT(K5475,2)="W|"),2*N5475*O5475,0)</f>
        <v/>
      </c>
      <c r="Z5475" s="12" t="inlineStr">
        <is>
          <t>internal to the lineup</t>
        </is>
      </c>
      <c r="AA5475" s="12">
        <f>N5475*O5475</f>
        <v/>
      </c>
    </row>
    <row r="5476">
      <c r="A5476" s="12" t="inlineStr">
        <is>
          <t>I-P-0317</t>
        </is>
      </c>
      <c r="B5476" s="12" t="inlineStr">
        <is>
          <t>I</t>
        </is>
      </c>
      <c r="C5476" s="12" t="inlineStr">
        <is>
          <t>Modular / portable power</t>
        </is>
      </c>
      <c r="D5476" s="12" t="inlineStr">
        <is>
          <t>SWG-PK station service, HVAC, lighting, DC charger (station-service transformer inside)</t>
        </is>
      </c>
      <c r="E5476" s="12" t="inlineStr">
        <is>
          <t>SWG-PK</t>
        </is>
      </c>
      <c r="F5476" s="12" t="inlineStr">
        <is>
          <t>SWG-PK: 34.5 kV park collector switchgear (2 bus sections, tie; 8 feed</t>
        </is>
      </c>
      <c r="G5476" s="12" t="inlineStr">
        <is>
          <t>SWG-PK</t>
        </is>
      </c>
      <c r="H5476" s="12" t="inlineStr">
        <is>
          <t>SWG-PK: 34.5 kV park collector switchgear (2 bus sections, tie; 8 feed</t>
        </is>
      </c>
      <c r="I5476" s="12" t="inlineStr">
        <is>
          <t>LV 600 V</t>
        </is>
      </c>
      <c r="J5476" s="12" t="inlineStr">
        <is>
          <t>Type TC-ER 600 V 3/C Cu XHHW-2 + ground, PVC jacket</t>
        </is>
      </c>
      <c r="K5476" s="12" t="inlineStr">
        <is>
          <t>LV|3/C+G|2</t>
        </is>
      </c>
      <c r="L5476" s="12" t="inlineStr">
        <is>
          <t>3/C+G</t>
        </is>
      </c>
      <c r="M5476" s="12" t="inlineStr">
        <is>
          <t>2</t>
        </is>
      </c>
      <c r="N5476" s="12" t="n">
        <v>1</v>
      </c>
      <c r="O5476" s="12" t="n">
        <v>1</v>
      </c>
      <c r="P5476" s="12" t="n">
        <v>480</v>
      </c>
      <c r="Q5476" s="12" t="n">
        <v>60</v>
      </c>
      <c r="R5476" s="12" t="n">
        <v>85</v>
      </c>
      <c r="S5476" s="12" t="inlineStr">
        <is>
          <t>Tray</t>
        </is>
      </c>
      <c r="T5476" s="15" t="n">
        <v>100</v>
      </c>
      <c r="U5476" s="15" t="n">
        <v>10</v>
      </c>
      <c r="V5476" s="15">
        <f>ROUNDUP((T5476+U5476+2*'Read Me'!$B$13)*(1+'Read Me'!$B$12),-1)</f>
        <v/>
      </c>
      <c r="W5476" s="15">
        <f>V5476*N5476*O5476</f>
        <v/>
      </c>
      <c r="X5476" s="12">
        <f>IF(LEFT(I5476,2)="MV",2*N5476*IF(L5476="1/C",O5476,1),0)</f>
        <v/>
      </c>
      <c r="Y5476" s="12">
        <f>IF(OR(LEFT(K5476,4)="LVAX",LEFT(K5476,6)="MV15AX",LEFT(K5476,4)="CTAX",LEFT(K5476,2)="W|"),2*N5476*O5476,0)</f>
        <v/>
      </c>
      <c r="Z5476" s="12" t="inlineStr">
        <is>
          <t>internal to the e-house</t>
        </is>
      </c>
      <c r="AA5476" s="12">
        <f>N5476*O5476</f>
        <v/>
      </c>
    </row>
    <row r="5477">
      <c r="A5477" s="12" t="inlineStr">
        <is>
          <t>I-P-0318</t>
        </is>
      </c>
      <c r="B5477" s="12" t="inlineStr">
        <is>
          <t>I</t>
        </is>
      </c>
      <c r="C5477" s="12" t="inlineStr">
        <is>
          <t>Modular / portable power</t>
        </is>
      </c>
      <c r="D5477" s="12" t="inlineStr">
        <is>
          <t>Motor 1 of 6, 2 kW</t>
        </is>
      </c>
      <c r="E5477" s="12" t="inlineStr"/>
      <c r="F5477" s="12" t="inlineStr">
        <is>
          <t>MOD-LV 480 V board + 480 V : 13.8 kV step-up</t>
        </is>
      </c>
      <c r="G5477" s="12" t="inlineStr"/>
      <c r="H5477" s="12" t="inlineStr">
        <is>
          <t>T-MOD 230 kV take-off gantry with arresters</t>
        </is>
      </c>
      <c r="I5477" s="12" t="inlineStr">
        <is>
          <t>LV 600 V</t>
        </is>
      </c>
      <c r="J5477" s="12" t="inlineStr">
        <is>
          <t>Type TC-ER 600 V 3/C Cu XHHW-2 + ground, PVC jacket</t>
        </is>
      </c>
      <c r="K5477" s="12" t="inlineStr">
        <is>
          <t>LV|3/C+G|10</t>
        </is>
      </c>
      <c r="L5477" s="12" t="inlineStr">
        <is>
          <t>3/C+G</t>
        </is>
      </c>
      <c r="M5477" s="12" t="inlineStr">
        <is>
          <t>10</t>
        </is>
      </c>
      <c r="N5477" s="12" t="n">
        <v>1</v>
      </c>
      <c r="O5477" s="12" t="n">
        <v>1</v>
      </c>
      <c r="P5477" s="12" t="n">
        <v>480</v>
      </c>
      <c r="Q5477" s="12" t="n">
        <v>2</v>
      </c>
      <c r="R5477" s="12" t="n">
        <v>2.8</v>
      </c>
      <c r="S5477" s="12" t="inlineStr">
        <is>
          <t>Duct bank</t>
        </is>
      </c>
      <c r="T5477" s="15" t="n">
        <v>290</v>
      </c>
      <c r="U5477" s="15" t="n">
        <v>47</v>
      </c>
      <c r="V5477" s="15">
        <f>ROUNDUP((T5477+U5477+2*'Read Me'!$B$13)*(1+'Read Me'!$B$12),-1)</f>
        <v/>
      </c>
      <c r="W5477" s="15">
        <f>V5477*N5477*O5477</f>
        <v/>
      </c>
      <c r="X5477" s="12">
        <f>IF(LEFT(I5477,2)="MV",2*N5477*IF(L5477="1/C",O5477,1),0)</f>
        <v/>
      </c>
      <c r="Y5477" s="12">
        <f>IF(OR(LEFT(K5477,4)="LVAX",LEFT(K5477,6)="MV15AX",LEFT(K5477,4)="CTAX",LEFT(K5477,2)="W|"),2*N5477*O5477,0)</f>
        <v/>
      </c>
      <c r="Z5477" s="12" t="inlineStr">
        <is>
          <t>VD 0.5 %</t>
        </is>
      </c>
      <c r="AA5477" s="12">
        <f>N5477*O5477</f>
        <v/>
      </c>
    </row>
    <row r="5478">
      <c r="A5478" s="12" t="inlineStr">
        <is>
          <t>I-P-0319</t>
        </is>
      </c>
      <c r="B5478" s="12" t="inlineStr">
        <is>
          <t>I</t>
        </is>
      </c>
      <c r="C5478" s="12" t="inlineStr">
        <is>
          <t>Modular / portable power</t>
        </is>
      </c>
      <c r="D5478" s="12" t="inlineStr">
        <is>
          <t>Motor 2 of 6, 2 kW</t>
        </is>
      </c>
      <c r="E5478" s="12" t="inlineStr"/>
      <c r="F5478" s="12" t="inlineStr">
        <is>
          <t>MOD-LV 480 V board + 480 V : 13.8 kV step-up</t>
        </is>
      </c>
      <c r="G5478" s="12" t="inlineStr"/>
      <c r="H5478" s="12" t="inlineStr">
        <is>
          <t>T-MOD 230 kV take-off gantry with arresters</t>
        </is>
      </c>
      <c r="I5478" s="12" t="inlineStr">
        <is>
          <t>LV 600 V</t>
        </is>
      </c>
      <c r="J5478" s="12" t="inlineStr">
        <is>
          <t>Type TC-ER 600 V 3/C Cu XHHW-2 + ground, PVC jacket</t>
        </is>
      </c>
      <c r="K5478" s="12" t="inlineStr">
        <is>
          <t>LV|3/C+G|10</t>
        </is>
      </c>
      <c r="L5478" s="12" t="inlineStr">
        <is>
          <t>3/C+G</t>
        </is>
      </c>
      <c r="M5478" s="12" t="inlineStr">
        <is>
          <t>10</t>
        </is>
      </c>
      <c r="N5478" s="12" t="n">
        <v>1</v>
      </c>
      <c r="O5478" s="12" t="n">
        <v>1</v>
      </c>
      <c r="P5478" s="12" t="n">
        <v>480</v>
      </c>
      <c r="Q5478" s="12" t="n">
        <v>2</v>
      </c>
      <c r="R5478" s="12" t="n">
        <v>2.8</v>
      </c>
      <c r="S5478" s="12" t="inlineStr">
        <is>
          <t>Duct bank</t>
        </is>
      </c>
      <c r="T5478" s="15" t="n">
        <v>290</v>
      </c>
      <c r="U5478" s="15" t="n">
        <v>47</v>
      </c>
      <c r="V5478" s="15">
        <f>ROUNDUP((T5478+U5478+2*'Read Me'!$B$13)*(1+'Read Me'!$B$12),-1)</f>
        <v/>
      </c>
      <c r="W5478" s="15">
        <f>V5478*N5478*O5478</f>
        <v/>
      </c>
      <c r="X5478" s="12">
        <f>IF(LEFT(I5478,2)="MV",2*N5478*IF(L5478="1/C",O5478,1),0)</f>
        <v/>
      </c>
      <c r="Y5478" s="12">
        <f>IF(OR(LEFT(K5478,4)="LVAX",LEFT(K5478,6)="MV15AX",LEFT(K5478,4)="CTAX",LEFT(K5478,2)="W|"),2*N5478*O5478,0)</f>
        <v/>
      </c>
      <c r="Z5478" s="12" t="inlineStr">
        <is>
          <t>VD 0.5 %</t>
        </is>
      </c>
      <c r="AA5478" s="12">
        <f>N5478*O5478</f>
        <v/>
      </c>
    </row>
    <row r="5479">
      <c r="A5479" s="12" t="inlineStr">
        <is>
          <t>I-P-0320</t>
        </is>
      </c>
      <c r="B5479" s="12" t="inlineStr">
        <is>
          <t>I</t>
        </is>
      </c>
      <c r="C5479" s="12" t="inlineStr">
        <is>
          <t>Modular / portable power</t>
        </is>
      </c>
      <c r="D5479" s="12" t="inlineStr">
        <is>
          <t>Motor 3 of 6, 2 kW</t>
        </is>
      </c>
      <c r="E5479" s="12" t="inlineStr"/>
      <c r="F5479" s="12" t="inlineStr">
        <is>
          <t>MOD-LV 480 V board + 480 V : 13.8 kV step-up</t>
        </is>
      </c>
      <c r="G5479" s="12" t="inlineStr"/>
      <c r="H5479" s="12" t="inlineStr">
        <is>
          <t>T-MOD 230 kV take-off gantry with arresters</t>
        </is>
      </c>
      <c r="I5479" s="12" t="inlineStr">
        <is>
          <t>LV 600 V</t>
        </is>
      </c>
      <c r="J5479" s="12" t="inlineStr">
        <is>
          <t>Type TC-ER 600 V 3/C Cu XHHW-2 + ground, PVC jacket</t>
        </is>
      </c>
      <c r="K5479" s="12" t="inlineStr">
        <is>
          <t>LV|3/C+G|10</t>
        </is>
      </c>
      <c r="L5479" s="12" t="inlineStr">
        <is>
          <t>3/C+G</t>
        </is>
      </c>
      <c r="M5479" s="12" t="inlineStr">
        <is>
          <t>10</t>
        </is>
      </c>
      <c r="N5479" s="12" t="n">
        <v>1</v>
      </c>
      <c r="O5479" s="12" t="n">
        <v>1</v>
      </c>
      <c r="P5479" s="12" t="n">
        <v>480</v>
      </c>
      <c r="Q5479" s="12" t="n">
        <v>2</v>
      </c>
      <c r="R5479" s="12" t="n">
        <v>2.8</v>
      </c>
      <c r="S5479" s="12" t="inlineStr">
        <is>
          <t>Duct bank</t>
        </is>
      </c>
      <c r="T5479" s="15" t="n">
        <v>290</v>
      </c>
      <c r="U5479" s="15" t="n">
        <v>47</v>
      </c>
      <c r="V5479" s="15">
        <f>ROUNDUP((T5479+U5479+2*'Read Me'!$B$13)*(1+'Read Me'!$B$12),-1)</f>
        <v/>
      </c>
      <c r="W5479" s="15">
        <f>V5479*N5479*O5479</f>
        <v/>
      </c>
      <c r="X5479" s="12">
        <f>IF(LEFT(I5479,2)="MV",2*N5479*IF(L5479="1/C",O5479,1),0)</f>
        <v/>
      </c>
      <c r="Y5479" s="12">
        <f>IF(OR(LEFT(K5479,4)="LVAX",LEFT(K5479,6)="MV15AX",LEFT(K5479,4)="CTAX",LEFT(K5479,2)="W|"),2*N5479*O5479,0)</f>
        <v/>
      </c>
      <c r="Z5479" s="12" t="inlineStr">
        <is>
          <t>VD 0.5 %</t>
        </is>
      </c>
      <c r="AA5479" s="12">
        <f>N5479*O5479</f>
        <v/>
      </c>
    </row>
    <row r="5480">
      <c r="A5480" s="12" t="inlineStr">
        <is>
          <t>I-P-0321</t>
        </is>
      </c>
      <c r="B5480" s="12" t="inlineStr">
        <is>
          <t>I</t>
        </is>
      </c>
      <c r="C5480" s="12" t="inlineStr">
        <is>
          <t>Modular / portable power</t>
        </is>
      </c>
      <c r="D5480" s="12" t="inlineStr">
        <is>
          <t>Motor 4 of 6, 2 kW</t>
        </is>
      </c>
      <c r="E5480" s="12" t="inlineStr"/>
      <c r="F5480" s="12" t="inlineStr">
        <is>
          <t>MOD-LV 480 V board + 480 V : 13.8 kV step-up</t>
        </is>
      </c>
      <c r="G5480" s="12" t="inlineStr"/>
      <c r="H5480" s="12" t="inlineStr">
        <is>
          <t>T-MOD 230 kV take-off gantry with arresters</t>
        </is>
      </c>
      <c r="I5480" s="12" t="inlineStr">
        <is>
          <t>LV 600 V</t>
        </is>
      </c>
      <c r="J5480" s="12" t="inlineStr">
        <is>
          <t>Type TC-ER 600 V 3/C Cu XHHW-2 + ground, PVC jacket</t>
        </is>
      </c>
      <c r="K5480" s="12" t="inlineStr">
        <is>
          <t>LV|3/C+G|10</t>
        </is>
      </c>
      <c r="L5480" s="12" t="inlineStr">
        <is>
          <t>3/C+G</t>
        </is>
      </c>
      <c r="M5480" s="12" t="inlineStr">
        <is>
          <t>10</t>
        </is>
      </c>
      <c r="N5480" s="12" t="n">
        <v>1</v>
      </c>
      <c r="O5480" s="12" t="n">
        <v>1</v>
      </c>
      <c r="P5480" s="12" t="n">
        <v>480</v>
      </c>
      <c r="Q5480" s="12" t="n">
        <v>2</v>
      </c>
      <c r="R5480" s="12" t="n">
        <v>2.8</v>
      </c>
      <c r="S5480" s="12" t="inlineStr">
        <is>
          <t>Duct bank</t>
        </is>
      </c>
      <c r="T5480" s="15" t="n">
        <v>290</v>
      </c>
      <c r="U5480" s="15" t="n">
        <v>47</v>
      </c>
      <c r="V5480" s="15">
        <f>ROUNDUP((T5480+U5480+2*'Read Me'!$B$13)*(1+'Read Me'!$B$12),-1)</f>
        <v/>
      </c>
      <c r="W5480" s="15">
        <f>V5480*N5480*O5480</f>
        <v/>
      </c>
      <c r="X5480" s="12">
        <f>IF(LEFT(I5480,2)="MV",2*N5480*IF(L5480="1/C",O5480,1),0)</f>
        <v/>
      </c>
      <c r="Y5480" s="12">
        <f>IF(OR(LEFT(K5480,4)="LVAX",LEFT(K5480,6)="MV15AX",LEFT(K5480,4)="CTAX",LEFT(K5480,2)="W|"),2*N5480*O5480,0)</f>
        <v/>
      </c>
      <c r="Z5480" s="12" t="inlineStr">
        <is>
          <t>VD 0.5 %</t>
        </is>
      </c>
      <c r="AA5480" s="12">
        <f>N5480*O5480</f>
        <v/>
      </c>
    </row>
    <row r="5481">
      <c r="A5481" s="12" t="inlineStr">
        <is>
          <t>I-P-0322</t>
        </is>
      </c>
      <c r="B5481" s="12" t="inlineStr">
        <is>
          <t>I</t>
        </is>
      </c>
      <c r="C5481" s="12" t="inlineStr">
        <is>
          <t>Modular / portable power</t>
        </is>
      </c>
      <c r="D5481" s="12" t="inlineStr">
        <is>
          <t>Motor 5 of 6, 2 kW</t>
        </is>
      </c>
      <c r="E5481" s="12" t="inlineStr"/>
      <c r="F5481" s="12" t="inlineStr">
        <is>
          <t>MOD-LV 480 V board + 480 V : 13.8 kV step-up</t>
        </is>
      </c>
      <c r="G5481" s="12" t="inlineStr"/>
      <c r="H5481" s="12" t="inlineStr">
        <is>
          <t>T-MOD 230 kV take-off gantry with arresters</t>
        </is>
      </c>
      <c r="I5481" s="12" t="inlineStr">
        <is>
          <t>LV 600 V</t>
        </is>
      </c>
      <c r="J5481" s="12" t="inlineStr">
        <is>
          <t>Type TC-ER 600 V 3/C Cu XHHW-2 + ground, PVC jacket</t>
        </is>
      </c>
      <c r="K5481" s="12" t="inlineStr">
        <is>
          <t>LV|3/C+G|10</t>
        </is>
      </c>
      <c r="L5481" s="12" t="inlineStr">
        <is>
          <t>3/C+G</t>
        </is>
      </c>
      <c r="M5481" s="12" t="inlineStr">
        <is>
          <t>10</t>
        </is>
      </c>
      <c r="N5481" s="12" t="n">
        <v>1</v>
      </c>
      <c r="O5481" s="12" t="n">
        <v>1</v>
      </c>
      <c r="P5481" s="12" t="n">
        <v>480</v>
      </c>
      <c r="Q5481" s="12" t="n">
        <v>2</v>
      </c>
      <c r="R5481" s="12" t="n">
        <v>2.8</v>
      </c>
      <c r="S5481" s="12" t="inlineStr">
        <is>
          <t>Duct bank</t>
        </is>
      </c>
      <c r="T5481" s="15" t="n">
        <v>290</v>
      </c>
      <c r="U5481" s="15" t="n">
        <v>47</v>
      </c>
      <c r="V5481" s="15">
        <f>ROUNDUP((T5481+U5481+2*'Read Me'!$B$13)*(1+'Read Me'!$B$12),-1)</f>
        <v/>
      </c>
      <c r="W5481" s="15">
        <f>V5481*N5481*O5481</f>
        <v/>
      </c>
      <c r="X5481" s="12">
        <f>IF(LEFT(I5481,2)="MV",2*N5481*IF(L5481="1/C",O5481,1),0)</f>
        <v/>
      </c>
      <c r="Y5481" s="12">
        <f>IF(OR(LEFT(K5481,4)="LVAX",LEFT(K5481,6)="MV15AX",LEFT(K5481,4)="CTAX",LEFT(K5481,2)="W|"),2*N5481*O5481,0)</f>
        <v/>
      </c>
      <c r="Z5481" s="12" t="inlineStr">
        <is>
          <t>VD 0.5 %</t>
        </is>
      </c>
      <c r="AA5481" s="12">
        <f>N5481*O5481</f>
        <v/>
      </c>
    </row>
    <row r="5482">
      <c r="A5482" s="12" t="inlineStr">
        <is>
          <t>I-P-0323</t>
        </is>
      </c>
      <c r="B5482" s="12" t="inlineStr">
        <is>
          <t>I</t>
        </is>
      </c>
      <c r="C5482" s="12" t="inlineStr">
        <is>
          <t>Modular / portable power</t>
        </is>
      </c>
      <c r="D5482" s="12" t="inlineStr">
        <is>
          <t>Motor 6 of 6, 2 kW</t>
        </is>
      </c>
      <c r="E5482" s="12" t="inlineStr"/>
      <c r="F5482" s="12" t="inlineStr">
        <is>
          <t>MOD-LV 480 V board + 480 V : 13.8 kV step-up</t>
        </is>
      </c>
      <c r="G5482" s="12" t="inlineStr"/>
      <c r="H5482" s="12" t="inlineStr">
        <is>
          <t>T-MOD 230 kV take-off gantry with arresters</t>
        </is>
      </c>
      <c r="I5482" s="12" t="inlineStr">
        <is>
          <t>LV 600 V</t>
        </is>
      </c>
      <c r="J5482" s="12" t="inlineStr">
        <is>
          <t>Type TC-ER 600 V 3/C Cu XHHW-2 + ground, PVC jacket</t>
        </is>
      </c>
      <c r="K5482" s="12" t="inlineStr">
        <is>
          <t>LV|3/C+G|10</t>
        </is>
      </c>
      <c r="L5482" s="12" t="inlineStr">
        <is>
          <t>3/C+G</t>
        </is>
      </c>
      <c r="M5482" s="12" t="inlineStr">
        <is>
          <t>10</t>
        </is>
      </c>
      <c r="N5482" s="12" t="n">
        <v>1</v>
      </c>
      <c r="O5482" s="12" t="n">
        <v>1</v>
      </c>
      <c r="P5482" s="12" t="n">
        <v>480</v>
      </c>
      <c r="Q5482" s="12" t="n">
        <v>2</v>
      </c>
      <c r="R5482" s="12" t="n">
        <v>2.8</v>
      </c>
      <c r="S5482" s="12" t="inlineStr">
        <is>
          <t>Duct bank</t>
        </is>
      </c>
      <c r="T5482" s="15" t="n">
        <v>290</v>
      </c>
      <c r="U5482" s="15" t="n">
        <v>47</v>
      </c>
      <c r="V5482" s="15">
        <f>ROUNDUP((T5482+U5482+2*'Read Me'!$B$13)*(1+'Read Me'!$B$12),-1)</f>
        <v/>
      </c>
      <c r="W5482" s="15">
        <f>V5482*N5482*O5482</f>
        <v/>
      </c>
      <c r="X5482" s="12">
        <f>IF(LEFT(I5482,2)="MV",2*N5482*IF(L5482="1/C",O5482,1),0)</f>
        <v/>
      </c>
      <c r="Y5482" s="12">
        <f>IF(OR(LEFT(K5482,4)="LVAX",LEFT(K5482,6)="MV15AX",LEFT(K5482,4)="CTAX",LEFT(K5482,2)="W|"),2*N5482*O5482,0)</f>
        <v/>
      </c>
      <c r="Z5482" s="12" t="inlineStr">
        <is>
          <t>VD 0.5 %</t>
        </is>
      </c>
      <c r="AA5482" s="12">
        <f>N5482*O5482</f>
        <v/>
      </c>
    </row>
    <row r="5483">
      <c r="A5483" s="12" t="inlineStr">
        <is>
          <t>I-P-0324</t>
        </is>
      </c>
      <c r="B5483" s="12" t="inlineStr">
        <is>
          <t>I</t>
        </is>
      </c>
      <c r="C5483" s="12" t="inlineStr">
        <is>
          <t>Modular / portable power</t>
        </is>
      </c>
      <c r="D5483" s="12" t="inlineStr">
        <is>
          <t>Motor 1 of 6, 2 kW</t>
        </is>
      </c>
      <c r="E5483" s="12" t="inlineStr"/>
      <c r="F5483" s="12" t="inlineStr">
        <is>
          <t>MOD-LV 480 V board + 480 V : 13.8 kV step-up</t>
        </is>
      </c>
      <c r="G5483" s="12" t="inlineStr"/>
      <c r="H5483" s="12" t="inlineStr">
        <is>
          <t>T-MOD-1 / T-MOD-2 firewall</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2</v>
      </c>
      <c r="R5483" s="12" t="n">
        <v>2.8</v>
      </c>
      <c r="S5483" s="12" t="inlineStr">
        <is>
          <t>Duct bank</t>
        </is>
      </c>
      <c r="T5483" s="15" t="n">
        <v>404</v>
      </c>
      <c r="U5483" s="15" t="n">
        <v>91</v>
      </c>
      <c r="V5483" s="15">
        <f>ROUNDUP((T5483+U5483+2*'Read Me'!$B$13)*(1+'Read Me'!$B$12),-1)</f>
        <v/>
      </c>
      <c r="W5483" s="15">
        <f>V5483*N5483*O5483</f>
        <v/>
      </c>
      <c r="X5483" s="12">
        <f>IF(LEFT(I5483,2)="MV",2*N5483*IF(L5483="1/C",O5483,1),0)</f>
        <v/>
      </c>
      <c r="Y5483" s="12">
        <f>IF(OR(LEFT(K5483,4)="LVAX",LEFT(K5483,6)="MV15AX",LEFT(K5483,4)="CTAX",LEFT(K5483,2)="W|"),2*N5483*O5483,0)</f>
        <v/>
      </c>
      <c r="Z5483" s="12" t="inlineStr">
        <is>
          <t>VD 0.7 %</t>
        </is>
      </c>
      <c r="AA5483" s="12">
        <f>N5483*O5483</f>
        <v/>
      </c>
    </row>
    <row r="5484">
      <c r="A5484" s="12" t="inlineStr">
        <is>
          <t>I-P-0325</t>
        </is>
      </c>
      <c r="B5484" s="12" t="inlineStr">
        <is>
          <t>I</t>
        </is>
      </c>
      <c r="C5484" s="12" t="inlineStr">
        <is>
          <t>Modular / portable power</t>
        </is>
      </c>
      <c r="D5484" s="12" t="inlineStr">
        <is>
          <t>Motor 2 of 6, 2 kW</t>
        </is>
      </c>
      <c r="E5484" s="12" t="inlineStr"/>
      <c r="F5484" s="12" t="inlineStr">
        <is>
          <t>MOD-LV 480 V board + 480 V : 13.8 kV step-up</t>
        </is>
      </c>
      <c r="G5484" s="12" t="inlineStr"/>
      <c r="H5484" s="12" t="inlineStr">
        <is>
          <t>T-MOD-1 / T-MOD-2 firewall</t>
        </is>
      </c>
      <c r="I5484" s="12" t="inlineStr">
        <is>
          <t>LV 600 V</t>
        </is>
      </c>
      <c r="J5484" s="12" t="inlineStr">
        <is>
          <t>Type TC-ER 600 V 3/C Cu XHHW-2 + ground, PVC jacket</t>
        </is>
      </c>
      <c r="K5484" s="12" t="inlineStr">
        <is>
          <t>LV|3/C+G|10</t>
        </is>
      </c>
      <c r="L5484" s="12" t="inlineStr">
        <is>
          <t>3/C+G</t>
        </is>
      </c>
      <c r="M5484" s="12" t="inlineStr">
        <is>
          <t>10</t>
        </is>
      </c>
      <c r="N5484" s="12" t="n">
        <v>1</v>
      </c>
      <c r="O5484" s="12" t="n">
        <v>1</v>
      </c>
      <c r="P5484" s="12" t="n">
        <v>480</v>
      </c>
      <c r="Q5484" s="12" t="n">
        <v>2</v>
      </c>
      <c r="R5484" s="12" t="n">
        <v>2.8</v>
      </c>
      <c r="S5484" s="12" t="inlineStr">
        <is>
          <t>Duct bank</t>
        </is>
      </c>
      <c r="T5484" s="15" t="n">
        <v>404</v>
      </c>
      <c r="U5484" s="15" t="n">
        <v>91</v>
      </c>
      <c r="V5484" s="15">
        <f>ROUNDUP((T5484+U5484+2*'Read Me'!$B$13)*(1+'Read Me'!$B$12),-1)</f>
        <v/>
      </c>
      <c r="W5484" s="15">
        <f>V5484*N5484*O5484</f>
        <v/>
      </c>
      <c r="X5484" s="12">
        <f>IF(LEFT(I5484,2)="MV",2*N5484*IF(L5484="1/C",O5484,1),0)</f>
        <v/>
      </c>
      <c r="Y5484" s="12">
        <f>IF(OR(LEFT(K5484,4)="LVAX",LEFT(K5484,6)="MV15AX",LEFT(K5484,4)="CTAX",LEFT(K5484,2)="W|"),2*N5484*O5484,0)</f>
        <v/>
      </c>
      <c r="Z5484" s="12" t="inlineStr">
        <is>
          <t>VD 0.7 %</t>
        </is>
      </c>
      <c r="AA5484" s="12">
        <f>N5484*O5484</f>
        <v/>
      </c>
    </row>
    <row r="5485">
      <c r="A5485" s="12" t="inlineStr">
        <is>
          <t>I-P-0326</t>
        </is>
      </c>
      <c r="B5485" s="12" t="inlineStr">
        <is>
          <t>I</t>
        </is>
      </c>
      <c r="C5485" s="12" t="inlineStr">
        <is>
          <t>Modular / portable power</t>
        </is>
      </c>
      <c r="D5485" s="12" t="inlineStr">
        <is>
          <t>Motor 3 of 6, 2 kW</t>
        </is>
      </c>
      <c r="E5485" s="12" t="inlineStr"/>
      <c r="F5485" s="12" t="inlineStr">
        <is>
          <t>MOD-LV 480 V board + 480 V : 13.8 kV step-up</t>
        </is>
      </c>
      <c r="G5485" s="12" t="inlineStr"/>
      <c r="H5485" s="12" t="inlineStr">
        <is>
          <t>T-MOD-1 / T-MOD-2 firewall</t>
        </is>
      </c>
      <c r="I5485" s="12" t="inlineStr">
        <is>
          <t>LV 600 V</t>
        </is>
      </c>
      <c r="J5485" s="12" t="inlineStr">
        <is>
          <t>Type TC-ER 600 V 3/C Cu XHHW-2 + ground, PVC jacket</t>
        </is>
      </c>
      <c r="K5485" s="12" t="inlineStr">
        <is>
          <t>LV|3/C+G|10</t>
        </is>
      </c>
      <c r="L5485" s="12" t="inlineStr">
        <is>
          <t>3/C+G</t>
        </is>
      </c>
      <c r="M5485" s="12" t="inlineStr">
        <is>
          <t>10</t>
        </is>
      </c>
      <c r="N5485" s="12" t="n">
        <v>1</v>
      </c>
      <c r="O5485" s="12" t="n">
        <v>1</v>
      </c>
      <c r="P5485" s="12" t="n">
        <v>480</v>
      </c>
      <c r="Q5485" s="12" t="n">
        <v>2</v>
      </c>
      <c r="R5485" s="12" t="n">
        <v>2.8</v>
      </c>
      <c r="S5485" s="12" t="inlineStr">
        <is>
          <t>Duct bank</t>
        </is>
      </c>
      <c r="T5485" s="15" t="n">
        <v>404</v>
      </c>
      <c r="U5485" s="15" t="n">
        <v>91</v>
      </c>
      <c r="V5485" s="15">
        <f>ROUNDUP((T5485+U5485+2*'Read Me'!$B$13)*(1+'Read Me'!$B$12),-1)</f>
        <v/>
      </c>
      <c r="W5485" s="15">
        <f>V5485*N5485*O5485</f>
        <v/>
      </c>
      <c r="X5485" s="12">
        <f>IF(LEFT(I5485,2)="MV",2*N5485*IF(L5485="1/C",O5485,1),0)</f>
        <v/>
      </c>
      <c r="Y5485" s="12">
        <f>IF(OR(LEFT(K5485,4)="LVAX",LEFT(K5485,6)="MV15AX",LEFT(K5485,4)="CTAX",LEFT(K5485,2)="W|"),2*N5485*O5485,0)</f>
        <v/>
      </c>
      <c r="Z5485" s="12" t="inlineStr">
        <is>
          <t>VD 0.7 %</t>
        </is>
      </c>
      <c r="AA5485" s="12">
        <f>N5485*O5485</f>
        <v/>
      </c>
    </row>
    <row r="5486">
      <c r="A5486" s="12" t="inlineStr">
        <is>
          <t>I-P-0327</t>
        </is>
      </c>
      <c r="B5486" s="12" t="inlineStr">
        <is>
          <t>I</t>
        </is>
      </c>
      <c r="C5486" s="12" t="inlineStr">
        <is>
          <t>Modular / portable power</t>
        </is>
      </c>
      <c r="D5486" s="12" t="inlineStr">
        <is>
          <t>Motor 4 of 6, 2 kW</t>
        </is>
      </c>
      <c r="E5486" s="12" t="inlineStr"/>
      <c r="F5486" s="12" t="inlineStr">
        <is>
          <t>MOD-LV 480 V board + 480 V : 13.8 kV step-up</t>
        </is>
      </c>
      <c r="G5486" s="12" t="inlineStr"/>
      <c r="H5486" s="12" t="inlineStr">
        <is>
          <t>T-MOD-1 / T-MOD-2 firewall</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404</v>
      </c>
      <c r="U5486" s="15" t="n">
        <v>91</v>
      </c>
      <c r="V5486" s="15">
        <f>ROUNDUP((T5486+U5486+2*'Read Me'!$B$13)*(1+'Read Me'!$B$12),-1)</f>
        <v/>
      </c>
      <c r="W5486" s="15">
        <f>V5486*N5486*O5486</f>
        <v/>
      </c>
      <c r="X5486" s="12">
        <f>IF(LEFT(I5486,2)="MV",2*N5486*IF(L5486="1/C",O5486,1),0)</f>
        <v/>
      </c>
      <c r="Y5486" s="12">
        <f>IF(OR(LEFT(K5486,4)="LVAX",LEFT(K5486,6)="MV15AX",LEFT(K5486,4)="CTAX",LEFT(K5486,2)="W|"),2*N5486*O5486,0)</f>
        <v/>
      </c>
      <c r="Z5486" s="12" t="inlineStr">
        <is>
          <t>VD 0.7 %</t>
        </is>
      </c>
      <c r="AA5486" s="12">
        <f>N5486*O5486</f>
        <v/>
      </c>
    </row>
    <row r="5487">
      <c r="A5487" s="12" t="inlineStr">
        <is>
          <t>I-P-0328</t>
        </is>
      </c>
      <c r="B5487" s="12" t="inlineStr">
        <is>
          <t>I</t>
        </is>
      </c>
      <c r="C5487" s="12" t="inlineStr">
        <is>
          <t>Modular / portable power</t>
        </is>
      </c>
      <c r="D5487" s="12" t="inlineStr">
        <is>
          <t>Motor 5 of 6, 2 kW</t>
        </is>
      </c>
      <c r="E5487" s="12" t="inlineStr"/>
      <c r="F5487" s="12" t="inlineStr">
        <is>
          <t>MOD-LV 480 V board + 480 V : 13.8 kV step-up</t>
        </is>
      </c>
      <c r="G5487" s="12" t="inlineStr"/>
      <c r="H5487" s="12" t="inlineStr">
        <is>
          <t>T-MOD-1 / T-MOD-2 firewall</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404</v>
      </c>
      <c r="U5487" s="15" t="n">
        <v>91</v>
      </c>
      <c r="V5487" s="15">
        <f>ROUNDUP((T5487+U5487+2*'Read Me'!$B$13)*(1+'Read Me'!$B$12),-1)</f>
        <v/>
      </c>
      <c r="W5487" s="15">
        <f>V5487*N5487*O5487</f>
        <v/>
      </c>
      <c r="X5487" s="12">
        <f>IF(LEFT(I5487,2)="MV",2*N5487*IF(L5487="1/C",O5487,1),0)</f>
        <v/>
      </c>
      <c r="Y5487" s="12">
        <f>IF(OR(LEFT(K5487,4)="LVAX",LEFT(K5487,6)="MV15AX",LEFT(K5487,4)="CTAX",LEFT(K5487,2)="W|"),2*N5487*O5487,0)</f>
        <v/>
      </c>
      <c r="Z5487" s="12" t="inlineStr">
        <is>
          <t>VD 0.7 %</t>
        </is>
      </c>
      <c r="AA5487" s="12">
        <f>N5487*O5487</f>
        <v/>
      </c>
    </row>
    <row r="5488">
      <c r="A5488" s="12" t="inlineStr">
        <is>
          <t>I-P-0329</t>
        </is>
      </c>
      <c r="B5488" s="12" t="inlineStr">
        <is>
          <t>I</t>
        </is>
      </c>
      <c r="C5488" s="12" t="inlineStr">
        <is>
          <t>Modular / portable power</t>
        </is>
      </c>
      <c r="D5488" s="12" t="inlineStr">
        <is>
          <t>Motor 6 of 6, 2 kW</t>
        </is>
      </c>
      <c r="E5488" s="12" t="inlineStr"/>
      <c r="F5488" s="12" t="inlineStr">
        <is>
          <t>MOD-LV 480 V board + 480 V : 13.8 kV step-up</t>
        </is>
      </c>
      <c r="G5488" s="12" t="inlineStr"/>
      <c r="H5488" s="12" t="inlineStr">
        <is>
          <t>T-MOD-1 / T-MOD-2 firewall</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404</v>
      </c>
      <c r="U5488" s="15" t="n">
        <v>91</v>
      </c>
      <c r="V5488" s="15">
        <f>ROUNDUP((T5488+U5488+2*'Read Me'!$B$13)*(1+'Read Me'!$B$12),-1)</f>
        <v/>
      </c>
      <c r="W5488" s="15">
        <f>V5488*N5488*O5488</f>
        <v/>
      </c>
      <c r="X5488" s="12">
        <f>IF(LEFT(I5488,2)="MV",2*N5488*IF(L5488="1/C",O5488,1),0)</f>
        <v/>
      </c>
      <c r="Y5488" s="12">
        <f>IF(OR(LEFT(K5488,4)="LVAX",LEFT(K5488,6)="MV15AX",LEFT(K5488,4)="CTAX",LEFT(K5488,2)="W|"),2*N5488*O5488,0)</f>
        <v/>
      </c>
      <c r="Z5488" s="12" t="inlineStr">
        <is>
          <t>VD 0.7 %</t>
        </is>
      </c>
      <c r="AA5488" s="12">
        <f>N5488*O5488</f>
        <v/>
      </c>
    </row>
    <row r="5489">
      <c r="A5489" s="12" t="inlineStr">
        <is>
          <t>I-P-0330</t>
        </is>
      </c>
      <c r="B5489" s="12" t="inlineStr">
        <is>
          <t>I</t>
        </is>
      </c>
      <c r="C5489" s="12" t="inlineStr">
        <is>
          <t>Modular / portable power</t>
        </is>
      </c>
      <c r="D5489" s="12" t="inlineStr">
        <is>
          <t>Motor 1 of 6, 2 kW</t>
        </is>
      </c>
      <c r="E5489" s="12" t="inlineStr"/>
      <c r="F5489" s="12" t="inlineStr">
        <is>
          <t>MOD-LV 480 V board + 480 V : 13.8 kV step-up</t>
        </is>
      </c>
      <c r="G5489" s="12" t="inlineStr">
        <is>
          <t>T-MOD-1</t>
        </is>
      </c>
      <c r="H5489" s="12" t="inlineStr">
        <is>
          <t>T-MOD-1: 230 / 34.5 kV</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404</v>
      </c>
      <c r="U5489" s="15" t="n">
        <v>43</v>
      </c>
      <c r="V5489" s="15">
        <f>ROUNDUP((T5489+U5489+2*'Read Me'!$B$13)*(1+'Read Me'!$B$12),-1)</f>
        <v/>
      </c>
      <c r="W5489" s="15">
        <f>V5489*N5489*O5489</f>
        <v/>
      </c>
      <c r="X5489" s="12">
        <f>IF(LEFT(I5489,2)="MV",2*N5489*IF(L5489="1/C",O5489,1),0)</f>
        <v/>
      </c>
      <c r="Y5489" s="12">
        <f>IF(OR(LEFT(K5489,4)="LVAX",LEFT(K5489,6)="MV15AX",LEFT(K5489,4)="CTAX",LEFT(K5489,2)="W|"),2*N5489*O5489,0)</f>
        <v/>
      </c>
      <c r="Z5489" s="12" t="inlineStr">
        <is>
          <t>VD 0.6 %</t>
        </is>
      </c>
      <c r="AA5489" s="12">
        <f>N5489*O5489</f>
        <v/>
      </c>
    </row>
    <row r="5490">
      <c r="A5490" s="12" t="inlineStr">
        <is>
          <t>I-P-0331</t>
        </is>
      </c>
      <c r="B5490" s="12" t="inlineStr">
        <is>
          <t>I</t>
        </is>
      </c>
      <c r="C5490" s="12" t="inlineStr">
        <is>
          <t>Modular / portable power</t>
        </is>
      </c>
      <c r="D5490" s="12" t="inlineStr">
        <is>
          <t>Motor 2 of 6, 2 kW</t>
        </is>
      </c>
      <c r="E5490" s="12" t="inlineStr"/>
      <c r="F5490" s="12" t="inlineStr">
        <is>
          <t>MOD-LV 480 V board + 480 V : 13.8 kV step-up</t>
        </is>
      </c>
      <c r="G5490" s="12" t="inlineStr">
        <is>
          <t>T-MOD-1</t>
        </is>
      </c>
      <c r="H5490" s="12" t="inlineStr">
        <is>
          <t>T-MOD-1: 230 / 34.5 kV</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404</v>
      </c>
      <c r="U5490" s="15" t="n">
        <v>43</v>
      </c>
      <c r="V5490" s="15">
        <f>ROUNDUP((T5490+U5490+2*'Read Me'!$B$13)*(1+'Read Me'!$B$12),-1)</f>
        <v/>
      </c>
      <c r="W5490" s="15">
        <f>V5490*N5490*O5490</f>
        <v/>
      </c>
      <c r="X5490" s="12">
        <f>IF(LEFT(I5490,2)="MV",2*N5490*IF(L5490="1/C",O5490,1),0)</f>
        <v/>
      </c>
      <c r="Y5490" s="12">
        <f>IF(OR(LEFT(K5490,4)="LVAX",LEFT(K5490,6)="MV15AX",LEFT(K5490,4)="CTAX",LEFT(K5490,2)="W|"),2*N5490*O5490,0)</f>
        <v/>
      </c>
      <c r="Z5490" s="12" t="inlineStr">
        <is>
          <t>VD 0.6 %</t>
        </is>
      </c>
      <c r="AA5490" s="12">
        <f>N5490*O5490</f>
        <v/>
      </c>
    </row>
    <row r="5491">
      <c r="A5491" s="12" t="inlineStr">
        <is>
          <t>I-P-0332</t>
        </is>
      </c>
      <c r="B5491" s="12" t="inlineStr">
        <is>
          <t>I</t>
        </is>
      </c>
      <c r="C5491" s="12" t="inlineStr">
        <is>
          <t>Modular / portable power</t>
        </is>
      </c>
      <c r="D5491" s="12" t="inlineStr">
        <is>
          <t>Motor 3 of 6, 2 kW</t>
        </is>
      </c>
      <c r="E5491" s="12" t="inlineStr"/>
      <c r="F5491" s="12" t="inlineStr">
        <is>
          <t>MOD-LV 480 V board + 480 V : 13.8 kV step-up</t>
        </is>
      </c>
      <c r="G5491" s="12" t="inlineStr">
        <is>
          <t>T-MOD-1</t>
        </is>
      </c>
      <c r="H5491" s="12" t="inlineStr">
        <is>
          <t>T-MOD-1: 230 / 34.5 kV</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404</v>
      </c>
      <c r="U5491" s="15" t="n">
        <v>43</v>
      </c>
      <c r="V5491" s="15">
        <f>ROUNDUP((T5491+U5491+2*'Read Me'!$B$13)*(1+'Read Me'!$B$12),-1)</f>
        <v/>
      </c>
      <c r="W5491" s="15">
        <f>V5491*N5491*O5491</f>
        <v/>
      </c>
      <c r="X5491" s="12">
        <f>IF(LEFT(I5491,2)="MV",2*N5491*IF(L5491="1/C",O5491,1),0)</f>
        <v/>
      </c>
      <c r="Y5491" s="12">
        <f>IF(OR(LEFT(K5491,4)="LVAX",LEFT(K5491,6)="MV15AX",LEFT(K5491,4)="CTAX",LEFT(K5491,2)="W|"),2*N5491*O5491,0)</f>
        <v/>
      </c>
      <c r="Z5491" s="12" t="inlineStr">
        <is>
          <t>VD 0.6 %</t>
        </is>
      </c>
      <c r="AA5491" s="12">
        <f>N5491*O5491</f>
        <v/>
      </c>
    </row>
    <row r="5492">
      <c r="A5492" s="12" t="inlineStr">
        <is>
          <t>I-P-0333</t>
        </is>
      </c>
      <c r="B5492" s="12" t="inlineStr">
        <is>
          <t>I</t>
        </is>
      </c>
      <c r="C5492" s="12" t="inlineStr">
        <is>
          <t>Modular / portable power</t>
        </is>
      </c>
      <c r="D5492" s="12" t="inlineStr">
        <is>
          <t>Motor 4 of 6, 2 kW</t>
        </is>
      </c>
      <c r="E5492" s="12" t="inlineStr"/>
      <c r="F5492" s="12" t="inlineStr">
        <is>
          <t>MOD-LV 480 V board + 480 V : 13.8 kV step-up</t>
        </is>
      </c>
      <c r="G5492" s="12" t="inlineStr">
        <is>
          <t>T-MOD-1</t>
        </is>
      </c>
      <c r="H5492" s="12" t="inlineStr">
        <is>
          <t>T-MOD-1: 230 / 34.5 kV</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43</v>
      </c>
      <c r="V5492" s="15">
        <f>ROUNDUP((T5492+U5492+2*'Read Me'!$B$13)*(1+'Read Me'!$B$12),-1)</f>
        <v/>
      </c>
      <c r="W5492" s="15">
        <f>V5492*N5492*O5492</f>
        <v/>
      </c>
      <c r="X5492" s="12">
        <f>IF(LEFT(I5492,2)="MV",2*N5492*IF(L5492="1/C",O5492,1),0)</f>
        <v/>
      </c>
      <c r="Y5492" s="12">
        <f>IF(OR(LEFT(K5492,4)="LVAX",LEFT(K5492,6)="MV15AX",LEFT(K5492,4)="CTAX",LEFT(K5492,2)="W|"),2*N5492*O5492,0)</f>
        <v/>
      </c>
      <c r="Z5492" s="12" t="inlineStr">
        <is>
          <t>VD 0.6 %</t>
        </is>
      </c>
      <c r="AA5492" s="12">
        <f>N5492*O5492</f>
        <v/>
      </c>
    </row>
    <row r="5493">
      <c r="A5493" s="12" t="inlineStr">
        <is>
          <t>I-P-0334</t>
        </is>
      </c>
      <c r="B5493" s="12" t="inlineStr">
        <is>
          <t>I</t>
        </is>
      </c>
      <c r="C5493" s="12" t="inlineStr">
        <is>
          <t>Modular / portable power</t>
        </is>
      </c>
      <c r="D5493" s="12" t="inlineStr">
        <is>
          <t>Motor 5 of 6, 2 kW</t>
        </is>
      </c>
      <c r="E5493" s="12" t="inlineStr"/>
      <c r="F5493" s="12" t="inlineStr">
        <is>
          <t>MOD-LV 480 V board + 480 V : 13.8 kV step-up</t>
        </is>
      </c>
      <c r="G5493" s="12" t="inlineStr">
        <is>
          <t>T-MOD-1</t>
        </is>
      </c>
      <c r="H5493" s="12" t="inlineStr">
        <is>
          <t>T-MOD-1: 230 / 34.5 kV</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43</v>
      </c>
      <c r="V5493" s="15">
        <f>ROUNDUP((T5493+U5493+2*'Read Me'!$B$13)*(1+'Read Me'!$B$12),-1)</f>
        <v/>
      </c>
      <c r="W5493" s="15">
        <f>V5493*N5493*O5493</f>
        <v/>
      </c>
      <c r="X5493" s="12">
        <f>IF(LEFT(I5493,2)="MV",2*N5493*IF(L5493="1/C",O5493,1),0)</f>
        <v/>
      </c>
      <c r="Y5493" s="12">
        <f>IF(OR(LEFT(K5493,4)="LVAX",LEFT(K5493,6)="MV15AX",LEFT(K5493,4)="CTAX",LEFT(K5493,2)="W|"),2*N5493*O5493,0)</f>
        <v/>
      </c>
      <c r="Z5493" s="12" t="inlineStr">
        <is>
          <t>VD 0.6 %</t>
        </is>
      </c>
      <c r="AA5493" s="12">
        <f>N5493*O5493</f>
        <v/>
      </c>
    </row>
    <row r="5494">
      <c r="A5494" s="12" t="inlineStr">
        <is>
          <t>I-P-0335</t>
        </is>
      </c>
      <c r="B5494" s="12" t="inlineStr">
        <is>
          <t>I</t>
        </is>
      </c>
      <c r="C5494" s="12" t="inlineStr">
        <is>
          <t>Modular / portable power</t>
        </is>
      </c>
      <c r="D5494" s="12" t="inlineStr">
        <is>
          <t>Motor 6 of 6, 2 kW</t>
        </is>
      </c>
      <c r="E5494" s="12" t="inlineStr"/>
      <c r="F5494" s="12" t="inlineStr">
        <is>
          <t>MOD-LV 480 V board + 480 V : 13.8 kV step-up</t>
        </is>
      </c>
      <c r="G5494" s="12" t="inlineStr">
        <is>
          <t>T-MOD-1</t>
        </is>
      </c>
      <c r="H5494" s="12" t="inlineStr">
        <is>
          <t>T-MOD-1: 230 / 34.5 kV</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43</v>
      </c>
      <c r="V5494" s="15">
        <f>ROUNDUP((T5494+U5494+2*'Read Me'!$B$13)*(1+'Read Me'!$B$12),-1)</f>
        <v/>
      </c>
      <c r="W5494" s="15">
        <f>V5494*N5494*O5494</f>
        <v/>
      </c>
      <c r="X5494" s="12">
        <f>IF(LEFT(I5494,2)="MV",2*N5494*IF(L5494="1/C",O5494,1),0)</f>
        <v/>
      </c>
      <c r="Y5494" s="12">
        <f>IF(OR(LEFT(K5494,4)="LVAX",LEFT(K5494,6)="MV15AX",LEFT(K5494,4)="CTAX",LEFT(K5494,2)="W|"),2*N5494*O5494,0)</f>
        <v/>
      </c>
      <c r="Z5494" s="12" t="inlineStr">
        <is>
          <t>VD 0.6 %</t>
        </is>
      </c>
      <c r="AA5494" s="12">
        <f>N5494*O5494</f>
        <v/>
      </c>
    </row>
    <row r="5495">
      <c r="A5495" s="12" t="inlineStr">
        <is>
          <t>I-P-0336</t>
        </is>
      </c>
      <c r="B5495" s="12" t="inlineStr">
        <is>
          <t>I</t>
        </is>
      </c>
      <c r="C5495" s="12" t="inlineStr">
        <is>
          <t>Modular / portable power</t>
        </is>
      </c>
      <c r="D5495" s="12" t="inlineStr">
        <is>
          <t>Motor 1 of 6, 2 kW</t>
        </is>
      </c>
      <c r="E5495" s="12" t="inlineStr"/>
      <c r="F5495" s="12" t="inlineStr">
        <is>
          <t>MOD-LV 480 V board + 480 V : 13.8 kV step-up</t>
        </is>
      </c>
      <c r="G5495" s="12" t="inlineStr">
        <is>
          <t>T-MOD-2</t>
        </is>
      </c>
      <c r="H5495" s="12" t="inlineStr">
        <is>
          <t>T-MOD-2: 230 / 34.5 kV</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290</v>
      </c>
      <c r="U5495" s="15" t="n">
        <v>61</v>
      </c>
      <c r="V5495" s="15">
        <f>ROUNDUP((T5495+U5495+2*'Read Me'!$B$13)*(1+'Read Me'!$B$12),-1)</f>
        <v/>
      </c>
      <c r="W5495" s="15">
        <f>V5495*N5495*O5495</f>
        <v/>
      </c>
      <c r="X5495" s="12">
        <f>IF(LEFT(I5495,2)="MV",2*N5495*IF(L5495="1/C",O5495,1),0)</f>
        <v/>
      </c>
      <c r="Y5495" s="12">
        <f>IF(OR(LEFT(K5495,4)="LVAX",LEFT(K5495,6)="MV15AX",LEFT(K5495,4)="CTAX",LEFT(K5495,2)="W|"),2*N5495*O5495,0)</f>
        <v/>
      </c>
      <c r="Z5495" s="12" t="inlineStr">
        <is>
          <t>VD 0.5 %</t>
        </is>
      </c>
      <c r="AA5495" s="12">
        <f>N5495*O5495</f>
        <v/>
      </c>
    </row>
    <row r="5496">
      <c r="A5496" s="12" t="inlineStr">
        <is>
          <t>I-P-0337</t>
        </is>
      </c>
      <c r="B5496" s="12" t="inlineStr">
        <is>
          <t>I</t>
        </is>
      </c>
      <c r="C5496" s="12" t="inlineStr">
        <is>
          <t>Modular / portable power</t>
        </is>
      </c>
      <c r="D5496" s="12" t="inlineStr">
        <is>
          <t>Motor 2 of 6, 2 kW</t>
        </is>
      </c>
      <c r="E5496" s="12" t="inlineStr"/>
      <c r="F5496" s="12" t="inlineStr">
        <is>
          <t>MOD-LV 480 V board + 480 V : 13.8 kV step-up</t>
        </is>
      </c>
      <c r="G5496" s="12" t="inlineStr">
        <is>
          <t>T-MOD-2</t>
        </is>
      </c>
      <c r="H5496" s="12" t="inlineStr">
        <is>
          <t>T-MOD-2: 230 / 34.5 kV</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290</v>
      </c>
      <c r="U5496" s="15" t="n">
        <v>61</v>
      </c>
      <c r="V5496" s="15">
        <f>ROUNDUP((T5496+U5496+2*'Read Me'!$B$13)*(1+'Read Me'!$B$12),-1)</f>
        <v/>
      </c>
      <c r="W5496" s="15">
        <f>V5496*N5496*O5496</f>
        <v/>
      </c>
      <c r="X5496" s="12">
        <f>IF(LEFT(I5496,2)="MV",2*N5496*IF(L5496="1/C",O5496,1),0)</f>
        <v/>
      </c>
      <c r="Y5496" s="12">
        <f>IF(OR(LEFT(K5496,4)="LVAX",LEFT(K5496,6)="MV15AX",LEFT(K5496,4)="CTAX",LEFT(K5496,2)="W|"),2*N5496*O5496,0)</f>
        <v/>
      </c>
      <c r="Z5496" s="12" t="inlineStr">
        <is>
          <t>VD 0.5 %</t>
        </is>
      </c>
      <c r="AA5496" s="12">
        <f>N5496*O5496</f>
        <v/>
      </c>
    </row>
    <row r="5497">
      <c r="A5497" s="12" t="inlineStr">
        <is>
          <t>I-P-0338</t>
        </is>
      </c>
      <c r="B5497" s="12" t="inlineStr">
        <is>
          <t>I</t>
        </is>
      </c>
      <c r="C5497" s="12" t="inlineStr">
        <is>
          <t>Modular / portable power</t>
        </is>
      </c>
      <c r="D5497" s="12" t="inlineStr">
        <is>
          <t>Motor 3 of 6, 2 kW</t>
        </is>
      </c>
      <c r="E5497" s="12" t="inlineStr"/>
      <c r="F5497" s="12" t="inlineStr">
        <is>
          <t>MOD-LV 480 V board + 480 V : 13.8 kV step-up</t>
        </is>
      </c>
      <c r="G5497" s="12" t="inlineStr">
        <is>
          <t>T-MOD-2</t>
        </is>
      </c>
      <c r="H5497" s="12" t="inlineStr">
        <is>
          <t>T-MOD-2: 230 / 34.5 kV</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61</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I-P-0339</t>
        </is>
      </c>
      <c r="B5498" s="12" t="inlineStr">
        <is>
          <t>I</t>
        </is>
      </c>
      <c r="C5498" s="12" t="inlineStr">
        <is>
          <t>Modular / portable power</t>
        </is>
      </c>
      <c r="D5498" s="12" t="inlineStr">
        <is>
          <t>Motor 4 of 6, 2 kW</t>
        </is>
      </c>
      <c r="E5498" s="12" t="inlineStr"/>
      <c r="F5498" s="12" t="inlineStr">
        <is>
          <t>MOD-LV 480 V board + 480 V : 13.8 kV step-up</t>
        </is>
      </c>
      <c r="G5498" s="12" t="inlineStr">
        <is>
          <t>T-MOD-2</t>
        </is>
      </c>
      <c r="H5498" s="12" t="inlineStr">
        <is>
          <t>T-MOD-2: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290</v>
      </c>
      <c r="U5498" s="15" t="n">
        <v>61</v>
      </c>
      <c r="V5498" s="15">
        <f>ROUNDUP((T5498+U5498+2*'Read Me'!$B$13)*(1+'Read Me'!$B$12),-1)</f>
        <v/>
      </c>
      <c r="W5498" s="15">
        <f>V5498*N5498*O5498</f>
        <v/>
      </c>
      <c r="X5498" s="12">
        <f>IF(LEFT(I5498,2)="MV",2*N5498*IF(L5498="1/C",O5498,1),0)</f>
        <v/>
      </c>
      <c r="Y5498" s="12">
        <f>IF(OR(LEFT(K5498,4)="LVAX",LEFT(K5498,6)="MV15AX",LEFT(K5498,4)="CTAX",LEFT(K5498,2)="W|"),2*N5498*O5498,0)</f>
        <v/>
      </c>
      <c r="Z5498" s="12" t="inlineStr">
        <is>
          <t>VD 0.5 %</t>
        </is>
      </c>
      <c r="AA5498" s="12">
        <f>N5498*O5498</f>
        <v/>
      </c>
    </row>
    <row r="5499">
      <c r="A5499" s="12" t="inlineStr">
        <is>
          <t>I-P-0340</t>
        </is>
      </c>
      <c r="B5499" s="12" t="inlineStr">
        <is>
          <t>I</t>
        </is>
      </c>
      <c r="C5499" s="12" t="inlineStr">
        <is>
          <t>Modular / portable power</t>
        </is>
      </c>
      <c r="D5499" s="12" t="inlineStr">
        <is>
          <t>Motor 5 of 6, 2 kW</t>
        </is>
      </c>
      <c r="E5499" s="12" t="inlineStr"/>
      <c r="F5499" s="12" t="inlineStr">
        <is>
          <t>MOD-LV 480 V board + 480 V : 13.8 kV step-up</t>
        </is>
      </c>
      <c r="G5499" s="12" t="inlineStr">
        <is>
          <t>T-MOD-2</t>
        </is>
      </c>
      <c r="H5499" s="12" t="inlineStr">
        <is>
          <t>T-MOD-2: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290</v>
      </c>
      <c r="U5499" s="15" t="n">
        <v>61</v>
      </c>
      <c r="V5499" s="15">
        <f>ROUNDUP((T5499+U5499+2*'Read Me'!$B$13)*(1+'Read Me'!$B$12),-1)</f>
        <v/>
      </c>
      <c r="W5499" s="15">
        <f>V5499*N5499*O5499</f>
        <v/>
      </c>
      <c r="X5499" s="12">
        <f>IF(LEFT(I5499,2)="MV",2*N5499*IF(L5499="1/C",O5499,1),0)</f>
        <v/>
      </c>
      <c r="Y5499" s="12">
        <f>IF(OR(LEFT(K5499,4)="LVAX",LEFT(K5499,6)="MV15AX",LEFT(K5499,4)="CTAX",LEFT(K5499,2)="W|"),2*N5499*O5499,0)</f>
        <v/>
      </c>
      <c r="Z5499" s="12" t="inlineStr">
        <is>
          <t>VD 0.5 %</t>
        </is>
      </c>
      <c r="AA5499" s="12">
        <f>N5499*O5499</f>
        <v/>
      </c>
    </row>
    <row r="5500">
      <c r="A5500" s="12" t="inlineStr">
        <is>
          <t>I-P-0341</t>
        </is>
      </c>
      <c r="B5500" s="12" t="inlineStr">
        <is>
          <t>I</t>
        </is>
      </c>
      <c r="C5500" s="12" t="inlineStr">
        <is>
          <t>Modular / portable power</t>
        </is>
      </c>
      <c r="D5500" s="12" t="inlineStr">
        <is>
          <t>Motor 6 of 6, 2 kW</t>
        </is>
      </c>
      <c r="E5500" s="12" t="inlineStr"/>
      <c r="F5500" s="12" t="inlineStr">
        <is>
          <t>MOD-LV 480 V board + 480 V : 13.8 kV step-up</t>
        </is>
      </c>
      <c r="G5500" s="12" t="inlineStr">
        <is>
          <t>T-MOD-2</t>
        </is>
      </c>
      <c r="H5500" s="12" t="inlineStr">
        <is>
          <t>T-MOD-2: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61</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I-P-0342</t>
        </is>
      </c>
      <c r="B5501" s="12" t="inlineStr">
        <is>
          <t>I</t>
        </is>
      </c>
      <c r="C5501" s="12" t="inlineStr">
        <is>
          <t>Modular / portable power</t>
        </is>
      </c>
      <c r="D5501" s="12" t="inlineStr">
        <is>
          <t>Motor 1 of 6, 2 kW</t>
        </is>
      </c>
      <c r="E5501" s="12" t="inlineStr"/>
      <c r="F5501" s="12" t="inlineStr">
        <is>
          <t>MOD-LV 480 V board + 480 V : 13.8 kV step-up</t>
        </is>
      </c>
      <c r="G5501" s="12" t="inlineStr"/>
      <c r="H5501" s="12" t="inlineStr">
        <is>
          <t>T-MOD-3 230 kV gantry extension with arresters</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36</v>
      </c>
      <c r="V5501" s="15">
        <f>ROUNDUP((T5501+U5501+2*'Read Me'!$B$13)*(1+'Read Me'!$B$12),-1)</f>
        <v/>
      </c>
      <c r="W5501" s="15">
        <f>V5501*N5501*O5501</f>
        <v/>
      </c>
      <c r="X5501" s="12">
        <f>IF(LEFT(I5501,2)="MV",2*N5501*IF(L5501="1/C",O5501,1),0)</f>
        <v/>
      </c>
      <c r="Y5501" s="12">
        <f>IF(OR(LEFT(K5501,4)="LVAX",LEFT(K5501,6)="MV15AX",LEFT(K5501,4)="CTAX",LEFT(K5501,2)="W|"),2*N5501*O5501,0)</f>
        <v/>
      </c>
      <c r="Z5501" s="12" t="inlineStr">
        <is>
          <t>VD 0.4 %</t>
        </is>
      </c>
      <c r="AA5501" s="12">
        <f>N5501*O5501</f>
        <v/>
      </c>
    </row>
    <row r="5502">
      <c r="A5502" s="12" t="inlineStr">
        <is>
          <t>I-P-0343</t>
        </is>
      </c>
      <c r="B5502" s="12" t="inlineStr">
        <is>
          <t>I</t>
        </is>
      </c>
      <c r="C5502" s="12" t="inlineStr">
        <is>
          <t>Modular / portable power</t>
        </is>
      </c>
      <c r="D5502" s="12" t="inlineStr">
        <is>
          <t>Motor 2 of 6, 2 kW</t>
        </is>
      </c>
      <c r="E5502" s="12" t="inlineStr"/>
      <c r="F5502" s="12" t="inlineStr">
        <is>
          <t>MOD-LV 480 V board + 480 V : 13.8 kV step-up</t>
        </is>
      </c>
      <c r="G5502" s="12" t="inlineStr"/>
      <c r="H5502" s="12" t="inlineStr">
        <is>
          <t>T-MOD-3 230 kV gantry extension with arresters</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36</v>
      </c>
      <c r="V5502" s="15">
        <f>ROUNDUP((T5502+U5502+2*'Read Me'!$B$13)*(1+'Read Me'!$B$12),-1)</f>
        <v/>
      </c>
      <c r="W5502" s="15">
        <f>V5502*N5502*O5502</f>
        <v/>
      </c>
      <c r="X5502" s="12">
        <f>IF(LEFT(I5502,2)="MV",2*N5502*IF(L5502="1/C",O5502,1),0)</f>
        <v/>
      </c>
      <c r="Y5502" s="12">
        <f>IF(OR(LEFT(K5502,4)="LVAX",LEFT(K5502,6)="MV15AX",LEFT(K5502,4)="CTAX",LEFT(K5502,2)="W|"),2*N5502*O5502,0)</f>
        <v/>
      </c>
      <c r="Z5502" s="12" t="inlineStr">
        <is>
          <t>VD 0.4 %</t>
        </is>
      </c>
      <c r="AA5502" s="12">
        <f>N5502*O5502</f>
        <v/>
      </c>
    </row>
    <row r="5503">
      <c r="A5503" s="12" t="inlineStr">
        <is>
          <t>I-P-0344</t>
        </is>
      </c>
      <c r="B5503" s="12" t="inlineStr">
        <is>
          <t>I</t>
        </is>
      </c>
      <c r="C5503" s="12" t="inlineStr">
        <is>
          <t>Modular / portable power</t>
        </is>
      </c>
      <c r="D5503" s="12" t="inlineStr">
        <is>
          <t>Motor 3 of 6, 2 kW</t>
        </is>
      </c>
      <c r="E5503" s="12" t="inlineStr"/>
      <c r="F5503" s="12" t="inlineStr">
        <is>
          <t>MOD-LV 480 V board + 480 V : 13.8 kV step-up</t>
        </is>
      </c>
      <c r="G5503" s="12" t="inlineStr"/>
      <c r="H5503" s="12" t="inlineStr">
        <is>
          <t>T-MOD-3 230 kV gantry extension with arresters</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290</v>
      </c>
      <c r="U5503" s="15" t="n">
        <v>36</v>
      </c>
      <c r="V5503" s="15">
        <f>ROUNDUP((T5503+U5503+2*'Read Me'!$B$13)*(1+'Read Me'!$B$12),-1)</f>
        <v/>
      </c>
      <c r="W5503" s="15">
        <f>V5503*N5503*O5503</f>
        <v/>
      </c>
      <c r="X5503" s="12">
        <f>IF(LEFT(I5503,2)="MV",2*N5503*IF(L5503="1/C",O5503,1),0)</f>
        <v/>
      </c>
      <c r="Y5503" s="12">
        <f>IF(OR(LEFT(K5503,4)="LVAX",LEFT(K5503,6)="MV15AX",LEFT(K5503,4)="CTAX",LEFT(K5503,2)="W|"),2*N5503*O5503,0)</f>
        <v/>
      </c>
      <c r="Z5503" s="12" t="inlineStr">
        <is>
          <t>VD 0.4 %</t>
        </is>
      </c>
      <c r="AA5503" s="12">
        <f>N5503*O5503</f>
        <v/>
      </c>
    </row>
    <row r="5504">
      <c r="A5504" s="12" t="inlineStr">
        <is>
          <t>I-P-0345</t>
        </is>
      </c>
      <c r="B5504" s="12" t="inlineStr">
        <is>
          <t>I</t>
        </is>
      </c>
      <c r="C5504" s="12" t="inlineStr">
        <is>
          <t>Modular / portable power</t>
        </is>
      </c>
      <c r="D5504" s="12" t="inlineStr">
        <is>
          <t>Motor 4 of 6, 2 kW</t>
        </is>
      </c>
      <c r="E5504" s="12" t="inlineStr"/>
      <c r="F5504" s="12" t="inlineStr">
        <is>
          <t>MOD-LV 480 V board + 480 V : 13.8 kV step-up</t>
        </is>
      </c>
      <c r="G5504" s="12" t="inlineStr"/>
      <c r="H5504" s="12" t="inlineStr">
        <is>
          <t>T-MOD-3 230 kV gantry extension with arresters</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36</v>
      </c>
      <c r="V5504" s="15">
        <f>ROUNDUP((T5504+U5504+2*'Read Me'!$B$13)*(1+'Read Me'!$B$12),-1)</f>
        <v/>
      </c>
      <c r="W5504" s="15">
        <f>V5504*N5504*O5504</f>
        <v/>
      </c>
      <c r="X5504" s="12">
        <f>IF(LEFT(I5504,2)="MV",2*N5504*IF(L5504="1/C",O5504,1),0)</f>
        <v/>
      </c>
      <c r="Y5504" s="12">
        <f>IF(OR(LEFT(K5504,4)="LVAX",LEFT(K5504,6)="MV15AX",LEFT(K5504,4)="CTAX",LEFT(K5504,2)="W|"),2*N5504*O5504,0)</f>
        <v/>
      </c>
      <c r="Z5504" s="12" t="inlineStr">
        <is>
          <t>VD 0.4 %</t>
        </is>
      </c>
      <c r="AA5504" s="12">
        <f>N5504*O5504</f>
        <v/>
      </c>
    </row>
    <row r="5505">
      <c r="A5505" s="12" t="inlineStr">
        <is>
          <t>I-P-0346</t>
        </is>
      </c>
      <c r="B5505" s="12" t="inlineStr">
        <is>
          <t>I</t>
        </is>
      </c>
      <c r="C5505" s="12" t="inlineStr">
        <is>
          <t>Modular / portable power</t>
        </is>
      </c>
      <c r="D5505" s="12" t="inlineStr">
        <is>
          <t>Motor 5 of 6, 2 kW</t>
        </is>
      </c>
      <c r="E5505" s="12" t="inlineStr"/>
      <c r="F5505" s="12" t="inlineStr">
        <is>
          <t>MOD-LV 480 V board + 480 V : 13.8 kV step-up</t>
        </is>
      </c>
      <c r="G5505" s="12" t="inlineStr"/>
      <c r="H5505" s="12" t="inlineStr">
        <is>
          <t>T-MOD-3 230 kV gantry extension with arresters</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36</v>
      </c>
      <c r="V5505" s="15">
        <f>ROUNDUP((T5505+U5505+2*'Read Me'!$B$13)*(1+'Read Me'!$B$12),-1)</f>
        <v/>
      </c>
      <c r="W5505" s="15">
        <f>V5505*N5505*O5505</f>
        <v/>
      </c>
      <c r="X5505" s="12">
        <f>IF(LEFT(I5505,2)="MV",2*N5505*IF(L5505="1/C",O5505,1),0)</f>
        <v/>
      </c>
      <c r="Y5505" s="12">
        <f>IF(OR(LEFT(K5505,4)="LVAX",LEFT(K5505,6)="MV15AX",LEFT(K5505,4)="CTAX",LEFT(K5505,2)="W|"),2*N5505*O5505,0)</f>
        <v/>
      </c>
      <c r="Z5505" s="12" t="inlineStr">
        <is>
          <t>VD 0.4 %</t>
        </is>
      </c>
      <c r="AA5505" s="12">
        <f>N5505*O5505</f>
        <v/>
      </c>
    </row>
    <row r="5506">
      <c r="A5506" s="12" t="inlineStr">
        <is>
          <t>I-P-0347</t>
        </is>
      </c>
      <c r="B5506" s="12" t="inlineStr">
        <is>
          <t>I</t>
        </is>
      </c>
      <c r="C5506" s="12" t="inlineStr">
        <is>
          <t>Modular / portable power</t>
        </is>
      </c>
      <c r="D5506" s="12" t="inlineStr">
        <is>
          <t>Motor 6 of 6, 2 kW</t>
        </is>
      </c>
      <c r="E5506" s="12" t="inlineStr"/>
      <c r="F5506" s="12" t="inlineStr">
        <is>
          <t>MOD-LV 480 V board + 480 V : 13.8 kV step-up</t>
        </is>
      </c>
      <c r="G5506" s="12" t="inlineStr"/>
      <c r="H5506" s="12" t="inlineStr">
        <is>
          <t>T-MOD-3 230 kV gantry extension with arresters</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36</v>
      </c>
      <c r="V5506" s="15">
        <f>ROUNDUP((T5506+U5506+2*'Read Me'!$B$13)*(1+'Read Me'!$B$12),-1)</f>
        <v/>
      </c>
      <c r="W5506" s="15">
        <f>V5506*N5506*O5506</f>
        <v/>
      </c>
      <c r="X5506" s="12">
        <f>IF(LEFT(I5506,2)="MV",2*N5506*IF(L5506="1/C",O5506,1),0)</f>
        <v/>
      </c>
      <c r="Y5506" s="12">
        <f>IF(OR(LEFT(K5506,4)="LVAX",LEFT(K5506,6)="MV15AX",LEFT(K5506,4)="CTAX",LEFT(K5506,2)="W|"),2*N5506*O5506,0)</f>
        <v/>
      </c>
      <c r="Z5506" s="12" t="inlineStr">
        <is>
          <t>VD 0.4 %</t>
        </is>
      </c>
      <c r="AA5506" s="12">
        <f>N5506*O5506</f>
        <v/>
      </c>
    </row>
    <row r="5507">
      <c r="A5507" s="12" t="inlineStr">
        <is>
          <t>I-P-0348</t>
        </is>
      </c>
      <c r="B5507" s="12" t="inlineStr">
        <is>
          <t>I</t>
        </is>
      </c>
      <c r="C5507" s="12" t="inlineStr">
        <is>
          <t>Modular / portable power</t>
        </is>
      </c>
      <c r="D5507" s="12" t="inlineStr">
        <is>
          <t>TGF-SWG station service from its internal 480 V aux transformer: charger, heaters, HVAC</t>
        </is>
      </c>
      <c r="E5507" s="12" t="inlineStr">
        <is>
          <t>TGF-SWG</t>
        </is>
      </c>
      <c r="F5507" s="12" t="inlineStr">
        <is>
          <t>TGF-SWG: mobile 13.8 kV switchgear trailer (fleet collector)</t>
        </is>
      </c>
      <c r="G5507" s="12" t="inlineStr">
        <is>
          <t>TGF-SWG</t>
        </is>
      </c>
      <c r="H5507" s="12" t="inlineStr">
        <is>
          <t>TGF-SWG: mobile 13.8 kV switchgear trailer (fleet collector)</t>
        </is>
      </c>
      <c r="I5507" s="12" t="inlineStr">
        <is>
          <t>LV 600 V</t>
        </is>
      </c>
      <c r="J5507" s="12" t="inlineStr">
        <is>
          <t>Type TC-ER 600 V 3/C Cu XHHW-2 + ground, PVC jacket</t>
        </is>
      </c>
      <c r="K5507" s="12" t="inlineStr">
        <is>
          <t>LV|3/C+G|2</t>
        </is>
      </c>
      <c r="L5507" s="12" t="inlineStr">
        <is>
          <t>3/C+G</t>
        </is>
      </c>
      <c r="M5507" s="12" t="inlineStr">
        <is>
          <t>2</t>
        </is>
      </c>
      <c r="N5507" s="12" t="n">
        <v>1</v>
      </c>
      <c r="O5507" s="12" t="n">
        <v>1</v>
      </c>
      <c r="P5507" s="12" t="n">
        <v>480</v>
      </c>
      <c r="Q5507" s="12" t="n">
        <v>45</v>
      </c>
      <c r="R5507" s="12" t="n">
        <v>60</v>
      </c>
      <c r="S5507" s="12" t="inlineStr">
        <is>
          <t>Tray</t>
        </is>
      </c>
      <c r="T5507" s="15" t="n">
        <v>40</v>
      </c>
      <c r="U5507" s="15" t="n">
        <v>10</v>
      </c>
      <c r="V5507" s="15">
        <f>ROUNDUP((T5507+U5507+2*'Read Me'!$B$13)*(1+'Read Me'!$B$12),-1)</f>
        <v/>
      </c>
      <c r="W5507" s="15">
        <f>V5507*N5507*O5507</f>
        <v/>
      </c>
      <c r="X5507" s="12">
        <f>IF(LEFT(I5507,2)="MV",2*N5507*IF(L5507="1/C",O5507,1),0)</f>
        <v/>
      </c>
      <c r="Y5507" s="12">
        <f>IF(OR(LEFT(K5507,4)="LVAX",LEFT(K5507,6)="MV15AX",LEFT(K5507,4)="CTAX",LEFT(K5507,2)="W|"),2*N5507*O5507,0)</f>
        <v/>
      </c>
      <c r="Z5507" s="12" t="inlineStr">
        <is>
          <t>internal to the lineup</t>
        </is>
      </c>
      <c r="AA5507" s="12">
        <f>N5507*O5507</f>
        <v/>
      </c>
    </row>
    <row r="5508">
      <c r="A5508" s="12" t="inlineStr">
        <is>
          <t>I-P-0349</t>
        </is>
      </c>
      <c r="B5508" s="12" t="inlineStr">
        <is>
          <t>I</t>
        </is>
      </c>
      <c r="C5508" s="12" t="inlineStr">
        <is>
          <t>Modular / portable power</t>
        </is>
      </c>
      <c r="D5508" s="12" t="inlineStr">
        <is>
          <t>Motor 1 of 6, 22 kW</t>
        </is>
      </c>
      <c r="E5508" s="12" t="inlineStr"/>
      <c r="F5508" s="12" t="inlineStr">
        <is>
          <t>MOD-LV 480 V board + 480 V : 13.8 kV step-up</t>
        </is>
      </c>
      <c r="G5508" s="12" t="inlineStr">
        <is>
          <t>TM-1</t>
        </is>
      </c>
      <c r="H5508" s="12" t="inlineStr">
        <is>
          <t>TM-1: trailer-mounted aeroderivative GT (TM2500 class, ~35 MW)</t>
        </is>
      </c>
      <c r="I5508" s="12" t="inlineStr">
        <is>
          <t>LV 600 V</t>
        </is>
      </c>
      <c r="J5508" s="12" t="inlineStr">
        <is>
          <t>Type TC-ER 600 V 3/C Cu XHHW-2 + ground, PVC jacket</t>
        </is>
      </c>
      <c r="K5508" s="12" t="inlineStr">
        <is>
          <t>LV|3/C+G|6</t>
        </is>
      </c>
      <c r="L5508" s="12" t="inlineStr">
        <is>
          <t>3/C+G</t>
        </is>
      </c>
      <c r="M5508" s="12" t="inlineStr">
        <is>
          <t>6</t>
        </is>
      </c>
      <c r="N5508" s="12" t="n">
        <v>1</v>
      </c>
      <c r="O5508" s="12" t="n">
        <v>1</v>
      </c>
      <c r="P5508" s="12" t="n">
        <v>480</v>
      </c>
      <c r="Q5508" s="12" t="n">
        <v>22</v>
      </c>
      <c r="R5508" s="12" t="n">
        <v>31.1</v>
      </c>
      <c r="S5508" s="12" t="inlineStr">
        <is>
          <t>Duct bank</t>
        </is>
      </c>
      <c r="T5508" s="15" t="n">
        <v>323</v>
      </c>
      <c r="U5508" s="15" t="n">
        <v>38</v>
      </c>
      <c r="V5508" s="15">
        <f>ROUNDUP((T5508+U5508+2*'Read Me'!$B$13)*(1+'Read Me'!$B$12),-1)</f>
        <v/>
      </c>
      <c r="W5508" s="15">
        <f>V5508*N5508*O5508</f>
        <v/>
      </c>
      <c r="X5508" s="12">
        <f>IF(LEFT(I5508,2)="MV",2*N5508*IF(L5508="1/C",O5508,1),0)</f>
        <v/>
      </c>
      <c r="Y5508" s="12">
        <f>IF(OR(LEFT(K5508,4)="LVAX",LEFT(K5508,6)="MV15AX",LEFT(K5508,4)="CTAX",LEFT(K5508,2)="W|"),2*N5508*O5508,0)</f>
        <v/>
      </c>
      <c r="Z5508" s="12" t="inlineStr">
        <is>
          <t>VD 2.2 %</t>
        </is>
      </c>
      <c r="AA5508" s="12">
        <f>N5508*O5508</f>
        <v/>
      </c>
    </row>
    <row r="5509">
      <c r="A5509" s="12" t="inlineStr">
        <is>
          <t>I-P-0350</t>
        </is>
      </c>
      <c r="B5509" s="12" t="inlineStr">
        <is>
          <t>I</t>
        </is>
      </c>
      <c r="C5509" s="12" t="inlineStr">
        <is>
          <t>Modular / portable power</t>
        </is>
      </c>
      <c r="D5509" s="12" t="inlineStr">
        <is>
          <t>Motor 2 of 6, 22 kW</t>
        </is>
      </c>
      <c r="E5509" s="12" t="inlineStr"/>
      <c r="F5509" s="12" t="inlineStr">
        <is>
          <t>MOD-LV 480 V board + 480 V : 13.8 kV step-up</t>
        </is>
      </c>
      <c r="G5509" s="12" t="inlineStr">
        <is>
          <t>TM-1</t>
        </is>
      </c>
      <c r="H5509" s="12" t="inlineStr">
        <is>
          <t>TM-1: trailer-mounted aeroderivative GT (TM2500 class, ~35 MW)</t>
        </is>
      </c>
      <c r="I5509" s="12" t="inlineStr">
        <is>
          <t>LV 600 V</t>
        </is>
      </c>
      <c r="J5509" s="12" t="inlineStr">
        <is>
          <t>Type TC-ER 600 V 3/C Cu XHHW-2 + ground, PVC jacket</t>
        </is>
      </c>
      <c r="K5509" s="12" t="inlineStr">
        <is>
          <t>LV|3/C+G|6</t>
        </is>
      </c>
      <c r="L5509" s="12" t="inlineStr">
        <is>
          <t>3/C+G</t>
        </is>
      </c>
      <c r="M5509" s="12" t="inlineStr">
        <is>
          <t>6</t>
        </is>
      </c>
      <c r="N5509" s="12" t="n">
        <v>1</v>
      </c>
      <c r="O5509" s="12" t="n">
        <v>1</v>
      </c>
      <c r="P5509" s="12" t="n">
        <v>480</v>
      </c>
      <c r="Q5509" s="12" t="n">
        <v>22</v>
      </c>
      <c r="R5509" s="12" t="n">
        <v>31.1</v>
      </c>
      <c r="S5509" s="12" t="inlineStr">
        <is>
          <t>Duct bank</t>
        </is>
      </c>
      <c r="T5509" s="15" t="n">
        <v>323</v>
      </c>
      <c r="U5509" s="15" t="n">
        <v>38</v>
      </c>
      <c r="V5509" s="15">
        <f>ROUNDUP((T5509+U5509+2*'Read Me'!$B$13)*(1+'Read Me'!$B$12),-1)</f>
        <v/>
      </c>
      <c r="W5509" s="15">
        <f>V5509*N5509*O5509</f>
        <v/>
      </c>
      <c r="X5509" s="12">
        <f>IF(LEFT(I5509,2)="MV",2*N5509*IF(L5509="1/C",O5509,1),0)</f>
        <v/>
      </c>
      <c r="Y5509" s="12">
        <f>IF(OR(LEFT(K5509,4)="LVAX",LEFT(K5509,6)="MV15AX",LEFT(K5509,4)="CTAX",LEFT(K5509,2)="W|"),2*N5509*O5509,0)</f>
        <v/>
      </c>
      <c r="Z5509" s="12" t="inlineStr">
        <is>
          <t>VD 2.2 %</t>
        </is>
      </c>
      <c r="AA5509" s="12">
        <f>N5509*O5509</f>
        <v/>
      </c>
    </row>
    <row r="5510">
      <c r="A5510" s="12" t="inlineStr">
        <is>
          <t>I-P-0351</t>
        </is>
      </c>
      <c r="B5510" s="12" t="inlineStr">
        <is>
          <t>I</t>
        </is>
      </c>
      <c r="C5510" s="12" t="inlineStr">
        <is>
          <t>Modular / portable power</t>
        </is>
      </c>
      <c r="D5510" s="12" t="inlineStr">
        <is>
          <t>Motor 3 of 6, 22 kW</t>
        </is>
      </c>
      <c r="E5510" s="12" t="inlineStr"/>
      <c r="F5510" s="12" t="inlineStr">
        <is>
          <t>MOD-LV 480 V board + 480 V : 13.8 kV step-up</t>
        </is>
      </c>
      <c r="G5510" s="12" t="inlineStr">
        <is>
          <t>TM-1</t>
        </is>
      </c>
      <c r="H5510" s="12" t="inlineStr">
        <is>
          <t>TM-1: trailer-mounted aeroderivative GT (TM2500 class, ~35 MW)</t>
        </is>
      </c>
      <c r="I5510" s="12" t="inlineStr">
        <is>
          <t>LV 600 V</t>
        </is>
      </c>
      <c r="J5510" s="12" t="inlineStr">
        <is>
          <t>Type TC-ER 600 V 3/C Cu XHHW-2 + ground, PVC jacket</t>
        </is>
      </c>
      <c r="K5510" s="12" t="inlineStr">
        <is>
          <t>LV|3/C+G|6</t>
        </is>
      </c>
      <c r="L5510" s="12" t="inlineStr">
        <is>
          <t>3/C+G</t>
        </is>
      </c>
      <c r="M5510" s="12" t="inlineStr">
        <is>
          <t>6</t>
        </is>
      </c>
      <c r="N5510" s="12" t="n">
        <v>1</v>
      </c>
      <c r="O5510" s="12" t="n">
        <v>1</v>
      </c>
      <c r="P5510" s="12" t="n">
        <v>480</v>
      </c>
      <c r="Q5510" s="12" t="n">
        <v>22</v>
      </c>
      <c r="R5510" s="12" t="n">
        <v>31.1</v>
      </c>
      <c r="S5510" s="12" t="inlineStr">
        <is>
          <t>Duct bank</t>
        </is>
      </c>
      <c r="T5510" s="15" t="n">
        <v>323</v>
      </c>
      <c r="U5510" s="15" t="n">
        <v>38</v>
      </c>
      <c r="V5510" s="15">
        <f>ROUNDUP((T5510+U5510+2*'Read Me'!$B$13)*(1+'Read Me'!$B$12),-1)</f>
        <v/>
      </c>
      <c r="W5510" s="15">
        <f>V5510*N5510*O5510</f>
        <v/>
      </c>
      <c r="X5510" s="12">
        <f>IF(LEFT(I5510,2)="MV",2*N5510*IF(L5510="1/C",O5510,1),0)</f>
        <v/>
      </c>
      <c r="Y5510" s="12">
        <f>IF(OR(LEFT(K5510,4)="LVAX",LEFT(K5510,6)="MV15AX",LEFT(K5510,4)="CTAX",LEFT(K5510,2)="W|"),2*N5510*O5510,0)</f>
        <v/>
      </c>
      <c r="Z5510" s="12" t="inlineStr">
        <is>
          <t>VD 2.2 %</t>
        </is>
      </c>
      <c r="AA5510" s="12">
        <f>N5510*O5510</f>
        <v/>
      </c>
    </row>
    <row r="5511">
      <c r="A5511" s="12" t="inlineStr">
        <is>
          <t>I-P-0352</t>
        </is>
      </c>
      <c r="B5511" s="12" t="inlineStr">
        <is>
          <t>I</t>
        </is>
      </c>
      <c r="C5511" s="12" t="inlineStr">
        <is>
          <t>Modular / portable power</t>
        </is>
      </c>
      <c r="D5511" s="12" t="inlineStr">
        <is>
          <t>Motor 4 of 6, 22 kW</t>
        </is>
      </c>
      <c r="E5511" s="12" t="inlineStr"/>
      <c r="F5511" s="12" t="inlineStr">
        <is>
          <t>MOD-LV 480 V board + 480 V : 13.8 kV step-up</t>
        </is>
      </c>
      <c r="G5511" s="12" t="inlineStr">
        <is>
          <t>TM-1</t>
        </is>
      </c>
      <c r="H5511" s="12" t="inlineStr">
        <is>
          <t>TM-1: trailer-mounted aeroderivative GT (TM2500 class, ~35 MW)</t>
        </is>
      </c>
      <c r="I5511" s="12" t="inlineStr">
        <is>
          <t>LV 600 V</t>
        </is>
      </c>
      <c r="J5511" s="12" t="inlineStr">
        <is>
          <t>Type TC-ER 600 V 3/C Cu XHHW-2 + ground, PVC jacket</t>
        </is>
      </c>
      <c r="K5511" s="12" t="inlineStr">
        <is>
          <t>LV|3/C+G|6</t>
        </is>
      </c>
      <c r="L5511" s="12" t="inlineStr">
        <is>
          <t>3/C+G</t>
        </is>
      </c>
      <c r="M5511" s="12" t="inlineStr">
        <is>
          <t>6</t>
        </is>
      </c>
      <c r="N5511" s="12" t="n">
        <v>1</v>
      </c>
      <c r="O5511" s="12" t="n">
        <v>1</v>
      </c>
      <c r="P5511" s="12" t="n">
        <v>480</v>
      </c>
      <c r="Q5511" s="12" t="n">
        <v>22</v>
      </c>
      <c r="R5511" s="12" t="n">
        <v>31.1</v>
      </c>
      <c r="S5511" s="12" t="inlineStr">
        <is>
          <t>Duct bank</t>
        </is>
      </c>
      <c r="T5511" s="15" t="n">
        <v>323</v>
      </c>
      <c r="U5511" s="15" t="n">
        <v>38</v>
      </c>
      <c r="V5511" s="15">
        <f>ROUNDUP((T5511+U5511+2*'Read Me'!$B$13)*(1+'Read Me'!$B$12),-1)</f>
        <v/>
      </c>
      <c r="W5511" s="15">
        <f>V5511*N5511*O5511</f>
        <v/>
      </c>
      <c r="X5511" s="12">
        <f>IF(LEFT(I5511,2)="MV",2*N5511*IF(L5511="1/C",O5511,1),0)</f>
        <v/>
      </c>
      <c r="Y5511" s="12">
        <f>IF(OR(LEFT(K5511,4)="LVAX",LEFT(K5511,6)="MV15AX",LEFT(K5511,4)="CTAX",LEFT(K5511,2)="W|"),2*N5511*O5511,0)</f>
        <v/>
      </c>
      <c r="Z5511" s="12" t="inlineStr">
        <is>
          <t>VD 2.2 %</t>
        </is>
      </c>
      <c r="AA5511" s="12">
        <f>N5511*O5511</f>
        <v/>
      </c>
    </row>
    <row r="5512">
      <c r="A5512" s="12" t="inlineStr">
        <is>
          <t>I-P-0353</t>
        </is>
      </c>
      <c r="B5512" s="12" t="inlineStr">
        <is>
          <t>I</t>
        </is>
      </c>
      <c r="C5512" s="12" t="inlineStr">
        <is>
          <t>Modular / portable power</t>
        </is>
      </c>
      <c r="D5512" s="12" t="inlineStr">
        <is>
          <t>Motor 5 of 6, 22 kW</t>
        </is>
      </c>
      <c r="E5512" s="12" t="inlineStr"/>
      <c r="F5512" s="12" t="inlineStr">
        <is>
          <t>MOD-LV 480 V board + 480 V : 13.8 kV step-up</t>
        </is>
      </c>
      <c r="G5512" s="12" t="inlineStr">
        <is>
          <t>TM-1</t>
        </is>
      </c>
      <c r="H5512" s="12" t="inlineStr">
        <is>
          <t>TM-1: trailer-mounted aeroderivative GT (TM2500 class, ~35 MW)</t>
        </is>
      </c>
      <c r="I5512" s="12" t="inlineStr">
        <is>
          <t>LV 600 V</t>
        </is>
      </c>
      <c r="J5512" s="12" t="inlineStr">
        <is>
          <t>Type TC-ER 600 V 3/C Cu XHHW-2 + ground, PVC jacket</t>
        </is>
      </c>
      <c r="K5512" s="12" t="inlineStr">
        <is>
          <t>LV|3/C+G|6</t>
        </is>
      </c>
      <c r="L5512" s="12" t="inlineStr">
        <is>
          <t>3/C+G</t>
        </is>
      </c>
      <c r="M5512" s="12" t="inlineStr">
        <is>
          <t>6</t>
        </is>
      </c>
      <c r="N5512" s="12" t="n">
        <v>1</v>
      </c>
      <c r="O5512" s="12" t="n">
        <v>1</v>
      </c>
      <c r="P5512" s="12" t="n">
        <v>480</v>
      </c>
      <c r="Q5512" s="12" t="n">
        <v>22</v>
      </c>
      <c r="R5512" s="12" t="n">
        <v>31.1</v>
      </c>
      <c r="S5512" s="12" t="inlineStr">
        <is>
          <t>Duct bank</t>
        </is>
      </c>
      <c r="T5512" s="15" t="n">
        <v>323</v>
      </c>
      <c r="U5512" s="15" t="n">
        <v>38</v>
      </c>
      <c r="V5512" s="15">
        <f>ROUNDUP((T5512+U5512+2*'Read Me'!$B$13)*(1+'Read Me'!$B$12),-1)</f>
        <v/>
      </c>
      <c r="W5512" s="15">
        <f>V5512*N5512*O5512</f>
        <v/>
      </c>
      <c r="X5512" s="12">
        <f>IF(LEFT(I5512,2)="MV",2*N5512*IF(L5512="1/C",O5512,1),0)</f>
        <v/>
      </c>
      <c r="Y5512" s="12">
        <f>IF(OR(LEFT(K5512,4)="LVAX",LEFT(K5512,6)="MV15AX",LEFT(K5512,4)="CTAX",LEFT(K5512,2)="W|"),2*N5512*O5512,0)</f>
        <v/>
      </c>
      <c r="Z5512" s="12" t="inlineStr">
        <is>
          <t>VD 2.2 %</t>
        </is>
      </c>
      <c r="AA5512" s="12">
        <f>N5512*O5512</f>
        <v/>
      </c>
    </row>
    <row r="5513">
      <c r="A5513" s="12" t="inlineStr">
        <is>
          <t>I-P-0354</t>
        </is>
      </c>
      <c r="B5513" s="12" t="inlineStr">
        <is>
          <t>I</t>
        </is>
      </c>
      <c r="C5513" s="12" t="inlineStr">
        <is>
          <t>Modular / portable power</t>
        </is>
      </c>
      <c r="D5513" s="12" t="inlineStr">
        <is>
          <t>Motor 6 of 6, 22 kW</t>
        </is>
      </c>
      <c r="E5513" s="12" t="inlineStr"/>
      <c r="F5513" s="12" t="inlineStr">
        <is>
          <t>MOD-LV 480 V board + 480 V : 13.8 kV step-up</t>
        </is>
      </c>
      <c r="G5513" s="12" t="inlineStr">
        <is>
          <t>TM-1</t>
        </is>
      </c>
      <c r="H5513" s="12" t="inlineStr">
        <is>
          <t>TM-1: trailer-mounted aeroderivative GT (TM2500 class, ~35 MW)</t>
        </is>
      </c>
      <c r="I5513" s="12" t="inlineStr">
        <is>
          <t>LV 600 V</t>
        </is>
      </c>
      <c r="J5513" s="12" t="inlineStr">
        <is>
          <t>Type TC-ER 600 V 3/C Cu XHHW-2 + ground, PVC jacket</t>
        </is>
      </c>
      <c r="K5513" s="12" t="inlineStr">
        <is>
          <t>LV|3/C+G|6</t>
        </is>
      </c>
      <c r="L5513" s="12" t="inlineStr">
        <is>
          <t>3/C+G</t>
        </is>
      </c>
      <c r="M5513" s="12" t="inlineStr">
        <is>
          <t>6</t>
        </is>
      </c>
      <c r="N5513" s="12" t="n">
        <v>1</v>
      </c>
      <c r="O5513" s="12" t="n">
        <v>1</v>
      </c>
      <c r="P5513" s="12" t="n">
        <v>480</v>
      </c>
      <c r="Q5513" s="12" t="n">
        <v>22</v>
      </c>
      <c r="R5513" s="12" t="n">
        <v>31.1</v>
      </c>
      <c r="S5513" s="12" t="inlineStr">
        <is>
          <t>Duct bank</t>
        </is>
      </c>
      <c r="T5513" s="15" t="n">
        <v>323</v>
      </c>
      <c r="U5513" s="15" t="n">
        <v>38</v>
      </c>
      <c r="V5513" s="15">
        <f>ROUNDUP((T5513+U5513+2*'Read Me'!$B$13)*(1+'Read Me'!$B$12),-1)</f>
        <v/>
      </c>
      <c r="W5513" s="15">
        <f>V5513*N5513*O5513</f>
        <v/>
      </c>
      <c r="X5513" s="12">
        <f>IF(LEFT(I5513,2)="MV",2*N5513*IF(L5513="1/C",O5513,1),0)</f>
        <v/>
      </c>
      <c r="Y5513" s="12">
        <f>IF(OR(LEFT(K5513,4)="LVAX",LEFT(K5513,6)="MV15AX",LEFT(K5513,4)="CTAX",LEFT(K5513,2)="W|"),2*N5513*O5513,0)</f>
        <v/>
      </c>
      <c r="Z5513" s="12" t="inlineStr">
        <is>
          <t>VD 2.2 %</t>
        </is>
      </c>
      <c r="AA5513" s="12">
        <f>N5513*O5513</f>
        <v/>
      </c>
    </row>
    <row r="5514">
      <c r="A5514" s="12" t="inlineStr">
        <is>
          <t>I-P-0355</t>
        </is>
      </c>
      <c r="B5514" s="12" t="inlineStr">
        <is>
          <t>I</t>
        </is>
      </c>
      <c r="C5514" s="12" t="inlineStr">
        <is>
          <t>Modular / portable power</t>
        </is>
      </c>
      <c r="D5514" s="12" t="inlineStr">
        <is>
          <t>Motor 1 of 2, 75 kW</t>
        </is>
      </c>
      <c r="E5514" s="12" t="inlineStr"/>
      <c r="F5514" s="12" t="inlineStr">
        <is>
          <t>SC-2 PCM + 15 kV GCB</t>
        </is>
      </c>
      <c r="G5514" s="12" t="inlineStr"/>
      <c r="H5514" s="12" t="inlineStr">
        <is>
          <t>Water-injection skid</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75</v>
      </c>
      <c r="R5514" s="12" t="n">
        <v>106.1</v>
      </c>
      <c r="S5514" s="12" t="inlineStr">
        <is>
          <t>Duct bank</t>
        </is>
      </c>
      <c r="T5514" s="15" t="n">
        <v>0</v>
      </c>
      <c r="U5514" s="15" t="n">
        <v>60</v>
      </c>
      <c r="V5514" s="15">
        <f>ROUNDUP((T5514+U5514+2*'Read Me'!$B$13)*(1+'Read Me'!$B$12),-1)</f>
        <v/>
      </c>
      <c r="W5514" s="15">
        <f>V5514*N5514*O5514</f>
        <v/>
      </c>
      <c r="X5514" s="12">
        <f>IF(LEFT(I5514,2)="MV",2*N5514*IF(L5514="1/C",O5514,1),0)</f>
        <v/>
      </c>
      <c r="Y5514" s="12">
        <f>IF(OR(LEFT(K5514,4)="LVAX",LEFT(K5514,6)="MV15AX",LEFT(K5514,4)="CTAX",LEFT(K5514,2)="W|"),2*N5514*O5514,0)</f>
        <v/>
      </c>
      <c r="Z5514" s="12" t="inlineStr">
        <is>
          <t>VD 0.3 %</t>
        </is>
      </c>
      <c r="AA5514" s="12">
        <f>N5514*O5514</f>
        <v/>
      </c>
    </row>
    <row r="5515">
      <c r="A5515" s="12" t="inlineStr">
        <is>
          <t>I-P-0356</t>
        </is>
      </c>
      <c r="B5515" s="12" t="inlineStr">
        <is>
          <t>I</t>
        </is>
      </c>
      <c r="C5515" s="12" t="inlineStr">
        <is>
          <t>Modular / portable power</t>
        </is>
      </c>
      <c r="D5515" s="12" t="inlineStr">
        <is>
          <t>Motor 2 of 2, 75 kW</t>
        </is>
      </c>
      <c r="E5515" s="12" t="inlineStr"/>
      <c r="F5515" s="12" t="inlineStr">
        <is>
          <t>SC-2 PCM + 15 kV GCB</t>
        </is>
      </c>
      <c r="G5515" s="12" t="inlineStr"/>
      <c r="H5515" s="12" t="inlineStr">
        <is>
          <t>Water-injection skid</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75</v>
      </c>
      <c r="R5515" s="12" t="n">
        <v>106.1</v>
      </c>
      <c r="S5515" s="12" t="inlineStr">
        <is>
          <t>Duct bank</t>
        </is>
      </c>
      <c r="T5515" s="15" t="n">
        <v>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0.3 %</t>
        </is>
      </c>
      <c r="AA5515" s="12">
        <f>N5515*O5515</f>
        <v/>
      </c>
    </row>
    <row r="5516">
      <c r="A5516" s="12" t="inlineStr">
        <is>
          <t>I-MV-0001</t>
        </is>
      </c>
      <c r="B5516" s="12" t="inlineStr">
        <is>
          <t>I</t>
        </is>
      </c>
      <c r="C5516" s="12" t="inlineStr">
        <is>
          <t>Modular / portable power</t>
        </is>
      </c>
      <c r="D5516" s="12" t="inlineStr">
        <is>
          <t>AX-1 generator neutral to its high-resistance grounding resistor (in the package)</t>
        </is>
      </c>
      <c r="E5516" s="12" t="inlineStr">
        <is>
          <t>AX-1</t>
        </is>
      </c>
      <c r="F5516" s="12" t="inlineStr">
        <is>
          <t xml:space="preserve">AX-1: compact modular aeroderivative installation, LM2500XPRESS class </t>
        </is>
      </c>
      <c r="G5516" s="12" t="inlineStr">
        <is>
          <t>AX-1</t>
        </is>
      </c>
      <c r="H5516" s="12" t="inlineStr">
        <is>
          <t xml:space="preserve">AX-1: compact modular aeroderivative installation, LM2500XPRESS class </t>
        </is>
      </c>
      <c r="I5516" s="12" t="inlineStr">
        <is>
          <t>MV 15 kV</t>
        </is>
      </c>
      <c r="J5516" s="12" t="inlineStr">
        <is>
          <t>MV-105 15 kV 1/C Cu, EPR 133%, Cu tape shield, PVC jacket (triplexed)</t>
        </is>
      </c>
      <c r="K5516" s="12" t="inlineStr">
        <is>
          <t>MV15|1/C|2</t>
        </is>
      </c>
      <c r="L5516" s="12" t="inlineStr">
        <is>
          <t>1/C</t>
        </is>
      </c>
      <c r="M5516" s="12" t="inlineStr">
        <is>
          <t>2</t>
        </is>
      </c>
      <c r="N5516" s="12" t="n">
        <v>1</v>
      </c>
      <c r="O5516" s="12" t="n">
        <v>1</v>
      </c>
      <c r="P5516" s="12" t="n">
        <v>13800</v>
      </c>
      <c r="Q5516" s="12" t="n"/>
      <c r="R5516" s="12" t="n"/>
      <c r="S5516" s="12" t="inlineStr">
        <is>
          <t>Conduit</t>
        </is>
      </c>
      <c r="T5516" s="15" t="n">
        <v>15</v>
      </c>
      <c r="U5516" s="15" t="n">
        <v>5</v>
      </c>
      <c r="V5516" s="15">
        <f>ROUNDUP((T5516+U5516+2*'Read Me'!$B$13)*(1+'Read Me'!$B$12),-1)</f>
        <v/>
      </c>
      <c r="W5516" s="15">
        <f>V5516*N5516*O5516</f>
        <v/>
      </c>
      <c r="X5516" s="12">
        <f>IF(LEFT(I5516,2)="MV",2*N5516*IF(L5516="1/C",O5516,1),0)</f>
        <v/>
      </c>
      <c r="Y5516" s="12">
        <f>IF(OR(LEFT(K5516,4)="LVAX",LEFT(K5516,6)="MV15AX",LEFT(K5516,4)="CTAX",LEFT(K5516,2)="W|"),2*N5516*O5516,0)</f>
        <v/>
      </c>
      <c r="Z5516" s="12" t="inlineStr">
        <is>
          <t>NGR in the generator / terminal-box enclosure</t>
        </is>
      </c>
      <c r="AA5516" s="12">
        <f>N5516*O5516</f>
        <v/>
      </c>
    </row>
    <row r="5517">
      <c r="A5517" s="12" t="inlineStr">
        <is>
          <t>I-MV-0002</t>
        </is>
      </c>
      <c r="B5517" s="12" t="inlineStr">
        <is>
          <t>I</t>
        </is>
      </c>
      <c r="C5517" s="12" t="inlineStr">
        <is>
          <t>Modular / portable power</t>
        </is>
      </c>
      <c r="D5517" s="12" t="inlineStr">
        <is>
          <t>AX-1 13.8 kV generator leads to AX-GSU</t>
        </is>
      </c>
      <c r="E5517" s="12" t="inlineStr">
        <is>
          <t>AX-1</t>
        </is>
      </c>
      <c r="F5517" s="12" t="inlineStr">
        <is>
          <t xml:space="preserve">AX-1: compact modular aeroderivative installation, LM2500XPRESS class </t>
        </is>
      </c>
      <c r="G5517" s="12" t="inlineStr">
        <is>
          <t>AX-GSU</t>
        </is>
      </c>
      <c r="H5517" s="12" t="inlineStr">
        <is>
          <t>AX-GSU: 13.8 / 34.5 kV step-up, ~45 MVA (AX-1 unit step-up)</t>
        </is>
      </c>
      <c r="I5517" s="12" t="inlineStr">
        <is>
          <t>MV 15 kV</t>
        </is>
      </c>
      <c r="J5517" s="12" t="inlineStr">
        <is>
          <t>MV-105 15 kV 1/C Cu, EPR 133%, Cu tape shield, PVC jacket (triplexed)</t>
        </is>
      </c>
      <c r="K5517" s="12" t="inlineStr">
        <is>
          <t>MV15|1/C|750</t>
        </is>
      </c>
      <c r="L5517" s="12" t="inlineStr">
        <is>
          <t>1/C</t>
        </is>
      </c>
      <c r="M5517" s="12" t="inlineStr">
        <is>
          <t>750 kcmil</t>
        </is>
      </c>
      <c r="N5517" s="12" t="n">
        <v>4</v>
      </c>
      <c r="O5517" s="12" t="n">
        <v>3</v>
      </c>
      <c r="P5517" s="12" t="n">
        <v>13800</v>
      </c>
      <c r="Q5517" s="12" t="n">
        <v>35000</v>
      </c>
      <c r="R5517" s="12" t="n">
        <v>1627</v>
      </c>
      <c r="S5517" s="12" t="inlineStr">
        <is>
          <t>Duct bank</t>
        </is>
      </c>
      <c r="T5517" s="15" t="n">
        <v>28</v>
      </c>
      <c r="U5517" s="15" t="n">
        <v>32</v>
      </c>
      <c r="V5517" s="15">
        <f>ROUNDUP((T5517+U5517+2*'Read Me'!$B$13)*(1+'Read Me'!$B$12),-1)</f>
        <v/>
      </c>
      <c r="W5517" s="15">
        <f>V5517*N5517*O5517</f>
        <v/>
      </c>
      <c r="X5517" s="12">
        <f>IF(LEFT(I5517,2)="MV",2*N5517*IF(L5517="1/C",O5517,1),0)</f>
        <v/>
      </c>
      <c r="Y5517" s="12">
        <f>IF(OR(LEFT(K5517,4)="LVAX",LEFT(K5517,6)="MV15AX",LEFT(K5517,4)="CTAX",LEFT(K5517,2)="W|"),2*N5517*O5517,0)</f>
        <v/>
      </c>
      <c r="Z5517" s="12" t="inlineStr">
        <is>
          <t>4 sets per phase</t>
        </is>
      </c>
      <c r="AA5517" s="12">
        <f>N5517*O5517</f>
        <v/>
      </c>
    </row>
    <row r="5518">
      <c r="A5518" s="12" t="inlineStr">
        <is>
          <t>I-MV-0003</t>
        </is>
      </c>
      <c r="B5518" s="12" t="inlineStr">
        <is>
          <t>I</t>
        </is>
      </c>
      <c r="C5518" s="12" t="inlineStr">
        <is>
          <t>Modular / portable power</t>
        </is>
      </c>
      <c r="D5518" s="12" t="inlineStr">
        <is>
          <t>CGE-1 generator neutral to its high-resistance grounding resistor (in the package)</t>
        </is>
      </c>
      <c r="E5518" s="12" t="inlineStr">
        <is>
          <t>CGE-1</t>
        </is>
      </c>
      <c r="F5518" s="12" t="inlineStr">
        <is>
          <t>CGE-1: containerized gas-engine generator ~4.4 MW, 13.8 kV (40 ft engi</t>
        </is>
      </c>
      <c r="G5518" s="12" t="inlineStr">
        <is>
          <t>CGE-1</t>
        </is>
      </c>
      <c r="H5518" s="12" t="inlineStr">
        <is>
          <t>CGE-1: containerized gas-engine generator ~4.4 MW, 13.8 kV (40 ft engi</t>
        </is>
      </c>
      <c r="I5518" s="12" t="inlineStr">
        <is>
          <t>MV 15 kV</t>
        </is>
      </c>
      <c r="J5518" s="12" t="inlineStr">
        <is>
          <t>MV-105 15 kV 1/C Cu, EPR 133%, Cu tape shield, PVC jacket (triplexed)</t>
        </is>
      </c>
      <c r="K5518" s="12" t="inlineStr">
        <is>
          <t>MV15|1/C|2</t>
        </is>
      </c>
      <c r="L5518" s="12" t="inlineStr">
        <is>
          <t>1/C</t>
        </is>
      </c>
      <c r="M5518" s="12" t="inlineStr">
        <is>
          <t>2</t>
        </is>
      </c>
      <c r="N5518" s="12" t="n">
        <v>1</v>
      </c>
      <c r="O5518" s="12" t="n">
        <v>1</v>
      </c>
      <c r="P5518" s="12" t="n">
        <v>13800</v>
      </c>
      <c r="Q5518" s="12" t="n"/>
      <c r="R5518" s="12" t="n"/>
      <c r="S5518" s="12" t="inlineStr">
        <is>
          <t>Conduit</t>
        </is>
      </c>
      <c r="T5518" s="15" t="n">
        <v>15</v>
      </c>
      <c r="U5518" s="15" t="n">
        <v>5</v>
      </c>
      <c r="V5518" s="15">
        <f>ROUNDUP((T5518+U5518+2*'Read Me'!$B$13)*(1+'Read Me'!$B$12),-1)</f>
        <v/>
      </c>
      <c r="W5518" s="15">
        <f>V5518*N5518*O5518</f>
        <v/>
      </c>
      <c r="X5518" s="12">
        <f>IF(LEFT(I5518,2)="MV",2*N5518*IF(L5518="1/C",O5518,1),0)</f>
        <v/>
      </c>
      <c r="Y5518" s="12">
        <f>IF(OR(LEFT(K5518,4)="LVAX",LEFT(K5518,6)="MV15AX",LEFT(K5518,4)="CTAX",LEFT(K5518,2)="W|"),2*N5518*O5518,0)</f>
        <v/>
      </c>
      <c r="Z5518" s="12" t="inlineStr">
        <is>
          <t>NGR in the generator / terminal-box enclosure</t>
        </is>
      </c>
      <c r="AA5518" s="12">
        <f>N5518*O5518</f>
        <v/>
      </c>
    </row>
    <row r="5519">
      <c r="A5519" s="12" t="inlineStr">
        <is>
          <t>I-MV-0004</t>
        </is>
      </c>
      <c r="B5519" s="12" t="inlineStr">
        <is>
          <t>I</t>
        </is>
      </c>
      <c r="C5519" s="12" t="inlineStr">
        <is>
          <t>Modular / portable power</t>
        </is>
      </c>
      <c r="D5519" s="12" t="inlineStr">
        <is>
          <t>CGE-2 generator neutral to its high-resistance grounding resistor (in the package)</t>
        </is>
      </c>
      <c r="E5519" s="12" t="inlineStr">
        <is>
          <t>CGE-2</t>
        </is>
      </c>
      <c r="F5519" s="12" t="inlineStr">
        <is>
          <t>CGE-2: containerized gas-engine generator ~4.4 MW, 13.8 kV (40 ft engi</t>
        </is>
      </c>
      <c r="G5519" s="12" t="inlineStr">
        <is>
          <t>CGE-2</t>
        </is>
      </c>
      <c r="H5519" s="12" t="inlineStr">
        <is>
          <t>CGE-2: containerized gas-engine generator ~4.4 MW, 13.8 kV (40 ft engi</t>
        </is>
      </c>
      <c r="I5519" s="12" t="inlineStr">
        <is>
          <t>MV 15 kV</t>
        </is>
      </c>
      <c r="J5519" s="12" t="inlineStr">
        <is>
          <t>MV-105 15 kV 1/C Cu, EPR 133%, Cu tape shield, PVC jacket (triplexed)</t>
        </is>
      </c>
      <c r="K5519" s="12" t="inlineStr">
        <is>
          <t>MV15|1/C|2</t>
        </is>
      </c>
      <c r="L5519" s="12" t="inlineStr">
        <is>
          <t>1/C</t>
        </is>
      </c>
      <c r="M5519" s="12" t="inlineStr">
        <is>
          <t>2</t>
        </is>
      </c>
      <c r="N5519" s="12" t="n">
        <v>1</v>
      </c>
      <c r="O5519" s="12" t="n">
        <v>1</v>
      </c>
      <c r="P5519" s="12" t="n">
        <v>13800</v>
      </c>
      <c r="Q5519" s="12" t="n"/>
      <c r="R5519" s="12" t="n"/>
      <c r="S5519" s="12" t="inlineStr">
        <is>
          <t>Conduit</t>
        </is>
      </c>
      <c r="T5519" s="15" t="n">
        <v>15</v>
      </c>
      <c r="U5519" s="15" t="n">
        <v>5</v>
      </c>
      <c r="V5519" s="15">
        <f>ROUNDUP((T5519+U5519+2*'Read Me'!$B$13)*(1+'Read Me'!$B$12),-1)</f>
        <v/>
      </c>
      <c r="W5519" s="15">
        <f>V5519*N5519*O5519</f>
        <v/>
      </c>
      <c r="X5519" s="12">
        <f>IF(LEFT(I5519,2)="MV",2*N5519*IF(L5519="1/C",O5519,1),0)</f>
        <v/>
      </c>
      <c r="Y5519" s="12">
        <f>IF(OR(LEFT(K5519,4)="LVAX",LEFT(K5519,6)="MV15AX",LEFT(K5519,4)="CTAX",LEFT(K5519,2)="W|"),2*N5519*O5519,0)</f>
        <v/>
      </c>
      <c r="Z5519" s="12" t="inlineStr">
        <is>
          <t>NGR in the generator / terminal-box enclosure</t>
        </is>
      </c>
      <c r="AA5519" s="12">
        <f>N5519*O5519</f>
        <v/>
      </c>
    </row>
    <row r="5520">
      <c r="A5520" s="12" t="inlineStr">
        <is>
          <t>I-MV-0005</t>
        </is>
      </c>
      <c r="B5520" s="12" t="inlineStr">
        <is>
          <t>I</t>
        </is>
      </c>
      <c r="C5520" s="12" t="inlineStr">
        <is>
          <t>Modular / portable power</t>
        </is>
      </c>
      <c r="D5520" s="12" t="inlineStr">
        <is>
          <t>CGE-3 generator neutral to its high-resistance grounding resistor (in the package)</t>
        </is>
      </c>
      <c r="E5520" s="12" t="inlineStr">
        <is>
          <t>CGE-3</t>
        </is>
      </c>
      <c r="F5520" s="12" t="inlineStr">
        <is>
          <t>CGE-3: containerized gas-engine generator ~4.4 MW, 13.8 kV (40 ft engi</t>
        </is>
      </c>
      <c r="G5520" s="12" t="inlineStr">
        <is>
          <t>CGE-3</t>
        </is>
      </c>
      <c r="H5520" s="12" t="inlineStr">
        <is>
          <t>CGE-3: containerized gas-engine generator ~4.4 MW, 13.8 kV (40 ft engi</t>
        </is>
      </c>
      <c r="I5520" s="12" t="inlineStr">
        <is>
          <t>MV 15 kV</t>
        </is>
      </c>
      <c r="J5520" s="12" t="inlineStr">
        <is>
          <t>MV-105 15 kV 1/C Cu, EPR 133%, Cu tape shield, PVC jacket (triplexed)</t>
        </is>
      </c>
      <c r="K5520" s="12" t="inlineStr">
        <is>
          <t>MV15|1/C|2</t>
        </is>
      </c>
      <c r="L5520" s="12" t="inlineStr">
        <is>
          <t>1/C</t>
        </is>
      </c>
      <c r="M5520" s="12" t="inlineStr">
        <is>
          <t>2</t>
        </is>
      </c>
      <c r="N5520" s="12" t="n">
        <v>1</v>
      </c>
      <c r="O5520" s="12" t="n">
        <v>1</v>
      </c>
      <c r="P5520" s="12" t="n">
        <v>13800</v>
      </c>
      <c r="Q5520" s="12" t="n"/>
      <c r="R5520" s="12" t="n"/>
      <c r="S5520" s="12" t="inlineStr">
        <is>
          <t>Conduit</t>
        </is>
      </c>
      <c r="T5520" s="15" t="n">
        <v>15</v>
      </c>
      <c r="U5520" s="15" t="n">
        <v>5</v>
      </c>
      <c r="V5520" s="15">
        <f>ROUNDUP((T5520+U5520+2*'Read Me'!$B$13)*(1+'Read Me'!$B$12),-1)</f>
        <v/>
      </c>
      <c r="W5520" s="15">
        <f>V5520*N5520*O5520</f>
        <v/>
      </c>
      <c r="X5520" s="12">
        <f>IF(LEFT(I5520,2)="MV",2*N5520*IF(L5520="1/C",O5520,1),0)</f>
        <v/>
      </c>
      <c r="Y5520" s="12">
        <f>IF(OR(LEFT(K5520,4)="LVAX",LEFT(K5520,6)="MV15AX",LEFT(K5520,4)="CTAX",LEFT(K5520,2)="W|"),2*N5520*O5520,0)</f>
        <v/>
      </c>
      <c r="Z5520" s="12" t="inlineStr">
        <is>
          <t>NGR in the generator / terminal-box enclosure</t>
        </is>
      </c>
      <c r="AA5520" s="12">
        <f>N5520*O5520</f>
        <v/>
      </c>
    </row>
    <row r="5521">
      <c r="A5521" s="12" t="inlineStr">
        <is>
          <t>I-MV-0006</t>
        </is>
      </c>
      <c r="B5521" s="12" t="inlineStr">
        <is>
          <t>I</t>
        </is>
      </c>
      <c r="C5521" s="12" t="inlineStr">
        <is>
          <t>Modular / portable power</t>
        </is>
      </c>
      <c r="D5521" s="12" t="inlineStr">
        <is>
          <t>CGE-4 generator neutral to its high-resistance grounding resistor (in the package)</t>
        </is>
      </c>
      <c r="E5521" s="12" t="inlineStr">
        <is>
          <t>CGE-4</t>
        </is>
      </c>
      <c r="F5521" s="12" t="inlineStr">
        <is>
          <t>CGE-4: containerized gas-engine generator ~4.4 MW, 13.8 kV (40 ft engi</t>
        </is>
      </c>
      <c r="G5521" s="12" t="inlineStr">
        <is>
          <t>CGE-4</t>
        </is>
      </c>
      <c r="H5521" s="12" t="inlineStr">
        <is>
          <t>CGE-4: containerized gas-engine generator ~4.4 MW, 13.8 kV (40 ft engi</t>
        </is>
      </c>
      <c r="I5521" s="12" t="inlineStr">
        <is>
          <t>MV 15 kV</t>
        </is>
      </c>
      <c r="J5521" s="12" t="inlineStr">
        <is>
          <t>MV-105 15 kV 1/C Cu, EPR 133%, Cu tape shield, PVC jacket (triplexed)</t>
        </is>
      </c>
      <c r="K5521" s="12" t="inlineStr">
        <is>
          <t>MV15|1/C|2</t>
        </is>
      </c>
      <c r="L5521" s="12" t="inlineStr">
        <is>
          <t>1/C</t>
        </is>
      </c>
      <c r="M5521" s="12" t="inlineStr">
        <is>
          <t>2</t>
        </is>
      </c>
      <c r="N5521" s="12" t="n">
        <v>1</v>
      </c>
      <c r="O5521" s="12" t="n">
        <v>1</v>
      </c>
      <c r="P5521" s="12" t="n">
        <v>13800</v>
      </c>
      <c r="Q5521" s="12" t="n"/>
      <c r="R5521" s="12" t="n"/>
      <c r="S5521" s="12" t="inlineStr">
        <is>
          <t>Conduit</t>
        </is>
      </c>
      <c r="T5521" s="15" t="n">
        <v>15</v>
      </c>
      <c r="U5521" s="15" t="n">
        <v>5</v>
      </c>
      <c r="V5521" s="15">
        <f>ROUNDUP((T5521+U5521+2*'Read Me'!$B$13)*(1+'Read Me'!$B$12),-1)</f>
        <v/>
      </c>
      <c r="W5521" s="15">
        <f>V5521*N5521*O5521</f>
        <v/>
      </c>
      <c r="X5521" s="12">
        <f>IF(LEFT(I5521,2)="MV",2*N5521*IF(L5521="1/C",O5521,1),0)</f>
        <v/>
      </c>
      <c r="Y5521" s="12">
        <f>IF(OR(LEFT(K5521,4)="LVAX",LEFT(K5521,6)="MV15AX",LEFT(K5521,4)="CTAX",LEFT(K5521,2)="W|"),2*N5521*O5521,0)</f>
        <v/>
      </c>
      <c r="Z5521" s="12" t="inlineStr">
        <is>
          <t>NGR in the generator / terminal-box enclosure</t>
        </is>
      </c>
      <c r="AA5521" s="12">
        <f>N5521*O5521</f>
        <v/>
      </c>
    </row>
    <row r="5522">
      <c r="A5522" s="12" t="inlineStr">
        <is>
          <t>I-MV-0007</t>
        </is>
      </c>
      <c r="B5522" s="12" t="inlineStr">
        <is>
          <t>I</t>
        </is>
      </c>
      <c r="C5522" s="12" t="inlineStr">
        <is>
          <t>Modular / portable power</t>
        </is>
      </c>
      <c r="D5522" s="12" t="inlineStr">
        <is>
          <t>CGE-AUX 13.8 kV primary</t>
        </is>
      </c>
      <c r="E5522" s="12" t="inlineStr">
        <is>
          <t>CGE-SWG</t>
        </is>
      </c>
      <c r="F5522" s="12" t="inlineStr">
        <is>
          <t>CGE-SWG: 13.8 kV switchgear container (engine breakers, site feeder)</t>
        </is>
      </c>
      <c r="G5522" s="12" t="inlineStr">
        <is>
          <t>CGE-AUX</t>
        </is>
      </c>
      <c r="H5522" s="12" t="inlineStr">
        <is>
          <t>CGE-AUX: 13.8 / 0.48 kV auxiliary transformer (cooling containers, rad</t>
        </is>
      </c>
      <c r="I5522" s="12" t="inlineStr">
        <is>
          <t>MV 15 kV</t>
        </is>
      </c>
      <c r="J5522" s="12" t="inlineStr">
        <is>
          <t>MV-105 15 kV 1/C Cu, EPR 133%, Cu tape shield, PVC jacket (triplexed)</t>
        </is>
      </c>
      <c r="K5522" s="12" t="inlineStr">
        <is>
          <t>MV15|1/C|2</t>
        </is>
      </c>
      <c r="L5522" s="12" t="inlineStr">
        <is>
          <t>1/C</t>
        </is>
      </c>
      <c r="M5522" s="12" t="inlineStr">
        <is>
          <t>2</t>
        </is>
      </c>
      <c r="N5522" s="12" t="n">
        <v>1</v>
      </c>
      <c r="O5522" s="12" t="n">
        <v>3</v>
      </c>
      <c r="P5522" s="12" t="n">
        <v>13800</v>
      </c>
      <c r="Q5522" s="12" t="n">
        <v>600</v>
      </c>
      <c r="R5522" s="12" t="n">
        <v>25</v>
      </c>
      <c r="S5522" s="12" t="inlineStr">
        <is>
          <t>Duct bank</t>
        </is>
      </c>
      <c r="T5522" s="15" t="n">
        <v>12</v>
      </c>
      <c r="U5522" s="15" t="n">
        <v>32</v>
      </c>
      <c r="V5522" s="15">
        <f>ROUNDUP((T5522+U5522+2*'Read Me'!$B$13)*(1+'Read Me'!$B$12),-1)</f>
        <v/>
      </c>
      <c r="W5522" s="15">
        <f>V5522*N5522*O5522</f>
        <v/>
      </c>
      <c r="X5522" s="12">
        <f>IF(LEFT(I5522,2)="MV",2*N5522*IF(L5522="1/C",O5522,1),0)</f>
        <v/>
      </c>
      <c r="Y5522" s="12">
        <f>IF(OR(LEFT(K5522,4)="LVAX",LEFT(K5522,6)="MV15AX",LEFT(K5522,4)="CTAX",LEFT(K5522,2)="W|"),2*N5522*O5522,0)</f>
        <v/>
      </c>
      <c r="Z5522" s="12" t="inlineStr"/>
      <c r="AA5522" s="12">
        <f>N5522*O5522</f>
        <v/>
      </c>
    </row>
    <row r="5523">
      <c r="A5523" s="12" t="inlineStr">
        <is>
          <t>I-MV-0008</t>
        </is>
      </c>
      <c r="B5523" s="12" t="inlineStr">
        <is>
          <t>I</t>
        </is>
      </c>
      <c r="C5523" s="12" t="inlineStr">
        <is>
          <t>Modular / portable power</t>
        </is>
      </c>
      <c r="D5523" s="12" t="inlineStr">
        <is>
          <t>CGE-SWG 13.8 kV to CGE-GSU</t>
        </is>
      </c>
      <c r="E5523" s="12" t="inlineStr">
        <is>
          <t>CGE-SWG</t>
        </is>
      </c>
      <c r="F5523" s="12" t="inlineStr">
        <is>
          <t>CGE-SWG: 13.8 kV switchgear container (engine breakers, site feeder)</t>
        </is>
      </c>
      <c r="G5523" s="12" t="inlineStr">
        <is>
          <t>CGE-GSU</t>
        </is>
      </c>
      <c r="H5523" s="12" t="inlineStr">
        <is>
          <t>CGE-GSU: 13.8 / 34.5 kV step-up, ~20 MVA (containerized engines)</t>
        </is>
      </c>
      <c r="I5523" s="12" t="inlineStr">
        <is>
          <t>MV 15 kV</t>
        </is>
      </c>
      <c r="J5523" s="12" t="inlineStr">
        <is>
          <t>MV-105 15 kV 1/C Cu, EPR 133%, Cu tape shield, PVC jacket (triplexed)</t>
        </is>
      </c>
      <c r="K5523" s="12" t="inlineStr">
        <is>
          <t>MV15|1/C|750</t>
        </is>
      </c>
      <c r="L5523" s="12" t="inlineStr">
        <is>
          <t>1/C</t>
        </is>
      </c>
      <c r="M5523" s="12" t="inlineStr">
        <is>
          <t>750 kcmil</t>
        </is>
      </c>
      <c r="N5523" s="12" t="n">
        <v>2</v>
      </c>
      <c r="O5523" s="12" t="n">
        <v>3</v>
      </c>
      <c r="P5523" s="12" t="n">
        <v>13800</v>
      </c>
      <c r="Q5523" s="12" t="n">
        <v>17600</v>
      </c>
      <c r="R5523" s="12" t="n">
        <v>818</v>
      </c>
      <c r="S5523" s="12" t="inlineStr">
        <is>
          <t>Duct bank</t>
        </is>
      </c>
      <c r="T5523" s="15" t="n">
        <v>10</v>
      </c>
      <c r="U5523" s="15" t="n">
        <v>32</v>
      </c>
      <c r="V5523" s="15">
        <f>ROUNDUP((T5523+U5523+2*'Read Me'!$B$13)*(1+'Read Me'!$B$12),-1)</f>
        <v/>
      </c>
      <c r="W5523" s="15">
        <f>V5523*N5523*O5523</f>
        <v/>
      </c>
      <c r="X5523" s="12">
        <f>IF(LEFT(I5523,2)="MV",2*N5523*IF(L5523="1/C",O5523,1),0)</f>
        <v/>
      </c>
      <c r="Y5523" s="12">
        <f>IF(OR(LEFT(K5523,4)="LVAX",LEFT(K5523,6)="MV15AX",LEFT(K5523,4)="CTAX",LEFT(K5523,2)="W|"),2*N5523*O5523,0)</f>
        <v/>
      </c>
      <c r="Z5523" s="12" t="inlineStr">
        <is>
          <t>2 sets per phase</t>
        </is>
      </c>
      <c r="AA5523" s="12">
        <f>N5523*O5523</f>
        <v/>
      </c>
    </row>
    <row r="5524">
      <c r="A5524" s="12" t="inlineStr">
        <is>
          <t>I-MV-0009</t>
        </is>
      </c>
      <c r="B5524" s="12" t="inlineStr">
        <is>
          <t>I</t>
        </is>
      </c>
      <c r="C5524" s="12" t="inlineStr">
        <is>
          <t>Modular / portable power</t>
        </is>
      </c>
      <c r="D5524" s="12" t="inlineStr">
        <is>
          <t>CGE-1 13.8 kV generator leads to the switchgear container</t>
        </is>
      </c>
      <c r="E5524" s="12" t="inlineStr">
        <is>
          <t>CGE-1</t>
        </is>
      </c>
      <c r="F5524" s="12" t="inlineStr">
        <is>
          <t>CGE-1: containerized gas-engine generator ~4.4 MW, 13.8 kV (40 ft engi</t>
        </is>
      </c>
      <c r="G5524" s="12" t="inlineStr">
        <is>
          <t>CGE-SWG</t>
        </is>
      </c>
      <c r="H5524" s="12" t="inlineStr">
        <is>
          <t>CGE-SWG: 13.8 kV switchgear container (engine breakers, site feeder)</t>
        </is>
      </c>
      <c r="I5524" s="12" t="inlineStr">
        <is>
          <t>MV 15 kV</t>
        </is>
      </c>
      <c r="J5524" s="12" t="inlineStr">
        <is>
          <t>MV-105 15 kV 1/C Cu, EPR 133%, Cu tape shield, PVC jacket (triplexed)</t>
        </is>
      </c>
      <c r="K5524" s="12" t="inlineStr">
        <is>
          <t>MV15|1/C|4/0</t>
        </is>
      </c>
      <c r="L5524" s="12" t="inlineStr">
        <is>
          <t>1/C</t>
        </is>
      </c>
      <c r="M5524" s="12" t="inlineStr">
        <is>
          <t>4/0</t>
        </is>
      </c>
      <c r="N5524" s="12" t="n">
        <v>1</v>
      </c>
      <c r="O5524" s="12" t="n">
        <v>3</v>
      </c>
      <c r="P5524" s="12" t="n">
        <v>13800</v>
      </c>
      <c r="Q5524" s="12" t="n">
        <v>4400</v>
      </c>
      <c r="R5524" s="12" t="n">
        <v>205</v>
      </c>
      <c r="S5524" s="12" t="inlineStr">
        <is>
          <t>Duct bank</t>
        </is>
      </c>
      <c r="T5524" s="15" t="n">
        <v>79</v>
      </c>
      <c r="U5524" s="15" t="n">
        <v>32</v>
      </c>
      <c r="V5524" s="15">
        <f>ROUNDUP((T5524+U5524+2*'Read Me'!$B$13)*(1+'Read Me'!$B$12),-1)</f>
        <v/>
      </c>
      <c r="W5524" s="15">
        <f>V5524*N5524*O5524</f>
        <v/>
      </c>
      <c r="X5524" s="12">
        <f>IF(LEFT(I5524,2)="MV",2*N5524*IF(L5524="1/C",O5524,1),0)</f>
        <v/>
      </c>
      <c r="Y5524" s="12">
        <f>IF(OR(LEFT(K5524,4)="LVAX",LEFT(K5524,6)="MV15AX",LEFT(K5524,4)="CTAX",LEFT(K5524,2)="W|"),2*N5524*O5524,0)</f>
        <v/>
      </c>
      <c r="Z5524" s="12" t="inlineStr">
        <is>
          <t>1 set per phase</t>
        </is>
      </c>
      <c r="AA5524" s="12">
        <f>N5524*O5524</f>
        <v/>
      </c>
    </row>
    <row r="5525">
      <c r="A5525" s="12" t="inlineStr">
        <is>
          <t>I-MV-0010</t>
        </is>
      </c>
      <c r="B5525" s="12" t="inlineStr">
        <is>
          <t>I</t>
        </is>
      </c>
      <c r="C5525" s="12" t="inlineStr">
        <is>
          <t>Modular / portable power</t>
        </is>
      </c>
      <c r="D5525" s="12" t="inlineStr">
        <is>
          <t>CGE-2 13.8 kV generator leads to the switchgear container</t>
        </is>
      </c>
      <c r="E5525" s="12" t="inlineStr">
        <is>
          <t>CGE-2</t>
        </is>
      </c>
      <c r="F5525" s="12" t="inlineStr">
        <is>
          <t>CGE-2: containerized gas-engine generator ~4.4 MW, 13.8 kV (40 ft engi</t>
        </is>
      </c>
      <c r="G5525" s="12" t="inlineStr">
        <is>
          <t>CGE-SWG</t>
        </is>
      </c>
      <c r="H5525" s="12" t="inlineStr">
        <is>
          <t>CGE-SWG: 13.8 kV switchgear container (engine breakers, site feeder)</t>
        </is>
      </c>
      <c r="I5525" s="12" t="inlineStr">
        <is>
          <t>MV 15 kV</t>
        </is>
      </c>
      <c r="J5525" s="12" t="inlineStr">
        <is>
          <t>MV-105 15 kV 1/C Cu, EPR 133%, Cu tape shield, PVC jacket (triplexed)</t>
        </is>
      </c>
      <c r="K5525" s="12" t="inlineStr">
        <is>
          <t>MV15|1/C|4/0</t>
        </is>
      </c>
      <c r="L5525" s="12" t="inlineStr">
        <is>
          <t>1/C</t>
        </is>
      </c>
      <c r="M5525" s="12" t="inlineStr">
        <is>
          <t>4/0</t>
        </is>
      </c>
      <c r="N5525" s="12" t="n">
        <v>1</v>
      </c>
      <c r="O5525" s="12" t="n">
        <v>3</v>
      </c>
      <c r="P5525" s="12" t="n">
        <v>13800</v>
      </c>
      <c r="Q5525" s="12" t="n">
        <v>4400</v>
      </c>
      <c r="R5525" s="12" t="n">
        <v>205</v>
      </c>
      <c r="S5525" s="12" t="inlineStr">
        <is>
          <t>Duct bank</t>
        </is>
      </c>
      <c r="T5525" s="15" t="n">
        <v>61</v>
      </c>
      <c r="U5525" s="15" t="n">
        <v>32</v>
      </c>
      <c r="V5525" s="15">
        <f>ROUNDUP((T5525+U5525+2*'Read Me'!$B$13)*(1+'Read Me'!$B$12),-1)</f>
        <v/>
      </c>
      <c r="W5525" s="15">
        <f>V5525*N5525*O5525</f>
        <v/>
      </c>
      <c r="X5525" s="12">
        <f>IF(LEFT(I5525,2)="MV",2*N5525*IF(L5525="1/C",O5525,1),0)</f>
        <v/>
      </c>
      <c r="Y5525" s="12">
        <f>IF(OR(LEFT(K5525,4)="LVAX",LEFT(K5525,6)="MV15AX",LEFT(K5525,4)="CTAX",LEFT(K5525,2)="W|"),2*N5525*O5525,0)</f>
        <v/>
      </c>
      <c r="Z5525" s="12" t="inlineStr">
        <is>
          <t>1 set per phase</t>
        </is>
      </c>
      <c r="AA5525" s="12">
        <f>N5525*O5525</f>
        <v/>
      </c>
    </row>
    <row r="5526">
      <c r="A5526" s="12" t="inlineStr">
        <is>
          <t>I-MV-0011</t>
        </is>
      </c>
      <c r="B5526" s="12" t="inlineStr">
        <is>
          <t>I</t>
        </is>
      </c>
      <c r="C5526" s="12" t="inlineStr">
        <is>
          <t>Modular / portable power</t>
        </is>
      </c>
      <c r="D5526" s="12" t="inlineStr">
        <is>
          <t>CGE-3 13.8 kV generator leads to the switchgear container</t>
        </is>
      </c>
      <c r="E5526" s="12" t="inlineStr">
        <is>
          <t>CGE-3</t>
        </is>
      </c>
      <c r="F5526" s="12" t="inlineStr">
        <is>
          <t>CGE-3: containerized gas-engine generator ~4.4 MW, 13.8 kV (40 ft engi</t>
        </is>
      </c>
      <c r="G5526" s="12" t="inlineStr">
        <is>
          <t>CGE-SWG</t>
        </is>
      </c>
      <c r="H5526" s="12" t="inlineStr">
        <is>
          <t>CGE-SWG: 13.8 kV switchgear container (engine breakers, site feeder)</t>
        </is>
      </c>
      <c r="I5526" s="12" t="inlineStr">
        <is>
          <t>MV 15 kV</t>
        </is>
      </c>
      <c r="J5526" s="12" t="inlineStr">
        <is>
          <t>MV-105 15 kV 1/C Cu, EPR 133%, Cu tape shield, PVC jacket (triplexed)</t>
        </is>
      </c>
      <c r="K5526" s="12" t="inlineStr">
        <is>
          <t>MV15|1/C|4/0</t>
        </is>
      </c>
      <c r="L5526" s="12" t="inlineStr">
        <is>
          <t>1/C</t>
        </is>
      </c>
      <c r="M5526" s="12" t="inlineStr">
        <is>
          <t>4/0</t>
        </is>
      </c>
      <c r="N5526" s="12" t="n">
        <v>1</v>
      </c>
      <c r="O5526" s="12" t="n">
        <v>3</v>
      </c>
      <c r="P5526" s="12" t="n">
        <v>13800</v>
      </c>
      <c r="Q5526" s="12" t="n">
        <v>4400</v>
      </c>
      <c r="R5526" s="12" t="n">
        <v>205</v>
      </c>
      <c r="S5526" s="12" t="inlineStr">
        <is>
          <t>Duct bank</t>
        </is>
      </c>
      <c r="T5526" s="15" t="n">
        <v>43</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1 set per phase</t>
        </is>
      </c>
      <c r="AA5526" s="12">
        <f>N5526*O5526</f>
        <v/>
      </c>
    </row>
    <row r="5527">
      <c r="A5527" s="12" t="inlineStr">
        <is>
          <t>I-MV-0012</t>
        </is>
      </c>
      <c r="B5527" s="12" t="inlineStr">
        <is>
          <t>I</t>
        </is>
      </c>
      <c r="C5527" s="12" t="inlineStr">
        <is>
          <t>Modular / portable power</t>
        </is>
      </c>
      <c r="D5527" s="12" t="inlineStr">
        <is>
          <t>CGE-4 13.8 kV generator leads to the switchgear container</t>
        </is>
      </c>
      <c r="E5527" s="12" t="inlineStr">
        <is>
          <t>CGE-4</t>
        </is>
      </c>
      <c r="F5527" s="12" t="inlineStr">
        <is>
          <t>CGE-4: containerized gas-engine generator ~4.4 MW, 13.8 kV (40 ft engi</t>
        </is>
      </c>
      <c r="G5527" s="12" t="inlineStr">
        <is>
          <t>CGE-SWG</t>
        </is>
      </c>
      <c r="H5527" s="12" t="inlineStr">
        <is>
          <t>CGE-SWG: 13.8 kV switchgear container (engine breakers, site feeder)</t>
        </is>
      </c>
      <c r="I5527" s="12" t="inlineStr">
        <is>
          <t>MV 15 kV</t>
        </is>
      </c>
      <c r="J5527" s="12" t="inlineStr">
        <is>
          <t>MV-105 15 kV 1/C Cu, EPR 133%, Cu tape shield, PVC jacket (triplexed)</t>
        </is>
      </c>
      <c r="K5527" s="12" t="inlineStr">
        <is>
          <t>MV15|1/C|4/0</t>
        </is>
      </c>
      <c r="L5527" s="12" t="inlineStr">
        <is>
          <t>1/C</t>
        </is>
      </c>
      <c r="M5527" s="12" t="inlineStr">
        <is>
          <t>4/0</t>
        </is>
      </c>
      <c r="N5527" s="12" t="n">
        <v>1</v>
      </c>
      <c r="O5527" s="12" t="n">
        <v>3</v>
      </c>
      <c r="P5527" s="12" t="n">
        <v>13800</v>
      </c>
      <c r="Q5527" s="12" t="n">
        <v>4400</v>
      </c>
      <c r="R5527" s="12" t="n">
        <v>205</v>
      </c>
      <c r="S5527" s="12" t="inlineStr">
        <is>
          <t>Duct bank</t>
        </is>
      </c>
      <c r="T5527" s="15" t="n">
        <v>29</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is>
          <t>1 set per phase</t>
        </is>
      </c>
      <c r="AA5527" s="12">
        <f>N5527*O5527</f>
        <v/>
      </c>
    </row>
    <row r="5528">
      <c r="A5528" s="12" t="inlineStr">
        <is>
          <t>I-MV-0013</t>
        </is>
      </c>
      <c r="B5528" s="12" t="inlineStr">
        <is>
          <t>I</t>
        </is>
      </c>
      <c r="C5528" s="12" t="inlineStr">
        <is>
          <t>Modular / portable power</t>
        </is>
      </c>
      <c r="D5528" s="12" t="inlineStr">
        <is>
          <t>CHP-1 generator neutral to its high-resistance grounding resistor (in the package)</t>
        </is>
      </c>
      <c r="E5528" s="12" t="inlineStr">
        <is>
          <t>CHP-1</t>
        </is>
      </c>
      <c r="F5528" s="12" t="inlineStr">
        <is>
          <t>CHP-1: gas-engine generator ~2.5 MW with exhaust heat recovery, 13.8 k</t>
        </is>
      </c>
      <c r="G5528" s="12" t="inlineStr">
        <is>
          <t>CHP-1</t>
        </is>
      </c>
      <c r="H5528" s="12" t="inlineStr">
        <is>
          <t>CHP-1: gas-engine generator ~2.5 MW with exhaust heat recovery, 13.8 k</t>
        </is>
      </c>
      <c r="I5528" s="12" t="inlineStr">
        <is>
          <t>MV 15 kV</t>
        </is>
      </c>
      <c r="J5528" s="12" t="inlineStr">
        <is>
          <t>MV-105 15 kV 1/C Cu, EPR 133%, Cu tape shield, PVC jacket (triplexed)</t>
        </is>
      </c>
      <c r="K5528" s="12" t="inlineStr">
        <is>
          <t>MV15|1/C|2</t>
        </is>
      </c>
      <c r="L5528" s="12" t="inlineStr">
        <is>
          <t>1/C</t>
        </is>
      </c>
      <c r="M5528" s="12" t="inlineStr">
        <is>
          <t>2</t>
        </is>
      </c>
      <c r="N5528" s="12" t="n">
        <v>1</v>
      </c>
      <c r="O5528" s="12" t="n">
        <v>1</v>
      </c>
      <c r="P5528" s="12" t="n">
        <v>13800</v>
      </c>
      <c r="Q5528" s="12" t="n"/>
      <c r="R5528" s="12" t="n"/>
      <c r="S5528" s="12" t="inlineStr">
        <is>
          <t>Conduit</t>
        </is>
      </c>
      <c r="T5528" s="15" t="n">
        <v>15</v>
      </c>
      <c r="U5528" s="15" t="n">
        <v>5</v>
      </c>
      <c r="V5528" s="15">
        <f>ROUNDUP((T5528+U5528+2*'Read Me'!$B$13)*(1+'Read Me'!$B$12),-1)</f>
        <v/>
      </c>
      <c r="W5528" s="15">
        <f>V5528*N5528*O5528</f>
        <v/>
      </c>
      <c r="X5528" s="12">
        <f>IF(LEFT(I5528,2)="MV",2*N5528*IF(L5528="1/C",O5528,1),0)</f>
        <v/>
      </c>
      <c r="Y5528" s="12">
        <f>IF(OR(LEFT(K5528,4)="LVAX",LEFT(K5528,6)="MV15AX",LEFT(K5528,4)="CTAX",LEFT(K5528,2)="W|"),2*N5528*O5528,0)</f>
        <v/>
      </c>
      <c r="Z5528" s="12" t="inlineStr">
        <is>
          <t>NGR in the generator / terminal-box enclosure</t>
        </is>
      </c>
      <c r="AA5528" s="12">
        <f>N5528*O5528</f>
        <v/>
      </c>
    </row>
    <row r="5529">
      <c r="A5529" s="12" t="inlineStr">
        <is>
          <t>I-MV-0014</t>
        </is>
      </c>
      <c r="B5529" s="12" t="inlineStr">
        <is>
          <t>I</t>
        </is>
      </c>
      <c r="C5529" s="12" t="inlineStr">
        <is>
          <t>Modular / portable power</t>
        </is>
      </c>
      <c r="D5529" s="12" t="inlineStr">
        <is>
          <t>CHP-2 generator neutral to its high-resistance grounding resistor (in the package)</t>
        </is>
      </c>
      <c r="E5529" s="12" t="inlineStr">
        <is>
          <t>CHP-2</t>
        </is>
      </c>
      <c r="F5529" s="12" t="inlineStr">
        <is>
          <t>CHP-2: gas-engine generator ~2.5 MW with exhaust heat recovery, 13.8 k</t>
        </is>
      </c>
      <c r="G5529" s="12" t="inlineStr">
        <is>
          <t>CHP-2</t>
        </is>
      </c>
      <c r="H5529" s="12" t="inlineStr">
        <is>
          <t>CHP-2: gas-engine generator ~2.5 MW with exhaust heat recovery, 13.8 k</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5</v>
      </c>
      <c r="V5529" s="15">
        <f>ROUNDUP((T5529+U5529+2*'Read Me'!$B$13)*(1+'Read Me'!$B$12),-1)</f>
        <v/>
      </c>
      <c r="W5529" s="15">
        <f>V5529*N5529*O5529</f>
        <v/>
      </c>
      <c r="X5529" s="12">
        <f>IF(LEFT(I5529,2)="MV",2*N5529*IF(L5529="1/C",O5529,1),0)</f>
        <v/>
      </c>
      <c r="Y5529" s="12">
        <f>IF(OR(LEFT(K5529,4)="LVAX",LEFT(K5529,6)="MV15AX",LEFT(K5529,4)="CTAX",LEFT(K5529,2)="W|"),2*N5529*O5529,0)</f>
        <v/>
      </c>
      <c r="Z5529" s="12" t="inlineStr">
        <is>
          <t>NGR in the generator / terminal-box enclosure</t>
        </is>
      </c>
      <c r="AA5529" s="12">
        <f>N5529*O5529</f>
        <v/>
      </c>
    </row>
    <row r="5530">
      <c r="A5530" s="12" t="inlineStr">
        <is>
          <t>I-MV-0015</t>
        </is>
      </c>
      <c r="B5530" s="12" t="inlineStr">
        <is>
          <t>I</t>
        </is>
      </c>
      <c r="C5530" s="12" t="inlineStr">
        <is>
          <t>Modular / portable power</t>
        </is>
      </c>
      <c r="D5530" s="12" t="inlineStr">
        <is>
          <t>CHP-3 generator neutral to its high-resistance grounding resistor (in the package)</t>
        </is>
      </c>
      <c r="E5530" s="12" t="inlineStr">
        <is>
          <t>CHP-3</t>
        </is>
      </c>
      <c r="F5530" s="12" t="inlineStr">
        <is>
          <t>CHP-3: gas-engine generator ~2.5 MW with exhaust heat recovery, 13.8 k</t>
        </is>
      </c>
      <c r="G5530" s="12" t="inlineStr">
        <is>
          <t>CHP-3</t>
        </is>
      </c>
      <c r="H5530" s="12" t="inlineStr">
        <is>
          <t>CHP-3: gas-engine generator ~2.5 MW with exhaust heat recovery, 13.8 k</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1</v>
      </c>
      <c r="P5530" s="12" t="n">
        <v>13800</v>
      </c>
      <c r="Q5530" s="12" t="n"/>
      <c r="R5530" s="12" t="n"/>
      <c r="S5530" s="12" t="inlineStr">
        <is>
          <t>Conduit</t>
        </is>
      </c>
      <c r="T5530" s="15" t="n">
        <v>15</v>
      </c>
      <c r="U5530" s="15" t="n">
        <v>5</v>
      </c>
      <c r="V5530" s="15">
        <f>ROUNDUP((T5530+U5530+2*'Read Me'!$B$13)*(1+'Read Me'!$B$12),-1)</f>
        <v/>
      </c>
      <c r="W5530" s="15">
        <f>V5530*N5530*O5530</f>
        <v/>
      </c>
      <c r="X5530" s="12">
        <f>IF(LEFT(I5530,2)="MV",2*N5530*IF(L5530="1/C",O5530,1),0)</f>
        <v/>
      </c>
      <c r="Y5530" s="12">
        <f>IF(OR(LEFT(K5530,4)="LVAX",LEFT(K5530,6)="MV15AX",LEFT(K5530,4)="CTAX",LEFT(K5530,2)="W|"),2*N5530*O5530,0)</f>
        <v/>
      </c>
      <c r="Z5530" s="12" t="inlineStr">
        <is>
          <t>NGR in the generator / terminal-box enclosure</t>
        </is>
      </c>
      <c r="AA5530" s="12">
        <f>N5530*O5530</f>
        <v/>
      </c>
    </row>
    <row r="5531">
      <c r="A5531" s="12" t="inlineStr">
        <is>
          <t>I-MV-0016</t>
        </is>
      </c>
      <c r="B5531" s="12" t="inlineStr">
        <is>
          <t>I</t>
        </is>
      </c>
      <c r="C5531" s="12" t="inlineStr">
        <is>
          <t>Modular / portable power</t>
        </is>
      </c>
      <c r="D5531" s="12" t="inlineStr">
        <is>
          <t>CHP-4 generator neutral to its high-resistance grounding resistor (in the package)</t>
        </is>
      </c>
      <c r="E5531" s="12" t="inlineStr">
        <is>
          <t>CHP-4</t>
        </is>
      </c>
      <c r="F5531" s="12" t="inlineStr">
        <is>
          <t>CHP-4: gas-engine generator ~2.5 MW with exhaust heat recovery, 13.8 k</t>
        </is>
      </c>
      <c r="G5531" s="12" t="inlineStr">
        <is>
          <t>CHP-4</t>
        </is>
      </c>
      <c r="H5531" s="12" t="inlineStr">
        <is>
          <t>CHP-4: gas-engine generator ~2.5 MW with exhaust heat recovery, 13.8 k</t>
        </is>
      </c>
      <c r="I5531" s="12" t="inlineStr">
        <is>
          <t>MV 15 kV</t>
        </is>
      </c>
      <c r="J5531" s="12" t="inlineStr">
        <is>
          <t>MV-105 15 kV 1/C Cu, EPR 133%, Cu tape shield, PVC jacket (triplexed)</t>
        </is>
      </c>
      <c r="K5531" s="12" t="inlineStr">
        <is>
          <t>MV15|1/C|2</t>
        </is>
      </c>
      <c r="L5531" s="12" t="inlineStr">
        <is>
          <t>1/C</t>
        </is>
      </c>
      <c r="M5531" s="12" t="inlineStr">
        <is>
          <t>2</t>
        </is>
      </c>
      <c r="N5531" s="12" t="n">
        <v>1</v>
      </c>
      <c r="O5531" s="12" t="n">
        <v>1</v>
      </c>
      <c r="P5531" s="12" t="n">
        <v>13800</v>
      </c>
      <c r="Q5531" s="12" t="n"/>
      <c r="R5531" s="12" t="n"/>
      <c r="S5531" s="12" t="inlineStr">
        <is>
          <t>Conduit</t>
        </is>
      </c>
      <c r="T5531" s="15" t="n">
        <v>15</v>
      </c>
      <c r="U5531" s="15" t="n">
        <v>5</v>
      </c>
      <c r="V5531" s="15">
        <f>ROUNDUP((T5531+U5531+2*'Read Me'!$B$13)*(1+'Read Me'!$B$12),-1)</f>
        <v/>
      </c>
      <c r="W5531" s="15">
        <f>V5531*N5531*O5531</f>
        <v/>
      </c>
      <c r="X5531" s="12">
        <f>IF(LEFT(I5531,2)="MV",2*N5531*IF(L5531="1/C",O5531,1),0)</f>
        <v/>
      </c>
      <c r="Y5531" s="12">
        <f>IF(OR(LEFT(K5531,4)="LVAX",LEFT(K5531,6)="MV15AX",LEFT(K5531,4)="CTAX",LEFT(K5531,2)="W|"),2*N5531*O5531,0)</f>
        <v/>
      </c>
      <c r="Z5531" s="12" t="inlineStr">
        <is>
          <t>NGR in the generator / terminal-box enclosure</t>
        </is>
      </c>
      <c r="AA5531" s="12">
        <f>N5531*O5531</f>
        <v/>
      </c>
    </row>
    <row r="5532">
      <c r="A5532" s="12" t="inlineStr">
        <is>
          <t>I-MV-0017</t>
        </is>
      </c>
      <c r="B5532" s="12" t="inlineStr">
        <is>
          <t>I</t>
        </is>
      </c>
      <c r="C5532" s="12" t="inlineStr">
        <is>
          <t>Modular / portable power</t>
        </is>
      </c>
      <c r="D5532" s="12" t="inlineStr">
        <is>
          <t>CHP-AUX 13.8 kV primary</t>
        </is>
      </c>
      <c r="E5532" s="12" t="inlineStr">
        <is>
          <t>CHP-SWG</t>
        </is>
      </c>
      <c r="F5532" s="12" t="inlineStr">
        <is>
          <t>CHP-SWG: 13.8 kV switchgear container (4 engine breakers, site feeder)</t>
        </is>
      </c>
      <c r="G5532" s="12" t="inlineStr">
        <is>
          <t>CHP-AUX</t>
        </is>
      </c>
      <c r="H5532" s="12" t="inlineStr">
        <is>
          <t>CHP-AUX: 13.8 / 0.48 kV, 750 kVA auxiliary pad-mount (engine auxiliari</t>
        </is>
      </c>
      <c r="I5532" s="12" t="inlineStr">
        <is>
          <t>MV 15 kV</t>
        </is>
      </c>
      <c r="J5532" s="12" t="inlineStr">
        <is>
          <t>MV-105 15 kV 1/C Cu, EPR 133%, Cu tape shield, PVC jacket (triplexed)</t>
        </is>
      </c>
      <c r="K5532" s="12" t="inlineStr">
        <is>
          <t>MV15|1/C|2</t>
        </is>
      </c>
      <c r="L5532" s="12" t="inlineStr">
        <is>
          <t>1/C</t>
        </is>
      </c>
      <c r="M5532" s="12" t="inlineStr">
        <is>
          <t>2</t>
        </is>
      </c>
      <c r="N5532" s="12" t="n">
        <v>1</v>
      </c>
      <c r="O5532" s="12" t="n">
        <v>3</v>
      </c>
      <c r="P5532" s="12" t="n">
        <v>13800</v>
      </c>
      <c r="Q5532" s="12" t="n">
        <v>750</v>
      </c>
      <c r="R5532" s="12" t="n">
        <v>31</v>
      </c>
      <c r="S5532" s="12" t="inlineStr">
        <is>
          <t>Duct bank</t>
        </is>
      </c>
      <c r="T5532" s="15" t="n">
        <v>4</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c r="AA5532" s="12">
        <f>N5532*O5532</f>
        <v/>
      </c>
    </row>
    <row r="5533">
      <c r="A5533" s="12" t="inlineStr">
        <is>
          <t>I-MV-0018</t>
        </is>
      </c>
      <c r="B5533" s="12" t="inlineStr">
        <is>
          <t>I</t>
        </is>
      </c>
      <c r="C5533" s="12" t="inlineStr">
        <is>
          <t>Modular / portable power</t>
        </is>
      </c>
      <c r="D5533" s="12" t="inlineStr">
        <is>
          <t>CHP-1 13.8 kV generator leads to the switchgear container</t>
        </is>
      </c>
      <c r="E5533" s="12" t="inlineStr">
        <is>
          <t>CHP-1</t>
        </is>
      </c>
      <c r="F5533" s="12" t="inlineStr">
        <is>
          <t>CHP-1: gas-engine generator ~2.5 MW with exhaust heat recovery, 13.8 k</t>
        </is>
      </c>
      <c r="G5533" s="12" t="inlineStr">
        <is>
          <t>CHP-SWG</t>
        </is>
      </c>
      <c r="H5533" s="12" t="inlineStr">
        <is>
          <t>CHP-SWG: 13.8 kV switchgear container (4 engine breakers, site feeder)</t>
        </is>
      </c>
      <c r="I5533" s="12" t="inlineStr">
        <is>
          <t>MV 15 kV</t>
        </is>
      </c>
      <c r="J5533" s="12" t="inlineStr">
        <is>
          <t>MV-105 15 kV 1/C Cu, EPR 133%, Cu tape shield, PVC jacket (triplexed)</t>
        </is>
      </c>
      <c r="K5533" s="12" t="inlineStr">
        <is>
          <t>MV15|1/C|1/0</t>
        </is>
      </c>
      <c r="L5533" s="12" t="inlineStr">
        <is>
          <t>1/C</t>
        </is>
      </c>
      <c r="M5533" s="12" t="inlineStr">
        <is>
          <t>1/0</t>
        </is>
      </c>
      <c r="N5533" s="12" t="n">
        <v>1</v>
      </c>
      <c r="O5533" s="12" t="n">
        <v>3</v>
      </c>
      <c r="P5533" s="12" t="n">
        <v>13800</v>
      </c>
      <c r="Q5533" s="12" t="n">
        <v>2500</v>
      </c>
      <c r="R5533" s="12" t="n">
        <v>116</v>
      </c>
      <c r="S5533" s="12" t="inlineStr">
        <is>
          <t>Duct bank</t>
        </is>
      </c>
      <c r="T5533" s="15" t="n">
        <v>72</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1 set per phase</t>
        </is>
      </c>
      <c r="AA5533" s="12">
        <f>N5533*O5533</f>
        <v/>
      </c>
    </row>
    <row r="5534">
      <c r="A5534" s="12" t="inlineStr">
        <is>
          <t>I-MV-0019</t>
        </is>
      </c>
      <c r="B5534" s="12" t="inlineStr">
        <is>
          <t>I</t>
        </is>
      </c>
      <c r="C5534" s="12" t="inlineStr">
        <is>
          <t>Modular / portable power</t>
        </is>
      </c>
      <c r="D5534" s="12" t="inlineStr">
        <is>
          <t>CHP-2 13.8 kV generator leads to the switchgear container</t>
        </is>
      </c>
      <c r="E5534" s="12" t="inlineStr">
        <is>
          <t>CHP-2</t>
        </is>
      </c>
      <c r="F5534" s="12" t="inlineStr">
        <is>
          <t>CHP-2: gas-engine generator ~2.5 MW with exhaust heat recovery, 13.8 k</t>
        </is>
      </c>
      <c r="G5534" s="12" t="inlineStr">
        <is>
          <t>CHP-SWG</t>
        </is>
      </c>
      <c r="H5534" s="12" t="inlineStr">
        <is>
          <t>CHP-SWG: 13.8 kV switchgear container (4 engine breakers, site feeder)</t>
        </is>
      </c>
      <c r="I5534" s="12" t="inlineStr">
        <is>
          <t>MV 15 kV</t>
        </is>
      </c>
      <c r="J5534" s="12" t="inlineStr">
        <is>
          <t>MV-105 15 kV 1/C Cu, EPR 133%, Cu tape shield, PVC jacket (triplexed)</t>
        </is>
      </c>
      <c r="K5534" s="12" t="inlineStr">
        <is>
          <t>MV15|1/C|1/0</t>
        </is>
      </c>
      <c r="L5534" s="12" t="inlineStr">
        <is>
          <t>1/C</t>
        </is>
      </c>
      <c r="M5534" s="12" t="inlineStr">
        <is>
          <t>1/0</t>
        </is>
      </c>
      <c r="N5534" s="12" t="n">
        <v>1</v>
      </c>
      <c r="O5534" s="12" t="n">
        <v>3</v>
      </c>
      <c r="P5534" s="12" t="n">
        <v>13800</v>
      </c>
      <c r="Q5534" s="12" t="n">
        <v>2500</v>
      </c>
      <c r="R5534" s="12" t="n">
        <v>116</v>
      </c>
      <c r="S5534" s="12" t="inlineStr">
        <is>
          <t>Duct bank</t>
        </is>
      </c>
      <c r="T5534" s="15" t="n">
        <v>58</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1 set per phase</t>
        </is>
      </c>
      <c r="AA5534" s="12">
        <f>N5534*O5534</f>
        <v/>
      </c>
    </row>
    <row r="5535">
      <c r="A5535" s="12" t="inlineStr">
        <is>
          <t>I-MV-0020</t>
        </is>
      </c>
      <c r="B5535" s="12" t="inlineStr">
        <is>
          <t>I</t>
        </is>
      </c>
      <c r="C5535" s="12" t="inlineStr">
        <is>
          <t>Modular / portable power</t>
        </is>
      </c>
      <c r="D5535" s="12" t="inlineStr">
        <is>
          <t>CHP-3 13.8 kV generator leads to the switchgear container</t>
        </is>
      </c>
      <c r="E5535" s="12" t="inlineStr">
        <is>
          <t>CHP-3</t>
        </is>
      </c>
      <c r="F5535" s="12" t="inlineStr">
        <is>
          <t>CHP-3: gas-engine generator ~2.5 MW with exhaust heat recovery, 13.8 k</t>
        </is>
      </c>
      <c r="G5535" s="12" t="inlineStr">
        <is>
          <t>CHP-SWG</t>
        </is>
      </c>
      <c r="H5535" s="12" t="inlineStr">
        <is>
          <t>CHP-SWG: 13.8 kV switchgear container (4 engine breakers, site feeder)</t>
        </is>
      </c>
      <c r="I5535" s="12" t="inlineStr">
        <is>
          <t>MV 15 kV</t>
        </is>
      </c>
      <c r="J5535" s="12" t="inlineStr">
        <is>
          <t>MV-105 15 kV 1/C Cu, EPR 133%, Cu tape shield, PVC jacket (triplexed)</t>
        </is>
      </c>
      <c r="K5535" s="12" t="inlineStr">
        <is>
          <t>MV15|1/C|1/0</t>
        </is>
      </c>
      <c r="L5535" s="12" t="inlineStr">
        <is>
          <t>1/C</t>
        </is>
      </c>
      <c r="M5535" s="12" t="inlineStr">
        <is>
          <t>1/0</t>
        </is>
      </c>
      <c r="N5535" s="12" t="n">
        <v>1</v>
      </c>
      <c r="O5535" s="12" t="n">
        <v>3</v>
      </c>
      <c r="P5535" s="12" t="n">
        <v>13800</v>
      </c>
      <c r="Q5535" s="12" t="n">
        <v>2500</v>
      </c>
      <c r="R5535" s="12" t="n">
        <v>116</v>
      </c>
      <c r="S5535" s="12" t="inlineStr">
        <is>
          <t>Duct bank</t>
        </is>
      </c>
      <c r="T5535" s="15" t="n">
        <v>34</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1 set per phase</t>
        </is>
      </c>
      <c r="AA5535" s="12">
        <f>N5535*O5535</f>
        <v/>
      </c>
    </row>
    <row r="5536">
      <c r="A5536" s="12" t="inlineStr">
        <is>
          <t>I-MV-0021</t>
        </is>
      </c>
      <c r="B5536" s="12" t="inlineStr">
        <is>
          <t>I</t>
        </is>
      </c>
      <c r="C5536" s="12" t="inlineStr">
        <is>
          <t>Modular / portable power</t>
        </is>
      </c>
      <c r="D5536" s="12" t="inlineStr">
        <is>
          <t>CHP-4 13.8 kV generator leads to the switchgear container</t>
        </is>
      </c>
      <c r="E5536" s="12" t="inlineStr">
        <is>
          <t>CHP-4</t>
        </is>
      </c>
      <c r="F5536" s="12" t="inlineStr">
        <is>
          <t>CHP-4: gas-engine generator ~2.5 MW with exhaust heat recovery, 13.8 k</t>
        </is>
      </c>
      <c r="G5536" s="12" t="inlineStr">
        <is>
          <t>CHP-SWG</t>
        </is>
      </c>
      <c r="H5536" s="12" t="inlineStr">
        <is>
          <t>CHP-SWG: 13.8 kV switchgear container (4 engine breakers, site feeder)</t>
        </is>
      </c>
      <c r="I5536" s="12" t="inlineStr">
        <is>
          <t>MV 15 kV</t>
        </is>
      </c>
      <c r="J5536" s="12" t="inlineStr">
        <is>
          <t>MV-105 15 kV 1/C Cu, EPR 133%, Cu tape shield, PVC jacket (triplexed)</t>
        </is>
      </c>
      <c r="K5536" s="12" t="inlineStr">
        <is>
          <t>MV15|1/C|1/0</t>
        </is>
      </c>
      <c r="L5536" s="12" t="inlineStr">
        <is>
          <t>1/C</t>
        </is>
      </c>
      <c r="M5536" s="12" t="inlineStr">
        <is>
          <t>1/0</t>
        </is>
      </c>
      <c r="N5536" s="12" t="n">
        <v>1</v>
      </c>
      <c r="O5536" s="12" t="n">
        <v>3</v>
      </c>
      <c r="P5536" s="12" t="n">
        <v>13800</v>
      </c>
      <c r="Q5536" s="12" t="n">
        <v>2500</v>
      </c>
      <c r="R5536" s="12" t="n">
        <v>116</v>
      </c>
      <c r="S5536" s="12" t="inlineStr">
        <is>
          <t>Duct bank</t>
        </is>
      </c>
      <c r="T5536" s="15" t="n">
        <v>20</v>
      </c>
      <c r="U5536" s="15" t="n">
        <v>32</v>
      </c>
      <c r="V5536" s="15">
        <f>ROUNDUP((T5536+U5536+2*'Read Me'!$B$13)*(1+'Read Me'!$B$12),-1)</f>
        <v/>
      </c>
      <c r="W5536" s="15">
        <f>V5536*N5536*O5536</f>
        <v/>
      </c>
      <c r="X5536" s="12">
        <f>IF(LEFT(I5536,2)="MV",2*N5536*IF(L5536="1/C",O5536,1),0)</f>
        <v/>
      </c>
      <c r="Y5536" s="12">
        <f>IF(OR(LEFT(K5536,4)="LVAX",LEFT(K5536,6)="MV15AX",LEFT(K5536,4)="CTAX",LEFT(K5536,2)="W|"),2*N5536*O5536,0)</f>
        <v/>
      </c>
      <c r="Z5536" s="12" t="inlineStr">
        <is>
          <t>1 set per phase</t>
        </is>
      </c>
      <c r="AA5536" s="12">
        <f>N5536*O5536</f>
        <v/>
      </c>
    </row>
    <row r="5537">
      <c r="A5537" s="12" t="inlineStr">
        <is>
          <t>I-MV-0022</t>
        </is>
      </c>
      <c r="B5537" s="12" t="inlineStr">
        <is>
          <t>I</t>
        </is>
      </c>
      <c r="C5537" s="12" t="inlineStr">
        <is>
          <t>Modular / portable power</t>
        </is>
      </c>
      <c r="D5537" s="12" t="inlineStr">
        <is>
          <t>Modular-yard fuel-gas compressor</t>
        </is>
      </c>
      <c r="E5537" s="12" t="inlineStr">
        <is>
          <t>MOD-EH</t>
        </is>
      </c>
      <c r="F5537" s="12" t="inlineStr">
        <is>
          <t>MOD-EH: 34.5 kV modular collector e-house (2 bus sections + 13.8 kV st</t>
        </is>
      </c>
      <c r="G5537" s="12" t="inlineStr"/>
      <c r="H5537" s="12" t="inlineStr">
        <is>
          <t>Fuel-gas compressors 3 x 100% electric</t>
        </is>
      </c>
      <c r="I5537" s="12" t="inlineStr">
        <is>
          <t>MV 15 kV</t>
        </is>
      </c>
      <c r="J5537" s="12" t="inlineStr">
        <is>
          <t>ARMOR-X MC-HL / MV-105 15 kV 3/C Cu, EPR 133%, tape shield, gnd, CWA, red PVC</t>
        </is>
      </c>
      <c r="K5537" s="12" t="inlineStr">
        <is>
          <t>MV15AX|3/C|2</t>
        </is>
      </c>
      <c r="L5537" s="12" t="inlineStr">
        <is>
          <t>3/C</t>
        </is>
      </c>
      <c r="M5537" s="12" t="inlineStr">
        <is>
          <t>2</t>
        </is>
      </c>
      <c r="N5537" s="12" t="n">
        <v>1</v>
      </c>
      <c r="O5537" s="12" t="n">
        <v>1</v>
      </c>
      <c r="P5537" s="12" t="n">
        <v>13800</v>
      </c>
      <c r="Q5537" s="12" t="n">
        <v>1500</v>
      </c>
      <c r="R5537" s="12" t="n">
        <v>70</v>
      </c>
      <c r="S5537" s="12" t="inlineStr">
        <is>
          <t>Duct bank</t>
        </is>
      </c>
      <c r="T5537" s="15" t="n">
        <v>841</v>
      </c>
      <c r="U5537" s="15" t="n">
        <v>108</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I-MV-0023</t>
        </is>
      </c>
      <c r="B5538" s="12" t="inlineStr">
        <is>
          <t>I</t>
        </is>
      </c>
      <c r="C5538" s="12" t="inlineStr">
        <is>
          <t>Modular / portable power</t>
        </is>
      </c>
      <c r="D5538" s="12" t="inlineStr">
        <is>
          <t>Modular-yard fuel-gas compressor</t>
        </is>
      </c>
      <c r="E5538" s="12" t="inlineStr">
        <is>
          <t>MOD-EH</t>
        </is>
      </c>
      <c r="F5538" s="12" t="inlineStr">
        <is>
          <t>MOD-EH: 34.5 kV modular collector e-house (2 bus sections + 13.8 kV st</t>
        </is>
      </c>
      <c r="G5538" s="12" t="inlineStr"/>
      <c r="H5538" s="12" t="inlineStr">
        <is>
          <t>Fuel-gas compressors 3 x 100% electric</t>
        </is>
      </c>
      <c r="I5538" s="12" t="inlineStr">
        <is>
          <t>MV 15 kV</t>
        </is>
      </c>
      <c r="J5538" s="12" t="inlineStr">
        <is>
          <t>ARMOR-X MC-HL / MV-105 15 kV 3/C Cu, EPR 133%, tape shield, gnd, CWA, red PVC</t>
        </is>
      </c>
      <c r="K5538" s="12" t="inlineStr">
        <is>
          <t>MV15AX|3/C|2</t>
        </is>
      </c>
      <c r="L5538" s="12" t="inlineStr">
        <is>
          <t>3/C</t>
        </is>
      </c>
      <c r="M5538" s="12" t="inlineStr">
        <is>
          <t>2</t>
        </is>
      </c>
      <c r="N5538" s="12" t="n">
        <v>1</v>
      </c>
      <c r="O5538" s="12" t="n">
        <v>1</v>
      </c>
      <c r="P5538" s="12" t="n">
        <v>13800</v>
      </c>
      <c r="Q5538" s="12" t="n">
        <v>1500</v>
      </c>
      <c r="R5538" s="12" t="n">
        <v>70</v>
      </c>
      <c r="S5538" s="12" t="inlineStr">
        <is>
          <t>Duct bank</t>
        </is>
      </c>
      <c r="T5538" s="15" t="n">
        <v>841</v>
      </c>
      <c r="U5538" s="15" t="n">
        <v>108</v>
      </c>
      <c r="V5538" s="15">
        <f>ROUNDUP((T5538+U5538+2*'Read Me'!$B$13)*(1+'Read Me'!$B$12),-1)</f>
        <v/>
      </c>
      <c r="W5538" s="15">
        <f>V5538*N5538*O5538</f>
        <v/>
      </c>
      <c r="X5538" s="12">
        <f>IF(LEFT(I5538,2)="MV",2*N5538*IF(L5538="1/C",O5538,1),0)</f>
        <v/>
      </c>
      <c r="Y5538" s="12">
        <f>IF(OR(LEFT(K5538,4)="LVAX",LEFT(K5538,6)="MV15AX",LEFT(K5538,4)="CTAX",LEFT(K5538,2)="W|"),2*N5538*O5538,0)</f>
        <v/>
      </c>
      <c r="Z5538" s="12" t="inlineStr"/>
      <c r="AA5538" s="12">
        <f>N5538*O5538</f>
        <v/>
      </c>
    </row>
    <row r="5539">
      <c r="A5539" s="12" t="inlineStr">
        <is>
          <t>I-MV-0024</t>
        </is>
      </c>
      <c r="B5539" s="12" t="inlineStr">
        <is>
          <t>I</t>
        </is>
      </c>
      <c r="C5539" s="12" t="inlineStr">
        <is>
          <t>Modular / portable power</t>
        </is>
      </c>
      <c r="D5539" s="12" t="inlineStr">
        <is>
          <t>Modular-yard fuel-gas compressor</t>
        </is>
      </c>
      <c r="E5539" s="12" t="inlineStr">
        <is>
          <t>MOD-EH</t>
        </is>
      </c>
      <c r="F5539" s="12" t="inlineStr">
        <is>
          <t>MOD-EH: 34.5 kV modular collector e-house (2 bus sections + 13.8 kV st</t>
        </is>
      </c>
      <c r="G5539" s="12" t="inlineStr"/>
      <c r="H5539" s="12" t="inlineStr">
        <is>
          <t>Fuel-gas compressors 3 x 100% electric</t>
        </is>
      </c>
      <c r="I5539" s="12" t="inlineStr">
        <is>
          <t>MV 15 kV</t>
        </is>
      </c>
      <c r="J5539" s="12" t="inlineStr">
        <is>
          <t>ARMOR-X MC-HL / MV-105 15 kV 3/C Cu, EPR 133%, tape shield, gnd, CWA, red PVC</t>
        </is>
      </c>
      <c r="K5539" s="12" t="inlineStr">
        <is>
          <t>MV15AX|3/C|2</t>
        </is>
      </c>
      <c r="L5539" s="12" t="inlineStr">
        <is>
          <t>3/C</t>
        </is>
      </c>
      <c r="M5539" s="12" t="inlineStr">
        <is>
          <t>2</t>
        </is>
      </c>
      <c r="N5539" s="12" t="n">
        <v>1</v>
      </c>
      <c r="O5539" s="12" t="n">
        <v>1</v>
      </c>
      <c r="P5539" s="12" t="n">
        <v>13800</v>
      </c>
      <c r="Q5539" s="12" t="n">
        <v>1500</v>
      </c>
      <c r="R5539" s="12" t="n">
        <v>70</v>
      </c>
      <c r="S5539" s="12" t="inlineStr">
        <is>
          <t>Duct bank</t>
        </is>
      </c>
      <c r="T5539" s="15" t="n">
        <v>841</v>
      </c>
      <c r="U5539" s="15" t="n">
        <v>108</v>
      </c>
      <c r="V5539" s="15">
        <f>ROUNDUP((T5539+U5539+2*'Read Me'!$B$13)*(1+'Read Me'!$B$12),-1)</f>
        <v/>
      </c>
      <c r="W5539" s="15">
        <f>V5539*N5539*O5539</f>
        <v/>
      </c>
      <c r="X5539" s="12">
        <f>IF(LEFT(I5539,2)="MV",2*N5539*IF(L5539="1/C",O5539,1),0)</f>
        <v/>
      </c>
      <c r="Y5539" s="12">
        <f>IF(OR(LEFT(K5539,4)="LVAX",LEFT(K5539,6)="MV15AX",LEFT(K5539,4)="CTAX",LEFT(K5539,2)="W|"),2*N5539*O5539,0)</f>
        <v/>
      </c>
      <c r="Z5539" s="12" t="inlineStr"/>
      <c r="AA5539" s="12">
        <f>N5539*O5539</f>
        <v/>
      </c>
    </row>
    <row r="5540">
      <c r="A5540" s="12" t="inlineStr">
        <is>
          <t>I-MV-0025</t>
        </is>
      </c>
      <c r="B5540" s="12" t="inlineStr">
        <is>
          <t>I</t>
        </is>
      </c>
      <c r="C5540" s="12" t="inlineStr">
        <is>
          <t>Modular / portable power</t>
        </is>
      </c>
      <c r="D5540" s="12" t="inlineStr">
        <is>
          <t>IG-1 generator neutral to its high-resistance grounding resistor (in the package)</t>
        </is>
      </c>
      <c r="E5540" s="12" t="inlineStr">
        <is>
          <t>IG-1</t>
        </is>
      </c>
      <c r="F5540" s="12" t="inlineStr">
        <is>
          <t>IG-1: industrial gas-turbine installation, SGT-800 / H-25 class (~50 M</t>
        </is>
      </c>
      <c r="G5540" s="12" t="inlineStr">
        <is>
          <t>IG-1</t>
        </is>
      </c>
      <c r="H5540" s="12" t="inlineStr">
        <is>
          <t>IG-1: industrial gas-turbine installation, SGT-800 / H-25 class (~50 M</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I-MV-0026</t>
        </is>
      </c>
      <c r="B5541" s="12" t="inlineStr">
        <is>
          <t>I</t>
        </is>
      </c>
      <c r="C5541" s="12" t="inlineStr">
        <is>
          <t>Modular / portable power</t>
        </is>
      </c>
      <c r="D5541" s="12" t="inlineStr">
        <is>
          <t>IG-1 13.8 kV generator leads to IG-GSU</t>
        </is>
      </c>
      <c r="E5541" s="12" t="inlineStr">
        <is>
          <t>IG-1</t>
        </is>
      </c>
      <c r="F5541" s="12" t="inlineStr">
        <is>
          <t>IG-1: industrial gas-turbine installation, SGT-800 / H-25 class (~50 M</t>
        </is>
      </c>
      <c r="G5541" s="12" t="inlineStr">
        <is>
          <t>IG-GSU</t>
        </is>
      </c>
      <c r="H5541" s="12" t="inlineStr">
        <is>
          <t>IG-GSU: 13.8 / 34.5 kV step-up, ~60 MVA (IG-1 unit step-up)</t>
        </is>
      </c>
      <c r="I5541" s="12" t="inlineStr">
        <is>
          <t>MV 15 kV</t>
        </is>
      </c>
      <c r="J5541" s="12" t="inlineStr">
        <is>
          <t>MV-105 15 kV 1/C Cu, EPR 133%, Cu tape shield, PVC jacket (triplexed)</t>
        </is>
      </c>
      <c r="K5541" s="12" t="inlineStr">
        <is>
          <t>MV15|1/C|1000</t>
        </is>
      </c>
      <c r="L5541" s="12" t="inlineStr">
        <is>
          <t>1/C</t>
        </is>
      </c>
      <c r="M5541" s="12" t="inlineStr">
        <is>
          <t>1000 kcmil</t>
        </is>
      </c>
      <c r="N5541" s="12" t="n">
        <v>5</v>
      </c>
      <c r="O5541" s="12" t="n">
        <v>3</v>
      </c>
      <c r="P5541" s="12" t="n">
        <v>13800</v>
      </c>
      <c r="Q5541" s="12" t="n">
        <v>50000</v>
      </c>
      <c r="R5541" s="12" t="n">
        <v>2324</v>
      </c>
      <c r="S5541" s="12" t="inlineStr">
        <is>
          <t>Duct bank</t>
        </is>
      </c>
      <c r="T5541" s="15" t="n">
        <v>26</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is>
          <t>5 sets per phase</t>
        </is>
      </c>
      <c r="AA5541" s="12">
        <f>N5541*O5541</f>
        <v/>
      </c>
    </row>
    <row r="5542">
      <c r="A5542" s="12" t="inlineStr">
        <is>
          <t>I-MV-0027</t>
        </is>
      </c>
      <c r="B5542" s="12" t="inlineStr">
        <is>
          <t>I</t>
        </is>
      </c>
      <c r="C5542" s="12" t="inlineStr">
        <is>
          <t>Modular / portable power</t>
        </is>
      </c>
      <c r="D5542" s="12" t="inlineStr">
        <is>
          <t>MOD-SST 13.8 kV secondary to the MOD-EH station-service section</t>
        </is>
      </c>
      <c r="E5542" s="12" t="inlineStr">
        <is>
          <t>MOD-SST</t>
        </is>
      </c>
      <c r="F5542" s="12" t="inlineStr">
        <is>
          <t>MOD-SST: 34.5 / 13.8 kV station-service transformer, ~10 MVA (yard sta</t>
        </is>
      </c>
      <c r="G5542" s="12" t="inlineStr">
        <is>
          <t>MOD-EH</t>
        </is>
      </c>
      <c r="H5542" s="12" t="inlineStr">
        <is>
          <t>MOD-EH: 34.5 kV modular collector e-house (2 bus sections + 13.8 kV st</t>
        </is>
      </c>
      <c r="I5542" s="12" t="inlineStr">
        <is>
          <t>MV 15 kV</t>
        </is>
      </c>
      <c r="J5542" s="12" t="inlineStr">
        <is>
          <t>MV-105 15 kV 1/C Cu, EPR 133%, Cu tape shield, PVC jacket (triplexed)</t>
        </is>
      </c>
      <c r="K5542" s="12" t="inlineStr">
        <is>
          <t>MV15|1/C|750</t>
        </is>
      </c>
      <c r="L5542" s="12" t="inlineStr">
        <is>
          <t>1/C</t>
        </is>
      </c>
      <c r="M5542" s="12" t="inlineStr">
        <is>
          <t>750 kcmil</t>
        </is>
      </c>
      <c r="N5542" s="12" t="n">
        <v>1</v>
      </c>
      <c r="O5542" s="12" t="n">
        <v>3</v>
      </c>
      <c r="P5542" s="12" t="n">
        <v>13800</v>
      </c>
      <c r="Q5542" s="12" t="n">
        <v>9000</v>
      </c>
      <c r="R5542" s="12" t="n">
        <v>418</v>
      </c>
      <c r="S5542" s="12" t="inlineStr">
        <is>
          <t>Duct bank</t>
        </is>
      </c>
      <c r="T5542" s="15" t="n">
        <v>40</v>
      </c>
      <c r="U5542" s="15" t="n">
        <v>20</v>
      </c>
      <c r="V5542" s="15">
        <f>ROUNDUP((T5542+U5542+2*'Read Me'!$B$13)*(1+'Read Me'!$B$12),-1)</f>
        <v/>
      </c>
      <c r="W5542" s="15">
        <f>V5542*N5542*O5542</f>
        <v/>
      </c>
      <c r="X5542" s="12">
        <f>IF(LEFT(I5542,2)="MV",2*N5542*IF(L5542="1/C",O5542,1),0)</f>
        <v/>
      </c>
      <c r="Y5542" s="12">
        <f>IF(OR(LEFT(K5542,4)="LVAX",LEFT(K5542,6)="MV15AX",LEFT(K5542,4)="CTAX",LEFT(K5542,2)="W|"),2*N5542*O5542,0)</f>
        <v/>
      </c>
      <c r="Z5542" s="12" t="inlineStr">
        <is>
          <t>1 set per phase</t>
        </is>
      </c>
      <c r="AA5542" s="12">
        <f>N5542*O5542</f>
        <v/>
      </c>
    </row>
    <row r="5543">
      <c r="A5543" s="12" t="inlineStr">
        <is>
          <t>I-MV-0028</t>
        </is>
      </c>
      <c r="B5543" s="12" t="inlineStr">
        <is>
          <t>I</t>
        </is>
      </c>
      <c r="C5543" s="12" t="inlineStr">
        <is>
          <t>Modular / portable power</t>
        </is>
      </c>
      <c r="D5543" s="12" t="inlineStr">
        <is>
          <t>MOD-LV supply from the MOD-EH 13.8 kV station-service section</t>
        </is>
      </c>
      <c r="E5543" s="12" t="inlineStr">
        <is>
          <t>MOD-EH</t>
        </is>
      </c>
      <c r="F5543" s="12" t="inlineStr">
        <is>
          <t>MOD-EH: 34.5 kV modular collector e-house (2 bus sections + 13.8 kV st</t>
        </is>
      </c>
      <c r="G5543" s="12" t="inlineStr"/>
      <c r="H5543" s="12" t="inlineStr">
        <is>
          <t>MOD-LV 480 V board + 480 V : 13.8 kV step-up</t>
        </is>
      </c>
      <c r="I5543" s="12" t="inlineStr">
        <is>
          <t>MV 15 kV</t>
        </is>
      </c>
      <c r="J5543" s="12" t="inlineStr">
        <is>
          <t>MV-105 15 kV 1/C Cu, EPR 133%, Cu tape shield, PVC jacket (triplexed)</t>
        </is>
      </c>
      <c r="K5543" s="12" t="inlineStr">
        <is>
          <t>MV15|1/C|1/0</t>
        </is>
      </c>
      <c r="L5543" s="12" t="inlineStr">
        <is>
          <t>1/C</t>
        </is>
      </c>
      <c r="M5543" s="12" t="inlineStr">
        <is>
          <t>1/0</t>
        </is>
      </c>
      <c r="N5543" s="12" t="n">
        <v>1</v>
      </c>
      <c r="O5543" s="12" t="n">
        <v>3</v>
      </c>
      <c r="P5543" s="12" t="n">
        <v>13800</v>
      </c>
      <c r="Q5543" s="12" t="n">
        <v>3000</v>
      </c>
      <c r="R5543" s="12" t="n">
        <v>126</v>
      </c>
      <c r="S5543" s="12" t="inlineStr">
        <is>
          <t>Duct bank</t>
        </is>
      </c>
      <c r="T5543" s="15" t="n">
        <v>538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I-MV-0029</t>
        </is>
      </c>
      <c r="B5544" s="12" t="inlineStr">
        <is>
          <t>I</t>
        </is>
      </c>
      <c r="C5544" s="12" t="inlineStr">
        <is>
          <t>Modular / portable power</t>
        </is>
      </c>
      <c r="D5544" s="12" t="inlineStr">
        <is>
          <t>MTG-1 generator neutral to its high-resistance grounding resistor (in the package)</t>
        </is>
      </c>
      <c r="E5544" s="12" t="inlineStr">
        <is>
          <t>MTG-1</t>
        </is>
      </c>
      <c r="F5544" s="12" t="inlineStr">
        <is>
          <t xml:space="preserve">MTG-1: mid-size industrial gas-turbine generator package ~16 MW, 13.8 </t>
        </is>
      </c>
      <c r="G5544" s="12" t="inlineStr">
        <is>
          <t>MTG-1</t>
        </is>
      </c>
      <c r="H5544" s="12" t="inlineStr">
        <is>
          <t xml:space="preserve">MTG-1: mid-size industrial gas-turbine generator package ~16 MW, 13.8 </t>
        </is>
      </c>
      <c r="I5544" s="12" t="inlineStr">
        <is>
          <t>MV 15 kV</t>
        </is>
      </c>
      <c r="J5544" s="12" t="inlineStr">
        <is>
          <t>MV-105 15 kV 1/C Cu, EPR 133%, Cu tape shield, PVC jacket (triplexed)</t>
        </is>
      </c>
      <c r="K5544" s="12" t="inlineStr">
        <is>
          <t>MV15|1/C|2</t>
        </is>
      </c>
      <c r="L5544" s="12" t="inlineStr">
        <is>
          <t>1/C</t>
        </is>
      </c>
      <c r="M5544" s="12" t="inlineStr">
        <is>
          <t>2</t>
        </is>
      </c>
      <c r="N5544" s="12" t="n">
        <v>1</v>
      </c>
      <c r="O5544" s="12" t="n">
        <v>1</v>
      </c>
      <c r="P5544" s="12" t="n">
        <v>13800</v>
      </c>
      <c r="Q5544" s="12" t="n"/>
      <c r="R5544" s="12" t="n"/>
      <c r="S5544" s="12" t="inlineStr">
        <is>
          <t>Conduit</t>
        </is>
      </c>
      <c r="T5544" s="15" t="n">
        <v>15</v>
      </c>
      <c r="U5544" s="15" t="n">
        <v>5</v>
      </c>
      <c r="V5544" s="15">
        <f>ROUNDUP((T5544+U5544+2*'Read Me'!$B$13)*(1+'Read Me'!$B$12),-1)</f>
        <v/>
      </c>
      <c r="W5544" s="15">
        <f>V5544*N5544*O5544</f>
        <v/>
      </c>
      <c r="X5544" s="12">
        <f>IF(LEFT(I5544,2)="MV",2*N5544*IF(L5544="1/C",O5544,1),0)</f>
        <v/>
      </c>
      <c r="Y5544" s="12">
        <f>IF(OR(LEFT(K5544,4)="LVAX",LEFT(K5544,6)="MV15AX",LEFT(K5544,4)="CTAX",LEFT(K5544,2)="W|"),2*N5544*O5544,0)</f>
        <v/>
      </c>
      <c r="Z5544" s="12" t="inlineStr">
        <is>
          <t>NGR in the generator / terminal-box enclosure</t>
        </is>
      </c>
      <c r="AA5544" s="12">
        <f>N5544*O5544</f>
        <v/>
      </c>
    </row>
    <row r="5545">
      <c r="A5545" s="12" t="inlineStr">
        <is>
          <t>I-MV-0030</t>
        </is>
      </c>
      <c r="B5545" s="12" t="inlineStr">
        <is>
          <t>I</t>
        </is>
      </c>
      <c r="C5545" s="12" t="inlineStr">
        <is>
          <t>Modular / portable power</t>
        </is>
      </c>
      <c r="D5545" s="12" t="inlineStr">
        <is>
          <t>MTG-2 generator neutral to its high-resistance grounding resistor (in the package)</t>
        </is>
      </c>
      <c r="E5545" s="12" t="inlineStr">
        <is>
          <t>MTG-2</t>
        </is>
      </c>
      <c r="F5545" s="12" t="inlineStr">
        <is>
          <t xml:space="preserve">MTG-2: mid-size industrial gas-turbine generator package ~16 MW, 13.8 </t>
        </is>
      </c>
      <c r="G5545" s="12" t="inlineStr">
        <is>
          <t>MTG-2</t>
        </is>
      </c>
      <c r="H5545" s="12" t="inlineStr">
        <is>
          <t xml:space="preserve">MTG-2: mid-size industrial gas-turbine generator package ~16 MW, 13.8 </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I-MV-0031</t>
        </is>
      </c>
      <c r="B5546" s="12" t="inlineStr">
        <is>
          <t>I</t>
        </is>
      </c>
      <c r="C5546" s="12" t="inlineStr">
        <is>
          <t>Modular / portable power</t>
        </is>
      </c>
      <c r="D5546" s="12" t="inlineStr">
        <is>
          <t>MTG-AUX 13.8 kV primary</t>
        </is>
      </c>
      <c r="E5546" s="12" t="inlineStr">
        <is>
          <t>MTG-SWG</t>
        </is>
      </c>
      <c r="F5546" s="12" t="inlineStr">
        <is>
          <t>MTG-SWG: 13.8 kV switchgear e-house (2 generator breakers, site feeder</t>
        </is>
      </c>
      <c r="G5546" s="12" t="inlineStr">
        <is>
          <t>MTG-AUX</t>
        </is>
      </c>
      <c r="H5546" s="12" t="inlineStr">
        <is>
          <t>MTG-AUX: 13.8 / 0.48 kV auxiliary transformer</t>
        </is>
      </c>
      <c r="I5546" s="12" t="inlineStr">
        <is>
          <t>MV 15 kV</t>
        </is>
      </c>
      <c r="J5546" s="12" t="inlineStr">
        <is>
          <t>MV-105 15 kV 1/C Cu, EPR 133%, Cu tape shield, PVC jacket (triplexed)</t>
        </is>
      </c>
      <c r="K5546" s="12" t="inlineStr">
        <is>
          <t>MV15|1/C|2</t>
        </is>
      </c>
      <c r="L5546" s="12" t="inlineStr">
        <is>
          <t>1/C</t>
        </is>
      </c>
      <c r="M5546" s="12" t="inlineStr">
        <is>
          <t>2</t>
        </is>
      </c>
      <c r="N5546" s="12" t="n">
        <v>1</v>
      </c>
      <c r="O5546" s="12" t="n">
        <v>3</v>
      </c>
      <c r="P5546" s="12" t="n">
        <v>13800</v>
      </c>
      <c r="Q5546" s="12" t="n">
        <v>750</v>
      </c>
      <c r="R5546" s="12" t="n">
        <v>31</v>
      </c>
      <c r="S5546" s="12" t="inlineStr">
        <is>
          <t>Duct bank</t>
        </is>
      </c>
      <c r="T5546" s="15" t="n">
        <v>34</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I-MV-0032</t>
        </is>
      </c>
      <c r="B5547" s="12" t="inlineStr">
        <is>
          <t>I</t>
        </is>
      </c>
      <c r="C5547" s="12" t="inlineStr">
        <is>
          <t>Modular / portable power</t>
        </is>
      </c>
      <c r="D5547" s="12" t="inlineStr">
        <is>
          <t>MTG-SWG 13.8 kV to MTG-GSU</t>
        </is>
      </c>
      <c r="E5547" s="12" t="inlineStr">
        <is>
          <t>MTG-SWG</t>
        </is>
      </c>
      <c r="F5547" s="12" t="inlineStr">
        <is>
          <t>MTG-SWG: 13.8 kV switchgear e-house (2 generator breakers, site feeder</t>
        </is>
      </c>
      <c r="G5547" s="12" t="inlineStr">
        <is>
          <t>MTG-GSU</t>
        </is>
      </c>
      <c r="H5547" s="12" t="inlineStr">
        <is>
          <t>MTG-GSU: 13.8 / 34.5 kV step-up, ~40 MVA (mid-size turbines)</t>
        </is>
      </c>
      <c r="I5547" s="12" t="inlineStr">
        <is>
          <t>MV 15 kV</t>
        </is>
      </c>
      <c r="J5547" s="12" t="inlineStr">
        <is>
          <t>MV-105 15 kV 1/C Cu, EPR 133%, Cu tape shield, PVC jacket (triplexed)</t>
        </is>
      </c>
      <c r="K5547" s="12" t="inlineStr">
        <is>
          <t>MV15|1/C|1000</t>
        </is>
      </c>
      <c r="L5547" s="12" t="inlineStr">
        <is>
          <t>1/C</t>
        </is>
      </c>
      <c r="M5547" s="12" t="inlineStr">
        <is>
          <t>1000 kcmil</t>
        </is>
      </c>
      <c r="N5547" s="12" t="n">
        <v>3</v>
      </c>
      <c r="O5547" s="12" t="n">
        <v>3</v>
      </c>
      <c r="P5547" s="12" t="n">
        <v>13800</v>
      </c>
      <c r="Q5547" s="12" t="n">
        <v>32000</v>
      </c>
      <c r="R5547" s="12" t="n">
        <v>1488</v>
      </c>
      <c r="S5547" s="12" t="inlineStr">
        <is>
          <t>Duct bank</t>
        </is>
      </c>
      <c r="T5547" s="15" t="n">
        <v>12</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is>
          <t>3 sets per phase</t>
        </is>
      </c>
      <c r="AA5547" s="12">
        <f>N5547*O5547</f>
        <v/>
      </c>
    </row>
    <row r="5548">
      <c r="A5548" s="12" t="inlineStr">
        <is>
          <t>I-MV-0033</t>
        </is>
      </c>
      <c r="B5548" s="12" t="inlineStr">
        <is>
          <t>I</t>
        </is>
      </c>
      <c r="C5548" s="12" t="inlineStr">
        <is>
          <t>Modular / portable power</t>
        </is>
      </c>
      <c r="D5548" s="12" t="inlineStr">
        <is>
          <t>MTG-1 13.8 kV generator leads to the switchgear e-house</t>
        </is>
      </c>
      <c r="E5548" s="12" t="inlineStr">
        <is>
          <t>MTG-1</t>
        </is>
      </c>
      <c r="F5548" s="12" t="inlineStr">
        <is>
          <t xml:space="preserve">MTG-1: mid-size industrial gas-turbine generator package ~16 MW, 13.8 </t>
        </is>
      </c>
      <c r="G5548" s="12" t="inlineStr">
        <is>
          <t>MTG-SWG</t>
        </is>
      </c>
      <c r="H5548" s="12" t="inlineStr">
        <is>
          <t>MTG-SWG: 13.8 kV switchgear e-house (2 generator breakers, site feeder</t>
        </is>
      </c>
      <c r="I5548" s="12" t="inlineStr">
        <is>
          <t>MV 15 kV</t>
        </is>
      </c>
      <c r="J5548" s="12" t="inlineStr">
        <is>
          <t>MV-105 15 kV 1/C Cu, EPR 133%, Cu tape shield, PVC jacket (triplexed)</t>
        </is>
      </c>
      <c r="K5548" s="12" t="inlineStr">
        <is>
          <t>MV15|1/C|750</t>
        </is>
      </c>
      <c r="L5548" s="12" t="inlineStr">
        <is>
          <t>1/C</t>
        </is>
      </c>
      <c r="M5548" s="12" t="inlineStr">
        <is>
          <t>750 kcmil</t>
        </is>
      </c>
      <c r="N5548" s="12" t="n">
        <v>2</v>
      </c>
      <c r="O5548" s="12" t="n">
        <v>3</v>
      </c>
      <c r="P5548" s="12" t="n">
        <v>13800</v>
      </c>
      <c r="Q5548" s="12" t="n">
        <v>16000</v>
      </c>
      <c r="R5548" s="12" t="n">
        <v>744</v>
      </c>
      <c r="S5548" s="12" t="inlineStr">
        <is>
          <t>Duct bank</t>
        </is>
      </c>
      <c r="T5548" s="15" t="n">
        <v>39</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is>
          <t>2 sets per phase</t>
        </is>
      </c>
      <c r="AA5548" s="12">
        <f>N5548*O5548</f>
        <v/>
      </c>
    </row>
    <row r="5549">
      <c r="A5549" s="12" t="inlineStr">
        <is>
          <t>I-MV-0034</t>
        </is>
      </c>
      <c r="B5549" s="12" t="inlineStr">
        <is>
          <t>I</t>
        </is>
      </c>
      <c r="C5549" s="12" t="inlineStr">
        <is>
          <t>Modular / portable power</t>
        </is>
      </c>
      <c r="D5549" s="12" t="inlineStr">
        <is>
          <t>MTG-2 13.8 kV generator leads to the switchgear e-house</t>
        </is>
      </c>
      <c r="E5549" s="12" t="inlineStr">
        <is>
          <t>MTG-2</t>
        </is>
      </c>
      <c r="F5549" s="12" t="inlineStr">
        <is>
          <t xml:space="preserve">MTG-2: mid-size industrial gas-turbine generator package ~16 MW, 13.8 </t>
        </is>
      </c>
      <c r="G5549" s="12" t="inlineStr">
        <is>
          <t>MTG-SWG</t>
        </is>
      </c>
      <c r="H5549" s="12" t="inlineStr">
        <is>
          <t>MTG-SWG: 13.8 kV switchgear e-house (2 generator breakers, site feeder</t>
        </is>
      </c>
      <c r="I5549" s="12" t="inlineStr">
        <is>
          <t>MV 15 kV</t>
        </is>
      </c>
      <c r="J5549" s="12" t="inlineStr">
        <is>
          <t>MV-105 15 kV 1/C Cu, EPR 133%, Cu tape shield, PVC jacket (triplexed)</t>
        </is>
      </c>
      <c r="K5549" s="12" t="inlineStr">
        <is>
          <t>MV15|1/C|750</t>
        </is>
      </c>
      <c r="L5549" s="12" t="inlineStr">
        <is>
          <t>1/C</t>
        </is>
      </c>
      <c r="M5549" s="12" t="inlineStr">
        <is>
          <t>750 kcmil</t>
        </is>
      </c>
      <c r="N5549" s="12" t="n">
        <v>2</v>
      </c>
      <c r="O5549" s="12" t="n">
        <v>3</v>
      </c>
      <c r="P5549" s="12" t="n">
        <v>13800</v>
      </c>
      <c r="Q5549" s="12" t="n">
        <v>16000</v>
      </c>
      <c r="R5549" s="12" t="n">
        <v>744</v>
      </c>
      <c r="S5549" s="12" t="inlineStr">
        <is>
          <t>Duct bank</t>
        </is>
      </c>
      <c r="T5549" s="15" t="n">
        <v>9</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I-MV-0035</t>
        </is>
      </c>
      <c r="B5550" s="12" t="inlineStr">
        <is>
          <t>I</t>
        </is>
      </c>
      <c r="C5550" s="12" t="inlineStr">
        <is>
          <t>Modular / portable power</t>
        </is>
      </c>
      <c r="D5550" s="12" t="inlineStr">
        <is>
          <t>TM-1 (TM2500) generator leads to PAD-EH</t>
        </is>
      </c>
      <c r="E5550" s="12" t="inlineStr">
        <is>
          <t>TM-1</t>
        </is>
      </c>
      <c r="F5550" s="12" t="inlineStr">
        <is>
          <t>TM-1: trailer-mounted aeroderivative GT (TM2500 class, ~35 MW)</t>
        </is>
      </c>
      <c r="G5550" s="12" t="inlineStr">
        <is>
          <t>PAD-EH</t>
        </is>
      </c>
      <c r="H5550" s="12" t="inlineStr">
        <is>
          <t>PAD-EH 13.8 kV switchgear e-house</t>
        </is>
      </c>
      <c r="I5550" s="12" t="inlineStr">
        <is>
          <t>MV 15 kV</t>
        </is>
      </c>
      <c r="J5550" s="12" t="inlineStr">
        <is>
          <t>MV-105 15 kV 1/C Cu, EPR 133%, Cu tape shield, PVC jacket (triplexed)</t>
        </is>
      </c>
      <c r="K5550" s="12" t="inlineStr">
        <is>
          <t>MV15|1/C|1000</t>
        </is>
      </c>
      <c r="L5550" s="12" t="inlineStr">
        <is>
          <t>1/C</t>
        </is>
      </c>
      <c r="M5550" s="12" t="inlineStr">
        <is>
          <t>1000 kcmil</t>
        </is>
      </c>
      <c r="N5550" s="12" t="n">
        <v>3</v>
      </c>
      <c r="O5550" s="12" t="n">
        <v>3</v>
      </c>
      <c r="P5550" s="12" t="n">
        <v>13800</v>
      </c>
      <c r="Q5550" s="12" t="n">
        <v>35000</v>
      </c>
      <c r="R5550" s="12" t="n">
        <v>1464</v>
      </c>
      <c r="S5550" s="12" t="inlineStr">
        <is>
          <t>Duct bank</t>
        </is>
      </c>
      <c r="T5550" s="15" t="n">
        <v>444</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3 per phase for 125 % (nine cables in the model)</t>
        </is>
      </c>
      <c r="AA5550" s="12">
        <f>N5550*O5550</f>
        <v/>
      </c>
    </row>
    <row r="5551">
      <c r="A5551" s="12" t="inlineStr">
        <is>
          <t>I-MV-0036</t>
        </is>
      </c>
      <c r="B5551" s="12" t="inlineStr">
        <is>
          <t>I</t>
        </is>
      </c>
      <c r="C5551" s="12" t="inlineStr">
        <is>
          <t>Modular / portable power</t>
        </is>
      </c>
      <c r="D5551" s="12" t="inlineStr">
        <is>
          <t>CHP-SWG 13.8 kV site feeder to PAD-EH</t>
        </is>
      </c>
      <c r="E5551" s="12" t="inlineStr">
        <is>
          <t>CHP-SWG</t>
        </is>
      </c>
      <c r="F5551" s="12" t="inlineStr">
        <is>
          <t>CHP-SWG: 13.8 kV switchgear container (4 engine breakers, site feeder)</t>
        </is>
      </c>
      <c r="G5551" s="12" t="inlineStr">
        <is>
          <t>PAD-EH</t>
        </is>
      </c>
      <c r="H5551" s="12" t="inlineStr">
        <is>
          <t>PAD-EH 13.8 kV switchgear e-house</t>
        </is>
      </c>
      <c r="I5551" s="12" t="inlineStr">
        <is>
          <t>MV 15 kV</t>
        </is>
      </c>
      <c r="J5551" s="12" t="inlineStr">
        <is>
          <t>MV-105 15 kV 1/C Cu, EPR 133%, Cu tape shield, PVC jacket (triplexed)</t>
        </is>
      </c>
      <c r="K5551" s="12" t="inlineStr">
        <is>
          <t>MV15|1/C|1000</t>
        </is>
      </c>
      <c r="L5551" s="12" t="inlineStr">
        <is>
          <t>1/C</t>
        </is>
      </c>
      <c r="M5551" s="12" t="inlineStr">
        <is>
          <t>1000 kcmil</t>
        </is>
      </c>
      <c r="N5551" s="12" t="n">
        <v>1</v>
      </c>
      <c r="O5551" s="12" t="n">
        <v>3</v>
      </c>
      <c r="P5551" s="12" t="n">
        <v>13800</v>
      </c>
      <c r="Q5551" s="12" t="n">
        <v>10000</v>
      </c>
      <c r="R5551" s="12" t="n">
        <v>465</v>
      </c>
      <c r="S5551" s="12" t="inlineStr">
        <is>
          <t>Duct bank</t>
        </is>
      </c>
      <c r="T5551" s="15" t="n">
        <v>214</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I-MV-0037</t>
        </is>
      </c>
      <c r="B5552" s="12" t="inlineStr">
        <is>
          <t>I</t>
        </is>
      </c>
      <c r="C5552" s="12" t="inlineStr">
        <is>
          <t>Modular / portable power</t>
        </is>
      </c>
      <c r="D5552" s="12" t="inlineStr">
        <is>
          <t>MT-TX 13.8 kV to PAD-EH</t>
        </is>
      </c>
      <c r="E5552" s="12" t="inlineStr">
        <is>
          <t>MT-TX</t>
        </is>
      </c>
      <c r="F5552" s="12" t="inlineStr">
        <is>
          <t>MT-TX: 480 V : 13.8 kV, ~3.75 MVA pad-mount (microturbine site)</t>
        </is>
      </c>
      <c r="G5552" s="12" t="inlineStr">
        <is>
          <t>PAD-EH</t>
        </is>
      </c>
      <c r="H5552" s="12" t="inlineStr">
        <is>
          <t>PAD-EH 13.8 kV switchgear e-house</t>
        </is>
      </c>
      <c r="I5552" s="12" t="inlineStr">
        <is>
          <t>MV 15 kV</t>
        </is>
      </c>
      <c r="J5552" s="12" t="inlineStr">
        <is>
          <t>MV-105 15 kV 1/C Cu, EPR 133%, Cu tape shield, PVC jacket (triplexed)</t>
        </is>
      </c>
      <c r="K5552" s="12" t="inlineStr">
        <is>
          <t>MV15|1/C|1/0</t>
        </is>
      </c>
      <c r="L5552" s="12" t="inlineStr">
        <is>
          <t>1/C</t>
        </is>
      </c>
      <c r="M5552" s="12" t="inlineStr">
        <is>
          <t>1/0</t>
        </is>
      </c>
      <c r="N5552" s="12" t="n">
        <v>1</v>
      </c>
      <c r="O5552" s="12" t="n">
        <v>3</v>
      </c>
      <c r="P5552" s="12" t="n">
        <v>13800</v>
      </c>
      <c r="Q5552" s="12" t="n">
        <v>3000</v>
      </c>
      <c r="R5552" s="12" t="n">
        <v>139</v>
      </c>
      <c r="S5552" s="12" t="inlineStr">
        <is>
          <t>Duct bank</t>
        </is>
      </c>
      <c r="T5552" s="15" t="n">
        <v>228</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1 set per phase</t>
        </is>
      </c>
      <c r="AA5552" s="12">
        <f>N5552*O5552</f>
        <v/>
      </c>
    </row>
    <row r="5553">
      <c r="A5553" s="12" t="inlineStr">
        <is>
          <t>I-MV-0038</t>
        </is>
      </c>
      <c r="B5553" s="12" t="inlineStr">
        <is>
          <t>I</t>
        </is>
      </c>
      <c r="C5553" s="12" t="inlineStr">
        <is>
          <t>Modular / portable power</t>
        </is>
      </c>
      <c r="D5553" s="12" t="inlineStr">
        <is>
          <t>PAD-EH 13.8 kV to PAD-GSU</t>
        </is>
      </c>
      <c r="E5553" s="12" t="inlineStr">
        <is>
          <t>PAD-EH</t>
        </is>
      </c>
      <c r="F5553" s="12" t="inlineStr">
        <is>
          <t>PAD-EH 13.8 kV switchgear e-house</t>
        </is>
      </c>
      <c r="G5553" s="12" t="inlineStr">
        <is>
          <t>PAD-GSU</t>
        </is>
      </c>
      <c r="H5553" s="12" t="inlineStr">
        <is>
          <t>PAD-GSU: 13.8 / 34.5 kV step-up, ~60 MVA (PAD-EH: TM-1, CHP site, MT-T</t>
        </is>
      </c>
      <c r="I5553" s="12" t="inlineStr">
        <is>
          <t>MV 15 kV</t>
        </is>
      </c>
      <c r="J5553" s="12" t="inlineStr">
        <is>
          <t>MV-105 15 kV 1/C Cu, EPR 133%, Cu tape shield, PVC jacket (triplexed)</t>
        </is>
      </c>
      <c r="K5553" s="12" t="inlineStr">
        <is>
          <t>MV15|1/C|1000</t>
        </is>
      </c>
      <c r="L5553" s="12" t="inlineStr">
        <is>
          <t>1/C</t>
        </is>
      </c>
      <c r="M5553" s="12" t="inlineStr">
        <is>
          <t>1000 kcmil</t>
        </is>
      </c>
      <c r="N5553" s="12" t="n">
        <v>5</v>
      </c>
      <c r="O5553" s="12" t="n">
        <v>3</v>
      </c>
      <c r="P5553" s="12" t="n">
        <v>13800</v>
      </c>
      <c r="Q5553" s="12" t="n">
        <v>52000</v>
      </c>
      <c r="R5553" s="12" t="n">
        <v>2417</v>
      </c>
      <c r="S5553" s="12" t="inlineStr">
        <is>
          <t>Duct bank</t>
        </is>
      </c>
      <c r="T5553" s="15" t="n">
        <v>44</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5 sets per phase</t>
        </is>
      </c>
      <c r="AA5553" s="12">
        <f>N5553*O5553</f>
        <v/>
      </c>
    </row>
    <row r="5554">
      <c r="A5554" s="12" t="inlineStr">
        <is>
          <t>I-MV-0039</t>
        </is>
      </c>
      <c r="B5554" s="12" t="inlineStr">
        <is>
          <t>I</t>
        </is>
      </c>
      <c r="C5554" s="12" t="inlineStr">
        <is>
          <t>Modular / portable power</t>
        </is>
      </c>
      <c r="D5554" s="12" t="inlineStr">
        <is>
          <t>RICE-1 generator leads to the PCM</t>
        </is>
      </c>
      <c r="E5554" s="12" t="inlineStr">
        <is>
          <t>RICE-1</t>
        </is>
      </c>
      <c r="F5554" s="12" t="inlineStr">
        <is>
          <t>RICE engine-generator 1</t>
        </is>
      </c>
      <c r="G5554" s="12" t="inlineStr"/>
      <c r="H5554" s="12" t="inlineStr">
        <is>
          <t>PCM: power control module</t>
        </is>
      </c>
      <c r="I5554" s="12" t="inlineStr">
        <is>
          <t>MV 15 kV</t>
        </is>
      </c>
      <c r="J5554" s="12" t="inlineStr">
        <is>
          <t>MV-105 15 kV 1/C Cu, EPR 133%, Cu tape shield, PVC jacket (triplexed)</t>
        </is>
      </c>
      <c r="K5554" s="12" t="inlineStr">
        <is>
          <t>MV15|1/C|750</t>
        </is>
      </c>
      <c r="L5554" s="12" t="inlineStr">
        <is>
          <t>1/C</t>
        </is>
      </c>
      <c r="M5554" s="12" t="inlineStr">
        <is>
          <t>750 kcmil</t>
        </is>
      </c>
      <c r="N5554" s="12" t="n">
        <v>2</v>
      </c>
      <c r="O5554" s="12" t="n">
        <v>3</v>
      </c>
      <c r="P5554" s="12" t="n">
        <v>13800</v>
      </c>
      <c r="Q5554" s="12" t="n">
        <v>18400</v>
      </c>
      <c r="R5554" s="12" t="n">
        <v>855</v>
      </c>
      <c r="S5554" s="12" t="inlineStr">
        <is>
          <t>Duct bank</t>
        </is>
      </c>
      <c r="T5554" s="15" t="n">
        <v>542</v>
      </c>
      <c r="U5554" s="15" t="n">
        <v>111</v>
      </c>
      <c r="V5554" s="15">
        <f>ROUNDUP((T5554+U5554+2*'Read Me'!$B$13)*(1+'Read Me'!$B$12),-1)</f>
        <v/>
      </c>
      <c r="W5554" s="15">
        <f>V5554*N5554*O5554</f>
        <v/>
      </c>
      <c r="X5554" s="12">
        <f>IF(LEFT(I5554,2)="MV",2*N5554*IF(L5554="1/C",O5554,1),0)</f>
        <v/>
      </c>
      <c r="Y5554" s="12">
        <f>IF(OR(LEFT(K5554,4)="LVAX",LEFT(K5554,6)="MV15AX",LEFT(K5554,4)="CTAX",LEFT(K5554,2)="W|"),2*N5554*O5554,0)</f>
        <v/>
      </c>
      <c r="Z5554" s="12" t="inlineStr">
        <is>
          <t>18V50 class ~18 MW (typ.), 0.9 pf</t>
        </is>
      </c>
      <c r="AA5554" s="12">
        <f>N5554*O5554</f>
        <v/>
      </c>
    </row>
    <row r="5555">
      <c r="A5555" s="12" t="inlineStr">
        <is>
          <t>I-MV-0040</t>
        </is>
      </c>
      <c r="B5555" s="12" t="inlineStr">
        <is>
          <t>I</t>
        </is>
      </c>
      <c r="C5555" s="12" t="inlineStr">
        <is>
          <t>Modular / portable power</t>
        </is>
      </c>
      <c r="D5555" s="12" t="inlineStr">
        <is>
          <t>RICE-2 generator leads to the PCM</t>
        </is>
      </c>
      <c r="E5555" s="12" t="inlineStr">
        <is>
          <t>RICE-2</t>
        </is>
      </c>
      <c r="F5555" s="12" t="inlineStr">
        <is>
          <t>RICE engine-generator 2</t>
        </is>
      </c>
      <c r="G5555" s="12" t="inlineStr"/>
      <c r="H5555" s="12" t="inlineStr">
        <is>
          <t>PCM: power control module</t>
        </is>
      </c>
      <c r="I5555" s="12" t="inlineStr">
        <is>
          <t>MV 15 kV</t>
        </is>
      </c>
      <c r="J5555" s="12" t="inlineStr">
        <is>
          <t>MV-105 15 kV 1/C Cu, EPR 133%, Cu tape shield, PVC jacket (triplexed)</t>
        </is>
      </c>
      <c r="K5555" s="12" t="inlineStr">
        <is>
          <t>MV15|1/C|750</t>
        </is>
      </c>
      <c r="L5555" s="12" t="inlineStr">
        <is>
          <t>1/C</t>
        </is>
      </c>
      <c r="M5555" s="12" t="inlineStr">
        <is>
          <t>750 kcmil</t>
        </is>
      </c>
      <c r="N5555" s="12" t="n">
        <v>2</v>
      </c>
      <c r="O5555" s="12" t="n">
        <v>3</v>
      </c>
      <c r="P5555" s="12" t="n">
        <v>13800</v>
      </c>
      <c r="Q5555" s="12" t="n">
        <v>18400</v>
      </c>
      <c r="R5555" s="12" t="n">
        <v>855</v>
      </c>
      <c r="S5555" s="12" t="inlineStr">
        <is>
          <t>Duct bank</t>
        </is>
      </c>
      <c r="T5555" s="15" t="n">
        <v>516</v>
      </c>
      <c r="U5555" s="15" t="n">
        <v>109</v>
      </c>
      <c r="V5555" s="15">
        <f>ROUNDUP((T5555+U5555+2*'Read Me'!$B$13)*(1+'Read Me'!$B$12),-1)</f>
        <v/>
      </c>
      <c r="W5555" s="15">
        <f>V5555*N5555*O5555</f>
        <v/>
      </c>
      <c r="X5555" s="12">
        <f>IF(LEFT(I5555,2)="MV",2*N5555*IF(L5555="1/C",O5555,1),0)</f>
        <v/>
      </c>
      <c r="Y5555" s="12">
        <f>IF(OR(LEFT(K5555,4)="LVAX",LEFT(K5555,6)="MV15AX",LEFT(K5555,4)="CTAX",LEFT(K5555,2)="W|"),2*N5555*O5555,0)</f>
        <v/>
      </c>
      <c r="Z5555" s="12" t="inlineStr">
        <is>
          <t>18V50 class ~18 MW (typ.), 0.9 pf</t>
        </is>
      </c>
      <c r="AA5555" s="12">
        <f>N5555*O5555</f>
        <v/>
      </c>
    </row>
    <row r="5556">
      <c r="A5556" s="12" t="inlineStr">
        <is>
          <t>I-MV-0041</t>
        </is>
      </c>
      <c r="B5556" s="12" t="inlineStr">
        <is>
          <t>I</t>
        </is>
      </c>
      <c r="C5556" s="12" t="inlineStr">
        <is>
          <t>Modular / portable power</t>
        </is>
      </c>
      <c r="D5556" s="12" t="inlineStr">
        <is>
          <t>RICE-3 generator leads to the PCM</t>
        </is>
      </c>
      <c r="E5556" s="12" t="inlineStr">
        <is>
          <t>RICE-3</t>
        </is>
      </c>
      <c r="F5556" s="12" t="inlineStr">
        <is>
          <t>RICE engine-generator 3</t>
        </is>
      </c>
      <c r="G5556" s="12" t="inlineStr"/>
      <c r="H5556" s="12" t="inlineStr">
        <is>
          <t>PCM: power control module</t>
        </is>
      </c>
      <c r="I5556" s="12" t="inlineStr">
        <is>
          <t>MV 15 kV</t>
        </is>
      </c>
      <c r="J5556" s="12" t="inlineStr">
        <is>
          <t>MV-105 15 kV 1/C Cu, EPR 133%, Cu tape shield, PVC jacket (triplexed)</t>
        </is>
      </c>
      <c r="K5556" s="12" t="inlineStr">
        <is>
          <t>MV15|1/C|750</t>
        </is>
      </c>
      <c r="L5556" s="12" t="inlineStr">
        <is>
          <t>1/C</t>
        </is>
      </c>
      <c r="M5556" s="12" t="inlineStr">
        <is>
          <t>750 kcmil</t>
        </is>
      </c>
      <c r="N5556" s="12" t="n">
        <v>2</v>
      </c>
      <c r="O5556" s="12" t="n">
        <v>3</v>
      </c>
      <c r="P5556" s="12" t="n">
        <v>13800</v>
      </c>
      <c r="Q5556" s="12" t="n">
        <v>18400</v>
      </c>
      <c r="R5556" s="12" t="n">
        <v>855</v>
      </c>
      <c r="S5556" s="12" t="inlineStr">
        <is>
          <t>Duct bank</t>
        </is>
      </c>
      <c r="T5556" s="15" t="n">
        <v>516</v>
      </c>
      <c r="U5556" s="15" t="n">
        <v>81</v>
      </c>
      <c r="V5556" s="15">
        <f>ROUNDUP((T5556+U5556+2*'Read Me'!$B$13)*(1+'Read Me'!$B$12),-1)</f>
        <v/>
      </c>
      <c r="W5556" s="15">
        <f>V5556*N5556*O5556</f>
        <v/>
      </c>
      <c r="X5556" s="12">
        <f>IF(LEFT(I5556,2)="MV",2*N5556*IF(L5556="1/C",O5556,1),0)</f>
        <v/>
      </c>
      <c r="Y5556" s="12">
        <f>IF(OR(LEFT(K5556,4)="LVAX",LEFT(K5556,6)="MV15AX",LEFT(K5556,4)="CTAX",LEFT(K5556,2)="W|"),2*N5556*O5556,0)</f>
        <v/>
      </c>
      <c r="Z5556" s="12" t="inlineStr">
        <is>
          <t>18V50 class ~18 MW (typ.), 0.9 pf</t>
        </is>
      </c>
      <c r="AA5556" s="12">
        <f>N5556*O5556</f>
        <v/>
      </c>
    </row>
    <row r="5557">
      <c r="A5557" s="12" t="inlineStr">
        <is>
          <t>I-MV-0042</t>
        </is>
      </c>
      <c r="B5557" s="12" t="inlineStr">
        <is>
          <t>I</t>
        </is>
      </c>
      <c r="C5557" s="12" t="inlineStr">
        <is>
          <t>Modular / portable power</t>
        </is>
      </c>
      <c r="D5557" s="12" t="inlineStr">
        <is>
          <t>RICE-4 generator leads to the PCM</t>
        </is>
      </c>
      <c r="E5557" s="12" t="inlineStr">
        <is>
          <t>RICE-4</t>
        </is>
      </c>
      <c r="F5557" s="12" t="inlineStr">
        <is>
          <t>RICE engine-generator 4</t>
        </is>
      </c>
      <c r="G5557" s="12" t="inlineStr"/>
      <c r="H5557" s="12" t="inlineStr">
        <is>
          <t>PCM: power control module</t>
        </is>
      </c>
      <c r="I5557" s="12" t="inlineStr">
        <is>
          <t>MV 15 kV</t>
        </is>
      </c>
      <c r="J5557" s="12" t="inlineStr">
        <is>
          <t>MV-105 15 kV 1/C Cu, EPR 133%, Cu tape shield, PVC jacket (triplexed)</t>
        </is>
      </c>
      <c r="K5557" s="12" t="inlineStr">
        <is>
          <t>MV15|1/C|750</t>
        </is>
      </c>
      <c r="L5557" s="12" t="inlineStr">
        <is>
          <t>1/C</t>
        </is>
      </c>
      <c r="M5557" s="12" t="inlineStr">
        <is>
          <t>750 kcmil</t>
        </is>
      </c>
      <c r="N5557" s="12" t="n">
        <v>2</v>
      </c>
      <c r="O5557" s="12" t="n">
        <v>3</v>
      </c>
      <c r="P5557" s="12" t="n">
        <v>13800</v>
      </c>
      <c r="Q5557" s="12" t="n">
        <v>18400</v>
      </c>
      <c r="R5557" s="12" t="n">
        <v>855</v>
      </c>
      <c r="S5557" s="12" t="inlineStr">
        <is>
          <t>Duct bank</t>
        </is>
      </c>
      <c r="T5557" s="15" t="n">
        <v>516</v>
      </c>
      <c r="U5557" s="15" t="n">
        <v>53</v>
      </c>
      <c r="V5557" s="15">
        <f>ROUNDUP((T5557+U5557+2*'Read Me'!$B$13)*(1+'Read Me'!$B$12),-1)</f>
        <v/>
      </c>
      <c r="W5557" s="15">
        <f>V5557*N5557*O5557</f>
        <v/>
      </c>
      <c r="X5557" s="12">
        <f>IF(LEFT(I5557,2)="MV",2*N5557*IF(L5557="1/C",O5557,1),0)</f>
        <v/>
      </c>
      <c r="Y5557" s="12">
        <f>IF(OR(LEFT(K5557,4)="LVAX",LEFT(K5557,6)="MV15AX",LEFT(K5557,4)="CTAX",LEFT(K5557,2)="W|"),2*N5557*O5557,0)</f>
        <v/>
      </c>
      <c r="Z5557" s="12" t="inlineStr">
        <is>
          <t>18V50 class ~18 MW (typ.), 0.9 pf</t>
        </is>
      </c>
      <c r="AA5557" s="12">
        <f>N5557*O5557</f>
        <v/>
      </c>
    </row>
    <row r="5558">
      <c r="A5558" s="12" t="inlineStr">
        <is>
          <t>I-MV-0043</t>
        </is>
      </c>
      <c r="B5558" s="12" t="inlineStr">
        <is>
          <t>I</t>
        </is>
      </c>
      <c r="C5558" s="12" t="inlineStr">
        <is>
          <t>Modular / portable power</t>
        </is>
      </c>
      <c r="D5558" s="12" t="inlineStr">
        <is>
          <t>RICE-5 generator leads to the PCM</t>
        </is>
      </c>
      <c r="E5558" s="12" t="inlineStr">
        <is>
          <t>RICE-5</t>
        </is>
      </c>
      <c r="F5558" s="12" t="inlineStr">
        <is>
          <t>RICE engine-generator 5</t>
        </is>
      </c>
      <c r="G5558" s="12" t="inlineStr"/>
      <c r="H5558" s="12" t="inlineStr">
        <is>
          <t>PCM: power control module</t>
        </is>
      </c>
      <c r="I5558" s="12" t="inlineStr">
        <is>
          <t>MV 15 kV</t>
        </is>
      </c>
      <c r="J5558" s="12" t="inlineStr">
        <is>
          <t>MV-105 15 kV 1/C Cu, EPR 133%, Cu tape shield, PVC jacket (triplexed)</t>
        </is>
      </c>
      <c r="K5558" s="12" t="inlineStr">
        <is>
          <t>MV15|1/C|750</t>
        </is>
      </c>
      <c r="L5558" s="12" t="inlineStr">
        <is>
          <t>1/C</t>
        </is>
      </c>
      <c r="M5558" s="12" t="inlineStr">
        <is>
          <t>750 kcmil</t>
        </is>
      </c>
      <c r="N5558" s="12" t="n">
        <v>2</v>
      </c>
      <c r="O5558" s="12" t="n">
        <v>3</v>
      </c>
      <c r="P5558" s="12" t="n">
        <v>13800</v>
      </c>
      <c r="Q5558" s="12" t="n">
        <v>18400</v>
      </c>
      <c r="R5558" s="12" t="n">
        <v>855</v>
      </c>
      <c r="S5558" s="12" t="inlineStr">
        <is>
          <t>Duct bank</t>
        </is>
      </c>
      <c r="T5558" s="15" t="n">
        <v>188</v>
      </c>
      <c r="U5558" s="15" t="n">
        <v>50</v>
      </c>
      <c r="V5558" s="15">
        <f>ROUNDUP((T5558+U5558+2*'Read Me'!$B$13)*(1+'Read Me'!$B$12),-1)</f>
        <v/>
      </c>
      <c r="W5558" s="15">
        <f>V5558*N5558*O5558</f>
        <v/>
      </c>
      <c r="X5558" s="12">
        <f>IF(LEFT(I5558,2)="MV",2*N5558*IF(L5558="1/C",O5558,1),0)</f>
        <v/>
      </c>
      <c r="Y5558" s="12">
        <f>IF(OR(LEFT(K5558,4)="LVAX",LEFT(K5558,6)="MV15AX",LEFT(K5558,4)="CTAX",LEFT(K5558,2)="W|"),2*N5558*O5558,0)</f>
        <v/>
      </c>
      <c r="Z5558" s="12" t="inlineStr">
        <is>
          <t>18V50 class ~18 MW (typ.), 0.9 pf</t>
        </is>
      </c>
      <c r="AA5558" s="12">
        <f>N5558*O5558</f>
        <v/>
      </c>
    </row>
    <row r="5559">
      <c r="A5559" s="12" t="inlineStr">
        <is>
          <t>I-MV-0044</t>
        </is>
      </c>
      <c r="B5559" s="12" t="inlineStr">
        <is>
          <t>I</t>
        </is>
      </c>
      <c r="C5559" s="12" t="inlineStr">
        <is>
          <t>Modular / portable power</t>
        </is>
      </c>
      <c r="D5559" s="12" t="inlineStr">
        <is>
          <t>RICE-6 generator leads to the PCM</t>
        </is>
      </c>
      <c r="E5559" s="12" t="inlineStr">
        <is>
          <t>RICE-6</t>
        </is>
      </c>
      <c r="F5559" s="12" t="inlineStr">
        <is>
          <t>RICE engine-generator 6</t>
        </is>
      </c>
      <c r="G5559" s="12" t="inlineStr"/>
      <c r="H5559" s="12" t="inlineStr">
        <is>
          <t>PCM: power control module</t>
        </is>
      </c>
      <c r="I5559" s="12" t="inlineStr">
        <is>
          <t>MV 15 kV</t>
        </is>
      </c>
      <c r="J5559" s="12" t="inlineStr">
        <is>
          <t>MV-105 15 kV 1/C Cu, EPR 133%, Cu tape shield, PVC jacket (triplexed)</t>
        </is>
      </c>
      <c r="K5559" s="12" t="inlineStr">
        <is>
          <t>MV15|1/C|750</t>
        </is>
      </c>
      <c r="L5559" s="12" t="inlineStr">
        <is>
          <t>1/C</t>
        </is>
      </c>
      <c r="M5559" s="12" t="inlineStr">
        <is>
          <t>750 kcmil</t>
        </is>
      </c>
      <c r="N5559" s="12" t="n">
        <v>2</v>
      </c>
      <c r="O5559" s="12" t="n">
        <v>3</v>
      </c>
      <c r="P5559" s="12" t="n">
        <v>13800</v>
      </c>
      <c r="Q5559" s="12" t="n">
        <v>18400</v>
      </c>
      <c r="R5559" s="12" t="n">
        <v>855</v>
      </c>
      <c r="S5559" s="12" t="inlineStr">
        <is>
          <t>Duct bank</t>
        </is>
      </c>
      <c r="T5559" s="15" t="n">
        <v>132</v>
      </c>
      <c r="U5559" s="15" t="n">
        <v>78</v>
      </c>
      <c r="V5559" s="15">
        <f>ROUNDUP((T5559+U5559+2*'Read Me'!$B$13)*(1+'Read Me'!$B$12),-1)</f>
        <v/>
      </c>
      <c r="W5559" s="15">
        <f>V5559*N5559*O5559</f>
        <v/>
      </c>
      <c r="X5559" s="12">
        <f>IF(LEFT(I5559,2)="MV",2*N5559*IF(L5559="1/C",O5559,1),0)</f>
        <v/>
      </c>
      <c r="Y5559" s="12">
        <f>IF(OR(LEFT(K5559,4)="LVAX",LEFT(K5559,6)="MV15AX",LEFT(K5559,4)="CTAX",LEFT(K5559,2)="W|"),2*N5559*O5559,0)</f>
        <v/>
      </c>
      <c r="Z5559" s="12" t="inlineStr">
        <is>
          <t>18V50 class ~18 MW (typ.), 0.9 pf</t>
        </is>
      </c>
      <c r="AA5559" s="12">
        <f>N5559*O5559</f>
        <v/>
      </c>
    </row>
    <row r="5560">
      <c r="A5560" s="12" t="inlineStr">
        <is>
          <t>I-MV-0045</t>
        </is>
      </c>
      <c r="B5560" s="12" t="inlineStr">
        <is>
          <t>I</t>
        </is>
      </c>
      <c r="C5560" s="12" t="inlineStr">
        <is>
          <t>Modular / portable power</t>
        </is>
      </c>
      <c r="D5560" s="12" t="inlineStr">
        <is>
          <t>RICE-7 generator leads to the PCM</t>
        </is>
      </c>
      <c r="E5560" s="12" t="inlineStr">
        <is>
          <t>RICE-7</t>
        </is>
      </c>
      <c r="F5560" s="12" t="inlineStr">
        <is>
          <t>RICE engine-generator 7</t>
        </is>
      </c>
      <c r="G5560" s="12" t="inlineStr"/>
      <c r="H5560" s="12" t="inlineStr">
        <is>
          <t>PCM: power control module</t>
        </is>
      </c>
      <c r="I5560" s="12" t="inlineStr">
        <is>
          <t>MV 15 kV</t>
        </is>
      </c>
      <c r="J5560" s="12" t="inlineStr">
        <is>
          <t>MV-105 15 kV 1/C Cu, EPR 133%, Cu tape shield, PVC jacket (triplexed)</t>
        </is>
      </c>
      <c r="K5560" s="12" t="inlineStr">
        <is>
          <t>MV15|1/C|750</t>
        </is>
      </c>
      <c r="L5560" s="12" t="inlineStr">
        <is>
          <t>1/C</t>
        </is>
      </c>
      <c r="M5560" s="12" t="inlineStr">
        <is>
          <t>750 kcmil</t>
        </is>
      </c>
      <c r="N5560" s="12" t="n">
        <v>2</v>
      </c>
      <c r="O5560" s="12" t="n">
        <v>3</v>
      </c>
      <c r="P5560" s="12" t="n">
        <v>13800</v>
      </c>
      <c r="Q5560" s="12" t="n">
        <v>18400</v>
      </c>
      <c r="R5560" s="12" t="n">
        <v>855</v>
      </c>
      <c r="S5560" s="12" t="inlineStr">
        <is>
          <t>Duct bank</t>
        </is>
      </c>
      <c r="T5560" s="15" t="n">
        <v>76</v>
      </c>
      <c r="U5560" s="15" t="n">
        <v>106</v>
      </c>
      <c r="V5560" s="15">
        <f>ROUNDUP((T5560+U5560+2*'Read Me'!$B$13)*(1+'Read Me'!$B$12),-1)</f>
        <v/>
      </c>
      <c r="W5560" s="15">
        <f>V5560*N5560*O5560</f>
        <v/>
      </c>
      <c r="X5560" s="12">
        <f>IF(LEFT(I5560,2)="MV",2*N5560*IF(L5560="1/C",O5560,1),0)</f>
        <v/>
      </c>
      <c r="Y5560" s="12">
        <f>IF(OR(LEFT(K5560,4)="LVAX",LEFT(K5560,6)="MV15AX",LEFT(K5560,4)="CTAX",LEFT(K5560,2)="W|"),2*N5560*O5560,0)</f>
        <v/>
      </c>
      <c r="Z5560" s="12" t="inlineStr">
        <is>
          <t>18V50 class ~18 MW (typ.), 0.9 pf</t>
        </is>
      </c>
      <c r="AA5560" s="12">
        <f>N5560*O5560</f>
        <v/>
      </c>
    </row>
    <row r="5561">
      <c r="A5561" s="12" t="inlineStr">
        <is>
          <t>I-MV-0046</t>
        </is>
      </c>
      <c r="B5561" s="12" t="inlineStr">
        <is>
          <t>I</t>
        </is>
      </c>
      <c r="C5561" s="12" t="inlineStr">
        <is>
          <t>Modular / portable power</t>
        </is>
      </c>
      <c r="D5561" s="12" t="inlineStr">
        <is>
          <t>RICE-8 generator leads to the PCM</t>
        </is>
      </c>
      <c r="E5561" s="12" t="inlineStr">
        <is>
          <t>RICE-8</t>
        </is>
      </c>
      <c r="F5561" s="12" t="inlineStr">
        <is>
          <t>RICE engine-generator 8</t>
        </is>
      </c>
      <c r="G5561" s="12" t="inlineStr"/>
      <c r="H5561" s="12" t="inlineStr">
        <is>
          <t>PCM: power control module</t>
        </is>
      </c>
      <c r="I5561" s="12" t="inlineStr">
        <is>
          <t>MV 15 kV</t>
        </is>
      </c>
      <c r="J5561" s="12" t="inlineStr">
        <is>
          <t>MV-105 15 kV 1/C Cu, EPR 133%, Cu tape shield, PVC jacket (triplexed)</t>
        </is>
      </c>
      <c r="K5561" s="12" t="inlineStr">
        <is>
          <t>MV15|1/C|750</t>
        </is>
      </c>
      <c r="L5561" s="12" t="inlineStr">
        <is>
          <t>1/C</t>
        </is>
      </c>
      <c r="M5561" s="12" t="inlineStr">
        <is>
          <t>750 kcmil</t>
        </is>
      </c>
      <c r="N5561" s="12" t="n">
        <v>2</v>
      </c>
      <c r="O5561" s="12" t="n">
        <v>3</v>
      </c>
      <c r="P5561" s="12" t="n">
        <v>13800</v>
      </c>
      <c r="Q5561" s="12" t="n">
        <v>18400</v>
      </c>
      <c r="R5561" s="12" t="n">
        <v>855</v>
      </c>
      <c r="S5561" s="12" t="inlineStr">
        <is>
          <t>Duct bank</t>
        </is>
      </c>
      <c r="T5561" s="15" t="n">
        <v>57</v>
      </c>
      <c r="U5561" s="15" t="n">
        <v>97</v>
      </c>
      <c r="V5561" s="15">
        <f>ROUNDUP((T5561+U5561+2*'Read Me'!$B$13)*(1+'Read Me'!$B$12),-1)</f>
        <v/>
      </c>
      <c r="W5561" s="15">
        <f>V5561*N5561*O5561</f>
        <v/>
      </c>
      <c r="X5561" s="12">
        <f>IF(LEFT(I5561,2)="MV",2*N5561*IF(L5561="1/C",O5561,1),0)</f>
        <v/>
      </c>
      <c r="Y5561" s="12">
        <f>IF(OR(LEFT(K5561,4)="LVAX",LEFT(K5561,6)="MV15AX",LEFT(K5561,4)="CTAX",LEFT(K5561,2)="W|"),2*N5561*O5561,0)</f>
        <v/>
      </c>
      <c r="Z5561" s="12" t="inlineStr">
        <is>
          <t>18V50 class ~18 MW (typ.), 0.9 pf</t>
        </is>
      </c>
      <c r="AA5561" s="12">
        <f>N5561*O5561</f>
        <v/>
      </c>
    </row>
    <row r="5562">
      <c r="A5562" s="12" t="inlineStr">
        <is>
          <t>I-MV-0047</t>
        </is>
      </c>
      <c r="B5562" s="12" t="inlineStr">
        <is>
          <t>I</t>
        </is>
      </c>
      <c r="C5562" s="12" t="inlineStr">
        <is>
          <t>Modular / portable power</t>
        </is>
      </c>
      <c r="D5562" s="12" t="inlineStr">
        <is>
          <t>PCM section A (RICE 1-2) to RICE-GSU-A</t>
        </is>
      </c>
      <c r="E5562" s="12" t="inlineStr"/>
      <c r="F5562" s="12" t="inlineStr">
        <is>
          <t>PCM: power control module</t>
        </is>
      </c>
      <c r="G5562" s="12" t="inlineStr">
        <is>
          <t>RICE-GSU-A</t>
        </is>
      </c>
      <c r="H5562" s="12" t="inlineStr">
        <is>
          <t>RICE-GSU-A: 13.8 / 34.5 kV group step-up, ~45 MVA (RICE 1-2)</t>
        </is>
      </c>
      <c r="I5562" s="12" t="inlineStr">
        <is>
          <t>MV 15 kV</t>
        </is>
      </c>
      <c r="J5562" s="12" t="inlineStr">
        <is>
          <t>MV-105 15 kV 1/C Cu, EPR 133%, Cu tape shield, PVC jacket (triplexed)</t>
        </is>
      </c>
      <c r="K5562" s="12" t="inlineStr">
        <is>
          <t>MV15|1/C|750</t>
        </is>
      </c>
      <c r="L5562" s="12" t="inlineStr">
        <is>
          <t>1/C</t>
        </is>
      </c>
      <c r="M5562" s="12" t="inlineStr">
        <is>
          <t>750 kcmil</t>
        </is>
      </c>
      <c r="N5562" s="12" t="n">
        <v>4</v>
      </c>
      <c r="O5562" s="12" t="n">
        <v>3</v>
      </c>
      <c r="P5562" s="12" t="n">
        <v>13800</v>
      </c>
      <c r="Q5562" s="12" t="n">
        <v>36800</v>
      </c>
      <c r="R5562" s="12" t="n">
        <v>1711</v>
      </c>
      <c r="S5562" s="12" t="inlineStr">
        <is>
          <t>Duct bank</t>
        </is>
      </c>
      <c r="T5562" s="15" t="n">
        <v>78</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4 sets per phase</t>
        </is>
      </c>
      <c r="AA5562" s="12">
        <f>N5562*O5562</f>
        <v/>
      </c>
    </row>
    <row r="5563">
      <c r="A5563" s="12" t="inlineStr">
        <is>
          <t>I-MV-0048</t>
        </is>
      </c>
      <c r="B5563" s="12" t="inlineStr">
        <is>
          <t>I</t>
        </is>
      </c>
      <c r="C5563" s="12" t="inlineStr">
        <is>
          <t>Modular / portable power</t>
        </is>
      </c>
      <c r="D5563" s="12" t="inlineStr">
        <is>
          <t>PCM section B (RICE 3-4) to RICE-GSU-B</t>
        </is>
      </c>
      <c r="E5563" s="12" t="inlineStr"/>
      <c r="F5563" s="12" t="inlineStr">
        <is>
          <t>PCM: power control module</t>
        </is>
      </c>
      <c r="G5563" s="12" t="inlineStr">
        <is>
          <t>RICE-GSU-B</t>
        </is>
      </c>
      <c r="H5563" s="12" t="inlineStr">
        <is>
          <t>RICE-GSU-B: 13.8 / 34.5 kV group step-up, ~45 MVA (RICE 3-4)</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4</v>
      </c>
      <c r="O5563" s="12" t="n">
        <v>3</v>
      </c>
      <c r="P5563" s="12" t="n">
        <v>13800</v>
      </c>
      <c r="Q5563" s="12" t="n">
        <v>36800</v>
      </c>
      <c r="R5563" s="12" t="n">
        <v>1711</v>
      </c>
      <c r="S5563" s="12" t="inlineStr">
        <is>
          <t>Duct bank</t>
        </is>
      </c>
      <c r="T5563" s="15" t="n">
        <v>105</v>
      </c>
      <c r="U5563" s="15" t="n">
        <v>32</v>
      </c>
      <c r="V5563" s="15">
        <f>ROUNDUP((T5563+U5563+2*'Read Me'!$B$13)*(1+'Read Me'!$B$12),-1)</f>
        <v/>
      </c>
      <c r="W5563" s="15">
        <f>V5563*N5563*O5563</f>
        <v/>
      </c>
      <c r="X5563" s="12">
        <f>IF(LEFT(I5563,2)="MV",2*N5563*IF(L5563="1/C",O5563,1),0)</f>
        <v/>
      </c>
      <c r="Y5563" s="12">
        <f>IF(OR(LEFT(K5563,4)="LVAX",LEFT(K5563,6)="MV15AX",LEFT(K5563,4)="CTAX",LEFT(K5563,2)="W|"),2*N5563*O5563,0)</f>
        <v/>
      </c>
      <c r="Z5563" s="12" t="inlineStr">
        <is>
          <t>4 sets per phase</t>
        </is>
      </c>
      <c r="AA5563" s="12">
        <f>N5563*O5563</f>
        <v/>
      </c>
    </row>
    <row r="5564">
      <c r="A5564" s="12" t="inlineStr">
        <is>
          <t>I-MV-0049</t>
        </is>
      </c>
      <c r="B5564" s="12" t="inlineStr">
        <is>
          <t>I</t>
        </is>
      </c>
      <c r="C5564" s="12" t="inlineStr">
        <is>
          <t>Modular / portable power</t>
        </is>
      </c>
      <c r="D5564" s="12" t="inlineStr">
        <is>
          <t>PCM section C (RICE 5-6) to RICE-GSU-C</t>
        </is>
      </c>
      <c r="E5564" s="12" t="inlineStr"/>
      <c r="F5564" s="12" t="inlineStr">
        <is>
          <t>PCM: power control module</t>
        </is>
      </c>
      <c r="G5564" s="12" t="inlineStr">
        <is>
          <t>RICE-GSU-C</t>
        </is>
      </c>
      <c r="H5564" s="12" t="inlineStr">
        <is>
          <t>RICE-GSU-C: 13.8 / 34.5 kV group step-up, ~45 MVA (RICE 5-6)</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4</v>
      </c>
      <c r="O5564" s="12" t="n">
        <v>3</v>
      </c>
      <c r="P5564" s="12" t="n">
        <v>13800</v>
      </c>
      <c r="Q5564" s="12" t="n">
        <v>36800</v>
      </c>
      <c r="R5564" s="12" t="n">
        <v>1711</v>
      </c>
      <c r="S5564" s="12" t="inlineStr">
        <is>
          <t>Duct bank</t>
        </is>
      </c>
      <c r="T5564" s="15" t="n">
        <v>132</v>
      </c>
      <c r="U5564" s="15" t="n">
        <v>32</v>
      </c>
      <c r="V5564" s="15">
        <f>ROUNDUP((T5564+U5564+2*'Read Me'!$B$13)*(1+'Read Me'!$B$12),-1)</f>
        <v/>
      </c>
      <c r="W5564" s="15">
        <f>V5564*N5564*O5564</f>
        <v/>
      </c>
      <c r="X5564" s="12">
        <f>IF(LEFT(I5564,2)="MV",2*N5564*IF(L5564="1/C",O5564,1),0)</f>
        <v/>
      </c>
      <c r="Y5564" s="12">
        <f>IF(OR(LEFT(K5564,4)="LVAX",LEFT(K5564,6)="MV15AX",LEFT(K5564,4)="CTAX",LEFT(K5564,2)="W|"),2*N5564*O5564,0)</f>
        <v/>
      </c>
      <c r="Z5564" s="12" t="inlineStr">
        <is>
          <t>4 sets per phase</t>
        </is>
      </c>
      <c r="AA5564" s="12">
        <f>N5564*O5564</f>
        <v/>
      </c>
    </row>
    <row r="5565">
      <c r="A5565" s="12" t="inlineStr">
        <is>
          <t>I-MV-0050</t>
        </is>
      </c>
      <c r="B5565" s="12" t="inlineStr">
        <is>
          <t>I</t>
        </is>
      </c>
      <c r="C5565" s="12" t="inlineStr">
        <is>
          <t>Modular / portable power</t>
        </is>
      </c>
      <c r="D5565" s="12" t="inlineStr">
        <is>
          <t>PCM section D (RICE 7-8) to RICE-GSU-D</t>
        </is>
      </c>
      <c r="E5565" s="12" t="inlineStr"/>
      <c r="F5565" s="12" t="inlineStr">
        <is>
          <t>PCM: power control module</t>
        </is>
      </c>
      <c r="G5565" s="12" t="inlineStr">
        <is>
          <t>RICE-GSU-D</t>
        </is>
      </c>
      <c r="H5565" s="12" t="inlineStr">
        <is>
          <t>RICE-GSU-D: 13.8 / 34.5 kV group step-up, ~45 MVA (RICE 7-8)</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4</v>
      </c>
      <c r="O5565" s="12" t="n">
        <v>3</v>
      </c>
      <c r="P5565" s="12" t="n">
        <v>13800</v>
      </c>
      <c r="Q5565" s="12" t="n">
        <v>36800</v>
      </c>
      <c r="R5565" s="12" t="n">
        <v>1711</v>
      </c>
      <c r="S5565" s="12" t="inlineStr">
        <is>
          <t>Duct bank</t>
        </is>
      </c>
      <c r="T5565" s="15" t="n">
        <v>159</v>
      </c>
      <c r="U5565" s="15" t="n">
        <v>32</v>
      </c>
      <c r="V5565" s="15">
        <f>ROUNDUP((T5565+U5565+2*'Read Me'!$B$13)*(1+'Read Me'!$B$12),-1)</f>
        <v/>
      </c>
      <c r="W5565" s="15">
        <f>V5565*N5565*O5565</f>
        <v/>
      </c>
      <c r="X5565" s="12">
        <f>IF(LEFT(I5565,2)="MV",2*N5565*IF(L5565="1/C",O5565,1),0)</f>
        <v/>
      </c>
      <c r="Y5565" s="12">
        <f>IF(OR(LEFT(K5565,4)="LVAX",LEFT(K5565,6)="MV15AX",LEFT(K5565,4)="CTAX",LEFT(K5565,2)="W|"),2*N5565*O5565,0)</f>
        <v/>
      </c>
      <c r="Z5565" s="12" t="inlineStr">
        <is>
          <t>4 sets per phase</t>
        </is>
      </c>
      <c r="AA5565" s="12">
        <f>N5565*O5565</f>
        <v/>
      </c>
    </row>
    <row r="5566">
      <c r="A5566" s="12" t="inlineStr">
        <is>
          <t>I-MV-0051</t>
        </is>
      </c>
      <c r="B5566" s="12" t="inlineStr">
        <is>
          <t>I</t>
        </is>
      </c>
      <c r="C5566" s="12" t="inlineStr">
        <is>
          <t>Modular / portable power</t>
        </is>
      </c>
      <c r="D5566" s="12" t="inlineStr">
        <is>
          <t>SC-1 (LM6000 class) generator leads to its PCM / GCB</t>
        </is>
      </c>
      <c r="E5566" s="12" t="inlineStr">
        <is>
          <t>SC-1</t>
        </is>
      </c>
      <c r="F5566" s="12" t="inlineStr">
        <is>
          <t>SC-1: aeroderivative simple-cycle unit (LM6000 class)</t>
        </is>
      </c>
      <c r="G5566" s="12" t="inlineStr"/>
      <c r="H5566" s="12" t="inlineStr">
        <is>
          <t>SC-1 PCM + 15 kV GCB</t>
        </is>
      </c>
      <c r="I5566" s="12" t="inlineStr">
        <is>
          <t>MV 15 kV</t>
        </is>
      </c>
      <c r="J5566" s="12" t="inlineStr">
        <is>
          <t>MV-105 15 kV 1/C Cu, EPR 133%, Cu tape shield, PVC jacket (triplexed)</t>
        </is>
      </c>
      <c r="K5566" s="12" t="inlineStr">
        <is>
          <t>MV15|1/C|1000</t>
        </is>
      </c>
      <c r="L5566" s="12" t="inlineStr">
        <is>
          <t>1/C</t>
        </is>
      </c>
      <c r="M5566" s="12" t="inlineStr">
        <is>
          <t>1000 kcmil</t>
        </is>
      </c>
      <c r="N5566" s="12" t="n">
        <v>5</v>
      </c>
      <c r="O5566" s="12" t="n">
        <v>3</v>
      </c>
      <c r="P5566" s="12" t="n">
        <v>13800</v>
      </c>
      <c r="Q5566" s="12" t="n">
        <v>50000</v>
      </c>
      <c r="R5566" s="12" t="n">
        <v>2324</v>
      </c>
      <c r="S5566" s="12" t="inlineStr">
        <is>
          <t>Tray</t>
        </is>
      </c>
      <c r="T5566" s="15" t="n">
        <v>6</v>
      </c>
      <c r="U5566" s="15" t="n">
        <v>61</v>
      </c>
      <c r="V5566" s="15">
        <f>ROUNDUP((T5566+U5566+2*'Read Me'!$B$13)*(1+'Read Me'!$B$12),-1)</f>
        <v/>
      </c>
      <c r="W5566" s="15">
        <f>V5566*N5566*O5566</f>
        <v/>
      </c>
      <c r="X5566" s="12">
        <f>IF(LEFT(I5566,2)="MV",2*N5566*IF(L5566="1/C",O5566,1),0)</f>
        <v/>
      </c>
      <c r="Y5566" s="12">
        <f>IF(OR(LEFT(K5566,4)="LVAX",LEFT(K5566,6)="MV15AX",LEFT(K5566,4)="CTAX",LEFT(K5566,2)="W|"),2*N5566*O5566,0)</f>
        <v/>
      </c>
      <c r="Z5566" s="12" t="inlineStr">
        <is>
          <t>5 sets per phase</t>
        </is>
      </c>
      <c r="AA5566" s="12">
        <f>N5566*O5566</f>
        <v/>
      </c>
    </row>
    <row r="5567">
      <c r="A5567" s="12" t="inlineStr">
        <is>
          <t>I-MV-0052</t>
        </is>
      </c>
      <c r="B5567" s="12" t="inlineStr">
        <is>
          <t>I</t>
        </is>
      </c>
      <c r="C5567" s="12" t="inlineStr">
        <is>
          <t>Modular / portable power</t>
        </is>
      </c>
      <c r="D5567" s="12" t="inlineStr">
        <is>
          <t>SC-1 generator neutral to the NGR (in the terminal-box enclosure)</t>
        </is>
      </c>
      <c r="E5567" s="12" t="inlineStr">
        <is>
          <t>SC-1</t>
        </is>
      </c>
      <c r="F5567" s="12" t="inlineStr">
        <is>
          <t>SC-1: aeroderivative simple-cycle unit (LM6000 class)</t>
        </is>
      </c>
      <c r="G5567" s="12" t="inlineStr"/>
      <c r="H5567" s="12" t="inlineStr">
        <is>
          <t>SC-1 PCM + 15 kV GCB</t>
        </is>
      </c>
      <c r="I5567" s="12" t="inlineStr">
        <is>
          <t>MV 15 kV</t>
        </is>
      </c>
      <c r="J5567" s="12" t="inlineStr">
        <is>
          <t>MV-105 15 kV 1/C Cu, EPR 133%, Cu tape shield, PVC jacket (triplexed)</t>
        </is>
      </c>
      <c r="K5567" s="12" t="inlineStr">
        <is>
          <t>MV15|1/C|2</t>
        </is>
      </c>
      <c r="L5567" s="12" t="inlineStr">
        <is>
          <t>1/C</t>
        </is>
      </c>
      <c r="M5567" s="12" t="inlineStr">
        <is>
          <t>2</t>
        </is>
      </c>
      <c r="N5567" s="12" t="n">
        <v>1</v>
      </c>
      <c r="O5567" s="12" t="n">
        <v>1</v>
      </c>
      <c r="P5567" s="12" t="n">
        <v>13800</v>
      </c>
      <c r="Q5567" s="12" t="n"/>
      <c r="R5567" s="12" t="n"/>
      <c r="S5567" s="12" t="inlineStr">
        <is>
          <t>Conduit</t>
        </is>
      </c>
      <c r="T5567" s="15" t="n">
        <v>15</v>
      </c>
      <c r="U5567" s="15" t="n">
        <v>10</v>
      </c>
      <c r="V5567" s="15">
        <f>ROUNDUP((T5567+U5567+2*'Read Me'!$B$13)*(1+'Read Me'!$B$12),-1)</f>
        <v/>
      </c>
      <c r="W5567" s="15">
        <f>V5567*N5567*O5567</f>
        <v/>
      </c>
      <c r="X5567" s="12">
        <f>IF(LEFT(I5567,2)="MV",2*N5567*IF(L5567="1/C",O5567,1),0)</f>
        <v/>
      </c>
      <c r="Y5567" s="12">
        <f>IF(OR(LEFT(K5567,4)="LVAX",LEFT(K5567,6)="MV15AX",LEFT(K5567,4)="CTAX",LEFT(K5567,2)="W|"),2*N5567*O5567,0)</f>
        <v/>
      </c>
      <c r="Z5567" s="12" t="inlineStr">
        <is>
          <t>neutral grounding resistor beside the generator enclosure</t>
        </is>
      </c>
      <c r="AA5567" s="12">
        <f>N5567*O5567</f>
        <v/>
      </c>
    </row>
    <row r="5568">
      <c r="A5568" s="12" t="inlineStr">
        <is>
          <t>I-MV-0053</t>
        </is>
      </c>
      <c r="B5568" s="12" t="inlineStr">
        <is>
          <t>I</t>
        </is>
      </c>
      <c r="C5568" s="12" t="inlineStr">
        <is>
          <t>Modular / portable power</t>
        </is>
      </c>
      <c r="D5568" s="12" t="inlineStr">
        <is>
          <t>SC-1 PCM auxiliary transformer primary, 2 MVA 13.8 kV / 480 V (from the GCB bus)</t>
        </is>
      </c>
      <c r="E5568" s="12" t="inlineStr"/>
      <c r="F5568" s="12" t="inlineStr">
        <is>
          <t>SC-1 PCM + 15 kV GCB</t>
        </is>
      </c>
      <c r="G5568" s="12" t="inlineStr"/>
      <c r="H5568" s="12" t="inlineStr">
        <is>
          <t>SC-1 PCM + 15 kV GCB</t>
        </is>
      </c>
      <c r="I5568" s="12" t="inlineStr">
        <is>
          <t>MV 15 kV</t>
        </is>
      </c>
      <c r="J5568" s="12" t="inlineStr">
        <is>
          <t>MV-105 15 kV 1/C Cu, EPR 133%, Cu tape shield, PVC jacket (triplexed)</t>
        </is>
      </c>
      <c r="K5568" s="12" t="inlineStr">
        <is>
          <t>MV15|1/C|2</t>
        </is>
      </c>
      <c r="L5568" s="12" t="inlineStr">
        <is>
          <t>1/C</t>
        </is>
      </c>
      <c r="M5568" s="12" t="inlineStr">
        <is>
          <t>2</t>
        </is>
      </c>
      <c r="N5568" s="12" t="n">
        <v>1</v>
      </c>
      <c r="O5568" s="12" t="n">
        <v>3</v>
      </c>
      <c r="P5568" s="12" t="n">
        <v>13800</v>
      </c>
      <c r="Q5568" s="12" t="n">
        <v>2000</v>
      </c>
      <c r="R5568" s="12" t="n">
        <v>84</v>
      </c>
      <c r="S5568" s="12" t="inlineStr">
        <is>
          <t>Tray</t>
        </is>
      </c>
      <c r="T5568" s="15" t="n">
        <v>0</v>
      </c>
      <c r="U5568" s="15" t="n">
        <v>32</v>
      </c>
      <c r="V5568" s="15">
        <f>ROUNDUP((T5568+U5568+2*'Read Me'!$B$13)*(1+'Read Me'!$B$12),-1)</f>
        <v/>
      </c>
      <c r="W5568" s="15">
        <f>V5568*N5568*O5568</f>
        <v/>
      </c>
      <c r="X5568" s="12">
        <f>IF(LEFT(I5568,2)="MV",2*N5568*IF(L5568="1/C",O5568,1),0)</f>
        <v/>
      </c>
      <c r="Y5568" s="12">
        <f>IF(OR(LEFT(K5568,4)="LVAX",LEFT(K5568,6)="MV15AX",LEFT(K5568,4)="CTAX",LEFT(K5568,2)="W|"),2*N5568*O5568,0)</f>
        <v/>
      </c>
      <c r="Z5568" s="12" t="inlineStr">
        <is>
          <t>internal to the PCM; ~1.0-1.1 MW connected 480 V load + 0.5 MW conditional inlet chiller</t>
        </is>
      </c>
      <c r="AA5568" s="12">
        <f>N5568*O5568</f>
        <v/>
      </c>
    </row>
    <row r="5569">
      <c r="A5569" s="12" t="inlineStr">
        <is>
          <t>I-MV-0054</t>
        </is>
      </c>
      <c r="B5569" s="12" t="inlineStr">
        <is>
          <t>I</t>
        </is>
      </c>
      <c r="C5569" s="12" t="inlineStr">
        <is>
          <t>Modular / portable power</t>
        </is>
      </c>
      <c r="D5569" s="12" t="inlineStr">
        <is>
          <t>SC-2 (LM6000 class) generator leads to its PCM / GCB</t>
        </is>
      </c>
      <c r="E5569" s="12" t="inlineStr">
        <is>
          <t>SC-2</t>
        </is>
      </c>
      <c r="F5569" s="12" t="inlineStr">
        <is>
          <t>SC-2: aeroderivative simple-cycle unit (LM6000 class)</t>
        </is>
      </c>
      <c r="G5569" s="12" t="inlineStr"/>
      <c r="H5569" s="12" t="inlineStr">
        <is>
          <t>SC-2 PCM + 15 kV GCB</t>
        </is>
      </c>
      <c r="I5569" s="12" t="inlineStr">
        <is>
          <t>MV 15 kV</t>
        </is>
      </c>
      <c r="J5569" s="12" t="inlineStr">
        <is>
          <t>MV-105 15 kV 1/C Cu, EPR 133%, Cu tape shield, PVC jacket (triplexed)</t>
        </is>
      </c>
      <c r="K5569" s="12" t="inlineStr">
        <is>
          <t>MV15|1/C|1000</t>
        </is>
      </c>
      <c r="L5569" s="12" t="inlineStr">
        <is>
          <t>1/C</t>
        </is>
      </c>
      <c r="M5569" s="12" t="inlineStr">
        <is>
          <t>1000 kcmil</t>
        </is>
      </c>
      <c r="N5569" s="12" t="n">
        <v>5</v>
      </c>
      <c r="O5569" s="12" t="n">
        <v>3</v>
      </c>
      <c r="P5569" s="12" t="n">
        <v>13800</v>
      </c>
      <c r="Q5569" s="12" t="n">
        <v>50000</v>
      </c>
      <c r="R5569" s="12" t="n">
        <v>2324</v>
      </c>
      <c r="S5569" s="12" t="inlineStr">
        <is>
          <t>Duct bank</t>
        </is>
      </c>
      <c r="T5569" s="15" t="n">
        <v>35</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is>
          <t>5 sets per phase</t>
        </is>
      </c>
      <c r="AA5569" s="12">
        <f>N5569*O5569</f>
        <v/>
      </c>
    </row>
    <row r="5570">
      <c r="A5570" s="12" t="inlineStr">
        <is>
          <t>I-MV-0055</t>
        </is>
      </c>
      <c r="B5570" s="12" t="inlineStr">
        <is>
          <t>I</t>
        </is>
      </c>
      <c r="C5570" s="12" t="inlineStr">
        <is>
          <t>Modular / portable power</t>
        </is>
      </c>
      <c r="D5570" s="12" t="inlineStr">
        <is>
          <t>SC-2 generator neutral to the NGR (in the terminal-box enclosure)</t>
        </is>
      </c>
      <c r="E5570" s="12" t="inlineStr">
        <is>
          <t>SC-2</t>
        </is>
      </c>
      <c r="F5570" s="12" t="inlineStr">
        <is>
          <t>SC-2: aeroderivative simple-cycle unit (LM6000 class)</t>
        </is>
      </c>
      <c r="G5570" s="12" t="inlineStr"/>
      <c r="H5570" s="12" t="inlineStr">
        <is>
          <t>SC-2 PCM + 15 kV GCB</t>
        </is>
      </c>
      <c r="I5570" s="12" t="inlineStr">
        <is>
          <t>MV 15 kV</t>
        </is>
      </c>
      <c r="J5570" s="12" t="inlineStr">
        <is>
          <t>MV-105 15 kV 1/C Cu, EPR 133%, Cu tape shield, PVC jacket (triplexed)</t>
        </is>
      </c>
      <c r="K5570" s="12" t="inlineStr">
        <is>
          <t>MV15|1/C|2</t>
        </is>
      </c>
      <c r="L5570" s="12" t="inlineStr">
        <is>
          <t>1/C</t>
        </is>
      </c>
      <c r="M5570" s="12" t="inlineStr">
        <is>
          <t>2</t>
        </is>
      </c>
      <c r="N5570" s="12" t="n">
        <v>1</v>
      </c>
      <c r="O5570" s="12" t="n">
        <v>1</v>
      </c>
      <c r="P5570" s="12" t="n">
        <v>13800</v>
      </c>
      <c r="Q5570" s="12" t="n"/>
      <c r="R5570" s="12" t="n"/>
      <c r="S5570" s="12" t="inlineStr">
        <is>
          <t>Conduit</t>
        </is>
      </c>
      <c r="T5570" s="15" t="n">
        <v>15</v>
      </c>
      <c r="U5570" s="15" t="n">
        <v>10</v>
      </c>
      <c r="V5570" s="15">
        <f>ROUNDUP((T5570+U5570+2*'Read Me'!$B$13)*(1+'Read Me'!$B$12),-1)</f>
        <v/>
      </c>
      <c r="W5570" s="15">
        <f>V5570*N5570*O5570</f>
        <v/>
      </c>
      <c r="X5570" s="12">
        <f>IF(LEFT(I5570,2)="MV",2*N5570*IF(L5570="1/C",O5570,1),0)</f>
        <v/>
      </c>
      <c r="Y5570" s="12">
        <f>IF(OR(LEFT(K5570,4)="LVAX",LEFT(K5570,6)="MV15AX",LEFT(K5570,4)="CTAX",LEFT(K5570,2)="W|"),2*N5570*O5570,0)</f>
        <v/>
      </c>
      <c r="Z5570" s="12" t="inlineStr">
        <is>
          <t>neutral grounding resistor beside the generator enclosure</t>
        </is>
      </c>
      <c r="AA5570" s="12">
        <f>N5570*O5570</f>
        <v/>
      </c>
    </row>
    <row r="5571">
      <c r="A5571" s="12" t="inlineStr">
        <is>
          <t>I-MV-0056</t>
        </is>
      </c>
      <c r="B5571" s="12" t="inlineStr">
        <is>
          <t>I</t>
        </is>
      </c>
      <c r="C5571" s="12" t="inlineStr">
        <is>
          <t>Modular / portable power</t>
        </is>
      </c>
      <c r="D5571" s="12" t="inlineStr">
        <is>
          <t>SC-2 PCM auxiliary transformer primary, 2 MVA 13.8 kV / 480 V (from the GCB bus)</t>
        </is>
      </c>
      <c r="E5571" s="12" t="inlineStr"/>
      <c r="F5571" s="12" t="inlineStr">
        <is>
          <t>SC-2 PCM + 15 kV GCB</t>
        </is>
      </c>
      <c r="G5571" s="12" t="inlineStr"/>
      <c r="H5571" s="12" t="inlineStr">
        <is>
          <t>SC-2 PCM + 15 kV GCB</t>
        </is>
      </c>
      <c r="I5571" s="12" t="inlineStr">
        <is>
          <t>MV 15 kV</t>
        </is>
      </c>
      <c r="J5571" s="12" t="inlineStr">
        <is>
          <t>MV-105 15 kV 1/C Cu, EPR 133%, Cu tape shield, PVC jacket (triplexed)</t>
        </is>
      </c>
      <c r="K5571" s="12" t="inlineStr">
        <is>
          <t>MV15|1/C|2</t>
        </is>
      </c>
      <c r="L5571" s="12" t="inlineStr">
        <is>
          <t>1/C</t>
        </is>
      </c>
      <c r="M5571" s="12" t="inlineStr">
        <is>
          <t>2</t>
        </is>
      </c>
      <c r="N5571" s="12" t="n">
        <v>1</v>
      </c>
      <c r="O5571" s="12" t="n">
        <v>3</v>
      </c>
      <c r="P5571" s="12" t="n">
        <v>13800</v>
      </c>
      <c r="Q5571" s="12" t="n">
        <v>2000</v>
      </c>
      <c r="R5571" s="12" t="n">
        <v>84</v>
      </c>
      <c r="S5571" s="12" t="inlineStr">
        <is>
          <t>Tray</t>
        </is>
      </c>
      <c r="T5571" s="15" t="n">
        <v>0</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internal to the PCM; ~1.0-1.1 MW connected 480 V load + 0.5 MW conditional inlet chiller</t>
        </is>
      </c>
      <c r="AA5571" s="12">
        <f>N5571*O5571</f>
        <v/>
      </c>
    </row>
    <row r="5572">
      <c r="A5572" s="12" t="inlineStr">
        <is>
          <t>I-MV-0057</t>
        </is>
      </c>
      <c r="B5572" s="12" t="inlineStr">
        <is>
          <t>I</t>
        </is>
      </c>
      <c r="C5572" s="12" t="inlineStr">
        <is>
          <t>Modular / portable power</t>
        </is>
      </c>
      <c r="D5572" s="12" t="inlineStr">
        <is>
          <t>SC-1 PCM (GCB) to SC-GSU-1</t>
        </is>
      </c>
      <c r="E5572" s="12" t="inlineStr"/>
      <c r="F5572" s="12" t="inlineStr">
        <is>
          <t>SC-1 PCM + 15 kV GCB</t>
        </is>
      </c>
      <c r="G5572" s="12" t="inlineStr">
        <is>
          <t>SC-GSU-1</t>
        </is>
      </c>
      <c r="H5572" s="12" t="inlineStr">
        <is>
          <t>SC-GSU-1: 13.8 / 34.5 kV unit step-up, ~60 MVA (SC-1)</t>
        </is>
      </c>
      <c r="I5572" s="12" t="inlineStr">
        <is>
          <t>MV 15 kV</t>
        </is>
      </c>
      <c r="J5572" s="12" t="inlineStr">
        <is>
          <t>MV-105 15 kV 1/C Cu, EPR 133%, Cu tape shield, PVC jacket (triplexed)</t>
        </is>
      </c>
      <c r="K5572" s="12" t="inlineStr">
        <is>
          <t>MV15|1/C|1000</t>
        </is>
      </c>
      <c r="L5572" s="12" t="inlineStr">
        <is>
          <t>1/C</t>
        </is>
      </c>
      <c r="M5572" s="12" t="inlineStr">
        <is>
          <t>1000 kcmil</t>
        </is>
      </c>
      <c r="N5572" s="12" t="n">
        <v>5</v>
      </c>
      <c r="O5572" s="12" t="n">
        <v>3</v>
      </c>
      <c r="P5572" s="12" t="n">
        <v>13800</v>
      </c>
      <c r="Q5572" s="12" t="n">
        <v>50000</v>
      </c>
      <c r="R5572" s="12" t="n">
        <v>2324</v>
      </c>
      <c r="S5572" s="12" t="inlineStr">
        <is>
          <t>Duct bank</t>
        </is>
      </c>
      <c r="T5572" s="15" t="n">
        <v>55</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5 sets per phase</t>
        </is>
      </c>
      <c r="AA5572" s="12">
        <f>N5572*O5572</f>
        <v/>
      </c>
    </row>
    <row r="5573">
      <c r="A5573" s="12" t="inlineStr">
        <is>
          <t>I-MV-0058</t>
        </is>
      </c>
      <c r="B5573" s="12" t="inlineStr">
        <is>
          <t>I</t>
        </is>
      </c>
      <c r="C5573" s="12" t="inlineStr">
        <is>
          <t>Modular / portable power</t>
        </is>
      </c>
      <c r="D5573" s="12" t="inlineStr">
        <is>
          <t>SC-2 PCM (GCB) to SC-GSU-2</t>
        </is>
      </c>
      <c r="E5573" s="12" t="inlineStr"/>
      <c r="F5573" s="12" t="inlineStr">
        <is>
          <t>SC-2 PCM + 15 kV GCB</t>
        </is>
      </c>
      <c r="G5573" s="12" t="inlineStr">
        <is>
          <t>SC-GSU-2</t>
        </is>
      </c>
      <c r="H5573" s="12" t="inlineStr">
        <is>
          <t>SC-GSU-2: 13.8 / 34.5 kV unit step-up, ~60 MVA (SC-2)</t>
        </is>
      </c>
      <c r="I5573" s="12" t="inlineStr">
        <is>
          <t>MV 15 kV</t>
        </is>
      </c>
      <c r="J5573" s="12" t="inlineStr">
        <is>
          <t>MV-105 15 kV 1/C Cu, EPR 133%, Cu tape shield, PVC jacket (triplexed)</t>
        </is>
      </c>
      <c r="K5573" s="12" t="inlineStr">
        <is>
          <t>MV15|1/C|1000</t>
        </is>
      </c>
      <c r="L5573" s="12" t="inlineStr">
        <is>
          <t>1/C</t>
        </is>
      </c>
      <c r="M5573" s="12" t="inlineStr">
        <is>
          <t>1000 kcmil</t>
        </is>
      </c>
      <c r="N5573" s="12" t="n">
        <v>5</v>
      </c>
      <c r="O5573" s="12" t="n">
        <v>3</v>
      </c>
      <c r="P5573" s="12" t="n">
        <v>13800</v>
      </c>
      <c r="Q5573" s="12" t="n">
        <v>50000</v>
      </c>
      <c r="R5573" s="12" t="n">
        <v>2324</v>
      </c>
      <c r="S5573" s="12" t="inlineStr">
        <is>
          <t>Duct bank</t>
        </is>
      </c>
      <c r="T5573" s="15" t="n">
        <v>48</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5 sets per phase</t>
        </is>
      </c>
      <c r="AA5573" s="12">
        <f>N5573*O5573</f>
        <v/>
      </c>
    </row>
    <row r="5574">
      <c r="A5574" s="12" t="inlineStr">
        <is>
          <t>I-MV-0059</t>
        </is>
      </c>
      <c r="B5574" s="12" t="inlineStr">
        <is>
          <t>I</t>
        </is>
      </c>
      <c r="C5574" s="12" t="inlineStr">
        <is>
          <t>Modular / portable power</t>
        </is>
      </c>
      <c r="D5574" s="12" t="inlineStr">
        <is>
          <t>TGF-1 generator neutral to its high-resistance grounding resistor (in the package)</t>
        </is>
      </c>
      <c r="E5574" s="12" t="inlineStr">
        <is>
          <t>TGF-1</t>
        </is>
      </c>
      <c r="F5574" s="12" t="inlineStr">
        <is>
          <t xml:space="preserve">TGF-1: trailer-mounted gas-engine generator ~2.5 MW, 13.8 kV (trailer </t>
        </is>
      </c>
      <c r="G5574" s="12" t="inlineStr">
        <is>
          <t>TGF-1</t>
        </is>
      </c>
      <c r="H5574" s="12" t="inlineStr">
        <is>
          <t xml:space="preserve">TGF-1: trailer-mounted gas-engine generator ~2.5 MW, 13.8 kV (trailer </t>
        </is>
      </c>
      <c r="I5574" s="12" t="inlineStr">
        <is>
          <t>MV 15 kV</t>
        </is>
      </c>
      <c r="J5574" s="12" t="inlineStr">
        <is>
          <t>MV-105 15 kV 1/C Cu, EPR 133%, Cu tape shield, PVC jacket (triplexed)</t>
        </is>
      </c>
      <c r="K5574" s="12" t="inlineStr">
        <is>
          <t>MV15|1/C|2</t>
        </is>
      </c>
      <c r="L5574" s="12" t="inlineStr">
        <is>
          <t>1/C</t>
        </is>
      </c>
      <c r="M5574" s="12" t="inlineStr">
        <is>
          <t>2</t>
        </is>
      </c>
      <c r="N5574" s="12" t="n">
        <v>1</v>
      </c>
      <c r="O5574" s="12" t="n">
        <v>1</v>
      </c>
      <c r="P5574" s="12" t="n">
        <v>13800</v>
      </c>
      <c r="Q5574" s="12" t="n"/>
      <c r="R5574" s="12" t="n"/>
      <c r="S5574" s="12" t="inlineStr">
        <is>
          <t>Conduit</t>
        </is>
      </c>
      <c r="T5574" s="15" t="n">
        <v>15</v>
      </c>
      <c r="U5574" s="15" t="n">
        <v>5</v>
      </c>
      <c r="V5574" s="15">
        <f>ROUNDUP((T5574+U5574+2*'Read Me'!$B$13)*(1+'Read Me'!$B$12),-1)</f>
        <v/>
      </c>
      <c r="W5574" s="15">
        <f>V5574*N5574*O5574</f>
        <v/>
      </c>
      <c r="X5574" s="12">
        <f>IF(LEFT(I5574,2)="MV",2*N5574*IF(L5574="1/C",O5574,1),0)</f>
        <v/>
      </c>
      <c r="Y5574" s="12">
        <f>IF(OR(LEFT(K5574,4)="LVAX",LEFT(K5574,6)="MV15AX",LEFT(K5574,4)="CTAX",LEFT(K5574,2)="W|"),2*N5574*O5574,0)</f>
        <v/>
      </c>
      <c r="Z5574" s="12" t="inlineStr">
        <is>
          <t>NGR in the generator / terminal-box enclosure</t>
        </is>
      </c>
      <c r="AA5574" s="12">
        <f>N5574*O5574</f>
        <v/>
      </c>
    </row>
    <row r="5575">
      <c r="A5575" s="12" t="inlineStr">
        <is>
          <t>I-MV-0060</t>
        </is>
      </c>
      <c r="B5575" s="12" t="inlineStr">
        <is>
          <t>I</t>
        </is>
      </c>
      <c r="C5575" s="12" t="inlineStr">
        <is>
          <t>Modular / portable power</t>
        </is>
      </c>
      <c r="D5575" s="12" t="inlineStr">
        <is>
          <t>TGF-2 generator neutral to its high-resistance grounding resistor (in the package)</t>
        </is>
      </c>
      <c r="E5575" s="12" t="inlineStr">
        <is>
          <t>TGF-2</t>
        </is>
      </c>
      <c r="F5575" s="12" t="inlineStr">
        <is>
          <t xml:space="preserve">TGF-2: trailer-mounted gas-engine generator ~2.5 MW, 13.8 kV (trailer </t>
        </is>
      </c>
      <c r="G5575" s="12" t="inlineStr">
        <is>
          <t>TGF-2</t>
        </is>
      </c>
      <c r="H5575" s="12" t="inlineStr">
        <is>
          <t xml:space="preserve">TGF-2: trailer-mounted gas-engine generator ~2.5 MW, 13.8 kV (trailer </t>
        </is>
      </c>
      <c r="I5575" s="12" t="inlineStr">
        <is>
          <t>MV 15 kV</t>
        </is>
      </c>
      <c r="J5575" s="12" t="inlineStr">
        <is>
          <t>MV-105 15 kV 1/C Cu, EPR 133%, Cu tape shield, PVC jacket (triplexed)</t>
        </is>
      </c>
      <c r="K5575" s="12" t="inlineStr">
        <is>
          <t>MV15|1/C|2</t>
        </is>
      </c>
      <c r="L5575" s="12" t="inlineStr">
        <is>
          <t>1/C</t>
        </is>
      </c>
      <c r="M5575" s="12" t="inlineStr">
        <is>
          <t>2</t>
        </is>
      </c>
      <c r="N5575" s="12" t="n">
        <v>1</v>
      </c>
      <c r="O5575" s="12" t="n">
        <v>1</v>
      </c>
      <c r="P5575" s="12" t="n">
        <v>13800</v>
      </c>
      <c r="Q5575" s="12" t="n"/>
      <c r="R5575" s="12" t="n"/>
      <c r="S5575" s="12" t="inlineStr">
        <is>
          <t>Conduit</t>
        </is>
      </c>
      <c r="T5575" s="15" t="n">
        <v>15</v>
      </c>
      <c r="U5575" s="15" t="n">
        <v>5</v>
      </c>
      <c r="V5575" s="15">
        <f>ROUNDUP((T5575+U5575+2*'Read Me'!$B$13)*(1+'Read Me'!$B$12),-1)</f>
        <v/>
      </c>
      <c r="W5575" s="15">
        <f>V5575*N5575*O5575</f>
        <v/>
      </c>
      <c r="X5575" s="12">
        <f>IF(LEFT(I5575,2)="MV",2*N5575*IF(L5575="1/C",O5575,1),0)</f>
        <v/>
      </c>
      <c r="Y5575" s="12">
        <f>IF(OR(LEFT(K5575,4)="LVAX",LEFT(K5575,6)="MV15AX",LEFT(K5575,4)="CTAX",LEFT(K5575,2)="W|"),2*N5575*O5575,0)</f>
        <v/>
      </c>
      <c r="Z5575" s="12" t="inlineStr">
        <is>
          <t>NGR in the generator / terminal-box enclosure</t>
        </is>
      </c>
      <c r="AA5575" s="12">
        <f>N5575*O5575</f>
        <v/>
      </c>
    </row>
    <row r="5576">
      <c r="A5576" s="12" t="inlineStr">
        <is>
          <t>I-MV-0061</t>
        </is>
      </c>
      <c r="B5576" s="12" t="inlineStr">
        <is>
          <t>I</t>
        </is>
      </c>
      <c r="C5576" s="12" t="inlineStr">
        <is>
          <t>Modular / portable power</t>
        </is>
      </c>
      <c r="D5576" s="12" t="inlineStr">
        <is>
          <t>TGF-3 generator neutral to its high-resistance grounding resistor (in the package)</t>
        </is>
      </c>
      <c r="E5576" s="12" t="inlineStr">
        <is>
          <t>TGF-3</t>
        </is>
      </c>
      <c r="F5576" s="12" t="inlineStr">
        <is>
          <t xml:space="preserve">TGF-3: trailer-mounted gas-engine generator ~2.5 MW, 13.8 kV (trailer </t>
        </is>
      </c>
      <c r="G5576" s="12" t="inlineStr">
        <is>
          <t>TGF-3</t>
        </is>
      </c>
      <c r="H5576" s="12" t="inlineStr">
        <is>
          <t xml:space="preserve">TGF-3: trailer-mounted gas-engine generator ~2.5 MW, 13.8 kV (trailer </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1</v>
      </c>
      <c r="P5576" s="12" t="n">
        <v>13800</v>
      </c>
      <c r="Q5576" s="12" t="n"/>
      <c r="R5576" s="12" t="n"/>
      <c r="S5576" s="12" t="inlineStr">
        <is>
          <t>Conduit</t>
        </is>
      </c>
      <c r="T5576" s="15" t="n">
        <v>15</v>
      </c>
      <c r="U5576" s="15" t="n">
        <v>5</v>
      </c>
      <c r="V5576" s="15">
        <f>ROUNDUP((T5576+U5576+2*'Read Me'!$B$13)*(1+'Read Me'!$B$12),-1)</f>
        <v/>
      </c>
      <c r="W5576" s="15">
        <f>V5576*N5576*O5576</f>
        <v/>
      </c>
      <c r="X5576" s="12">
        <f>IF(LEFT(I5576,2)="MV",2*N5576*IF(L5576="1/C",O5576,1),0)</f>
        <v/>
      </c>
      <c r="Y5576" s="12">
        <f>IF(OR(LEFT(K5576,4)="LVAX",LEFT(K5576,6)="MV15AX",LEFT(K5576,4)="CTAX",LEFT(K5576,2)="W|"),2*N5576*O5576,0)</f>
        <v/>
      </c>
      <c r="Z5576" s="12" t="inlineStr">
        <is>
          <t>NGR in the generator / terminal-box enclosure</t>
        </is>
      </c>
      <c r="AA5576" s="12">
        <f>N5576*O5576</f>
        <v/>
      </c>
    </row>
    <row r="5577">
      <c r="A5577" s="12" t="inlineStr">
        <is>
          <t>I-MV-0062</t>
        </is>
      </c>
      <c r="B5577" s="12" t="inlineStr">
        <is>
          <t>I</t>
        </is>
      </c>
      <c r="C5577" s="12" t="inlineStr">
        <is>
          <t>Modular / portable power</t>
        </is>
      </c>
      <c r="D5577" s="12" t="inlineStr">
        <is>
          <t>TGF-4 generator neutral to its high-resistance grounding resistor (in the package)</t>
        </is>
      </c>
      <c r="E5577" s="12" t="inlineStr">
        <is>
          <t>TGF-4</t>
        </is>
      </c>
      <c r="F5577" s="12" t="inlineStr">
        <is>
          <t xml:space="preserve">TGF-4: trailer-mounted gas-engine generator ~2.5 MW, 13.8 kV (trailer </t>
        </is>
      </c>
      <c r="G5577" s="12" t="inlineStr">
        <is>
          <t>TGF-4</t>
        </is>
      </c>
      <c r="H5577" s="12" t="inlineStr">
        <is>
          <t xml:space="preserve">TGF-4: trailer-mounted gas-engine generator ~2.5 MW, 13.8 kV (trailer </t>
        </is>
      </c>
      <c r="I5577" s="12" t="inlineStr">
        <is>
          <t>MV 15 kV</t>
        </is>
      </c>
      <c r="J5577" s="12" t="inlineStr">
        <is>
          <t>MV-105 15 kV 1/C Cu, EPR 133%, Cu tape shield, PVC jacket (triplexed)</t>
        </is>
      </c>
      <c r="K5577" s="12" t="inlineStr">
        <is>
          <t>MV15|1/C|2</t>
        </is>
      </c>
      <c r="L5577" s="12" t="inlineStr">
        <is>
          <t>1/C</t>
        </is>
      </c>
      <c r="M5577" s="12" t="inlineStr">
        <is>
          <t>2</t>
        </is>
      </c>
      <c r="N5577" s="12" t="n">
        <v>1</v>
      </c>
      <c r="O5577" s="12" t="n">
        <v>1</v>
      </c>
      <c r="P5577" s="12" t="n">
        <v>13800</v>
      </c>
      <c r="Q5577" s="12" t="n"/>
      <c r="R5577" s="12" t="n"/>
      <c r="S5577" s="12" t="inlineStr">
        <is>
          <t>Conduit</t>
        </is>
      </c>
      <c r="T5577" s="15" t="n">
        <v>15</v>
      </c>
      <c r="U5577" s="15" t="n">
        <v>5</v>
      </c>
      <c r="V5577" s="15">
        <f>ROUNDUP((T5577+U5577+2*'Read Me'!$B$13)*(1+'Read Me'!$B$12),-1)</f>
        <v/>
      </c>
      <c r="W5577" s="15">
        <f>V5577*N5577*O5577</f>
        <v/>
      </c>
      <c r="X5577" s="12">
        <f>IF(LEFT(I5577,2)="MV",2*N5577*IF(L5577="1/C",O5577,1),0)</f>
        <v/>
      </c>
      <c r="Y5577" s="12">
        <f>IF(OR(LEFT(K5577,4)="LVAX",LEFT(K5577,6)="MV15AX",LEFT(K5577,4)="CTAX",LEFT(K5577,2)="W|"),2*N5577*O5577,0)</f>
        <v/>
      </c>
      <c r="Z5577" s="12" t="inlineStr">
        <is>
          <t>NGR in the generator / terminal-box enclosure</t>
        </is>
      </c>
      <c r="AA5577" s="12">
        <f>N5577*O5577</f>
        <v/>
      </c>
    </row>
    <row r="5578">
      <c r="A5578" s="12" t="inlineStr">
        <is>
          <t>I-MV-0063</t>
        </is>
      </c>
      <c r="B5578" s="12" t="inlineStr">
        <is>
          <t>I</t>
        </is>
      </c>
      <c r="C5578" s="12" t="inlineStr">
        <is>
          <t>Modular / portable power</t>
        </is>
      </c>
      <c r="D5578" s="12" t="inlineStr">
        <is>
          <t>TGF-5 generator neutral to its high-resistance grounding resistor (in the package)</t>
        </is>
      </c>
      <c r="E5578" s="12" t="inlineStr">
        <is>
          <t>TGF-5</t>
        </is>
      </c>
      <c r="F5578" s="12" t="inlineStr">
        <is>
          <t xml:space="preserve">TGF-5: trailer-mounted gas-engine generator ~2.5 MW, 13.8 kV (trailer </t>
        </is>
      </c>
      <c r="G5578" s="12" t="inlineStr">
        <is>
          <t>TGF-5</t>
        </is>
      </c>
      <c r="H5578" s="12" t="inlineStr">
        <is>
          <t xml:space="preserve">TGF-5: trailer-mounted gas-engine generator ~2.5 MW, 13.8 kV (trailer </t>
        </is>
      </c>
      <c r="I5578" s="12" t="inlineStr">
        <is>
          <t>MV 15 kV</t>
        </is>
      </c>
      <c r="J5578" s="12" t="inlineStr">
        <is>
          <t>MV-105 15 kV 1/C Cu, EPR 133%, Cu tape shield, PVC jacket (triplexed)</t>
        </is>
      </c>
      <c r="K5578" s="12" t="inlineStr">
        <is>
          <t>MV15|1/C|2</t>
        </is>
      </c>
      <c r="L5578" s="12" t="inlineStr">
        <is>
          <t>1/C</t>
        </is>
      </c>
      <c r="M5578" s="12" t="inlineStr">
        <is>
          <t>2</t>
        </is>
      </c>
      <c r="N5578" s="12" t="n">
        <v>1</v>
      </c>
      <c r="O5578" s="12" t="n">
        <v>1</v>
      </c>
      <c r="P5578" s="12" t="n">
        <v>13800</v>
      </c>
      <c r="Q5578" s="12" t="n"/>
      <c r="R5578" s="12" t="n"/>
      <c r="S5578" s="12" t="inlineStr">
        <is>
          <t>Conduit</t>
        </is>
      </c>
      <c r="T5578" s="15" t="n">
        <v>15</v>
      </c>
      <c r="U5578" s="15" t="n">
        <v>5</v>
      </c>
      <c r="V5578" s="15">
        <f>ROUNDUP((T5578+U5578+2*'Read Me'!$B$13)*(1+'Read Me'!$B$12),-1)</f>
        <v/>
      </c>
      <c r="W5578" s="15">
        <f>V5578*N5578*O5578</f>
        <v/>
      </c>
      <c r="X5578" s="12">
        <f>IF(LEFT(I5578,2)="MV",2*N5578*IF(L5578="1/C",O5578,1),0)</f>
        <v/>
      </c>
      <c r="Y5578" s="12">
        <f>IF(OR(LEFT(K5578,4)="LVAX",LEFT(K5578,6)="MV15AX",LEFT(K5578,4)="CTAX",LEFT(K5578,2)="W|"),2*N5578*O5578,0)</f>
        <v/>
      </c>
      <c r="Z5578" s="12" t="inlineStr">
        <is>
          <t>NGR in the generator / terminal-box enclosure</t>
        </is>
      </c>
      <c r="AA5578" s="12">
        <f>N5578*O5578</f>
        <v/>
      </c>
    </row>
    <row r="5579">
      <c r="A5579" s="12" t="inlineStr">
        <is>
          <t>I-MV-0064</t>
        </is>
      </c>
      <c r="B5579" s="12" t="inlineStr">
        <is>
          <t>I</t>
        </is>
      </c>
      <c r="C5579" s="12" t="inlineStr">
        <is>
          <t>Modular / portable power</t>
        </is>
      </c>
      <c r="D5579" s="12" t="inlineStr">
        <is>
          <t>TGF-6 generator neutral to its high-resistance grounding resistor (in the package)</t>
        </is>
      </c>
      <c r="E5579" s="12" t="inlineStr">
        <is>
          <t>TGF-6</t>
        </is>
      </c>
      <c r="F5579" s="12" t="inlineStr">
        <is>
          <t xml:space="preserve">TGF-6: trailer-mounted gas-engine generator ~2.5 MW, 13.8 kV (trailer </t>
        </is>
      </c>
      <c r="G5579" s="12" t="inlineStr">
        <is>
          <t>TGF-6</t>
        </is>
      </c>
      <c r="H5579" s="12" t="inlineStr">
        <is>
          <t xml:space="preserve">TGF-6: trailer-mounted gas-engine generator ~2.5 MW, 13.8 kV (trailer </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5</v>
      </c>
      <c r="V5579" s="15">
        <f>ROUNDUP((T5579+U5579+2*'Read Me'!$B$13)*(1+'Read Me'!$B$12),-1)</f>
        <v/>
      </c>
      <c r="W5579" s="15">
        <f>V5579*N5579*O5579</f>
        <v/>
      </c>
      <c r="X5579" s="12">
        <f>IF(LEFT(I5579,2)="MV",2*N5579*IF(L5579="1/C",O5579,1),0)</f>
        <v/>
      </c>
      <c r="Y5579" s="12">
        <f>IF(OR(LEFT(K5579,4)="LVAX",LEFT(K5579,6)="MV15AX",LEFT(K5579,4)="CTAX",LEFT(K5579,2)="W|"),2*N5579*O5579,0)</f>
        <v/>
      </c>
      <c r="Z5579" s="12" t="inlineStr">
        <is>
          <t>NGR in the generator / terminal-box enclosure</t>
        </is>
      </c>
      <c r="AA5579" s="12">
        <f>N5579*O5579</f>
        <v/>
      </c>
    </row>
    <row r="5580">
      <c r="A5580" s="12" t="inlineStr">
        <is>
          <t>I-MV-0065</t>
        </is>
      </c>
      <c r="B5580" s="12" t="inlineStr">
        <is>
          <t>I</t>
        </is>
      </c>
      <c r="C5580" s="12" t="inlineStr">
        <is>
          <t>Modular / portable power</t>
        </is>
      </c>
      <c r="D5580" s="12" t="inlineStr">
        <is>
          <t>TGF-SWG 13.8 kV to TGF-GSU</t>
        </is>
      </c>
      <c r="E5580" s="12" t="inlineStr">
        <is>
          <t>TGF-SWG</t>
        </is>
      </c>
      <c r="F5580" s="12" t="inlineStr">
        <is>
          <t>TGF-SWG: mobile 13.8 kV switchgear trailer (fleet collector)</t>
        </is>
      </c>
      <c r="G5580" s="12" t="inlineStr">
        <is>
          <t>TGF-GSU</t>
        </is>
      </c>
      <c r="H5580" s="12" t="inlineStr">
        <is>
          <t>TGF-GSU: 13.8 / 34.5 kV step-up, ~20 MVA (trailer fleet)</t>
        </is>
      </c>
      <c r="I5580" s="12" t="inlineStr">
        <is>
          <t>MV 15 kV</t>
        </is>
      </c>
      <c r="J5580" s="12" t="inlineStr">
        <is>
          <t>MV-105 15 kV 1/C Cu, EPR 133%, Cu tape shield, PVC jacket (triplexed)</t>
        </is>
      </c>
      <c r="K5580" s="12" t="inlineStr">
        <is>
          <t>MV15|1/C|500</t>
        </is>
      </c>
      <c r="L5580" s="12" t="inlineStr">
        <is>
          <t>1/C</t>
        </is>
      </c>
      <c r="M5580" s="12" t="inlineStr">
        <is>
          <t>500 kcmil</t>
        </is>
      </c>
      <c r="N5580" s="12" t="n">
        <v>2</v>
      </c>
      <c r="O5580" s="12" t="n">
        <v>3</v>
      </c>
      <c r="P5580" s="12" t="n">
        <v>13800</v>
      </c>
      <c r="Q5580" s="12" t="n">
        <v>15000</v>
      </c>
      <c r="R5580" s="12" t="n">
        <v>697</v>
      </c>
      <c r="S5580" s="12" t="inlineStr">
        <is>
          <t>Surface</t>
        </is>
      </c>
      <c r="T5580" s="15" t="n">
        <v>36</v>
      </c>
      <c r="U5580" s="15" t="n">
        <v>27</v>
      </c>
      <c r="V5580" s="15">
        <f>ROUNDUP((T5580+U5580+2*'Read Me'!$B$13)*(1+'Read Me'!$B$12),-1)</f>
        <v/>
      </c>
      <c r="W5580" s="15">
        <f>V5580*N5580*O5580</f>
        <v/>
      </c>
      <c r="X5580" s="12">
        <f>IF(LEFT(I5580,2)="MV",2*N5580*IF(L5580="1/C",O5580,1),0)</f>
        <v/>
      </c>
      <c r="Y5580" s="12">
        <f>IF(OR(LEFT(K5580,4)="LVAX",LEFT(K5580,6)="MV15AX",LEFT(K5580,4)="CTAX",LEFT(K5580,2)="W|"),2*N5580*O5580,0)</f>
        <v/>
      </c>
      <c r="Z5580" s="12" t="inlineStr">
        <is>
          <t>2 sets per phase</t>
        </is>
      </c>
      <c r="AA5580" s="12">
        <f>N5580*O5580</f>
        <v/>
      </c>
    </row>
    <row r="5581">
      <c r="A5581" s="12" t="inlineStr">
        <is>
          <t>I-MV-0066</t>
        </is>
      </c>
      <c r="B5581" s="12" t="inlineStr">
        <is>
          <t>I</t>
        </is>
      </c>
      <c r="C5581" s="12" t="inlineStr">
        <is>
          <t>Modular / portable power</t>
        </is>
      </c>
      <c r="D5581" s="12" t="inlineStr">
        <is>
          <t>L3 35 kV collector loop, segment 1 of 5 (SWG-MY to GBT-1)</t>
        </is>
      </c>
      <c r="E5581" s="12" t="inlineStr">
        <is>
          <t>SWG-MY</t>
        </is>
      </c>
      <c r="F5581" s="12" t="inlineStr">
        <is>
          <t xml:space="preserve">SWG-MY: 35 kV switchgear lineup for the modular blocks (group breaker </t>
        </is>
      </c>
      <c r="G5581" s="12" t="inlineStr">
        <is>
          <t>GBT-1</t>
        </is>
      </c>
      <c r="H5581" s="12" t="inlineStr">
        <is>
          <t>GBT-1: block GB-1 step-up 480 V : 34.5 kV, ~3 MVA pad-mount (on the 35</t>
        </is>
      </c>
      <c r="I5581" s="12" t="inlineStr">
        <is>
          <t>MV 35 kV</t>
        </is>
      </c>
      <c r="J5581" s="12" t="inlineStr">
        <is>
          <t>MV-105 35 kV 1/C Al, EPR 133%, 1/3 concentric neutral, LLDPE jacket</t>
        </is>
      </c>
      <c r="K5581" s="12" t="inlineStr">
        <is>
          <t>MV35|1/C|750</t>
        </is>
      </c>
      <c r="L5581" s="12" t="inlineStr">
        <is>
          <t>1/C</t>
        </is>
      </c>
      <c r="M5581" s="12" t="inlineStr">
        <is>
          <t>750 kcmil</t>
        </is>
      </c>
      <c r="N5581" s="12" t="n">
        <v>1</v>
      </c>
      <c r="O5581" s="12" t="n">
        <v>3</v>
      </c>
      <c r="P5581" s="12" t="n">
        <v>34500</v>
      </c>
      <c r="Q5581" s="12" t="n">
        <v>10000</v>
      </c>
      <c r="R5581" s="12" t="n">
        <v>167</v>
      </c>
      <c r="S5581" s="12" t="inlineStr">
        <is>
          <t>Duct bank</t>
        </is>
      </c>
      <c r="T5581" s="15" t="n">
        <v>83</v>
      </c>
      <c r="U5581" s="15" t="n">
        <v>37</v>
      </c>
      <c r="V5581" s="15">
        <f>ROUNDUP((T5581+U5581+2*'Read Me'!$B$13)*(1+'Read Me'!$B$12),-1)</f>
        <v/>
      </c>
      <c r="W5581" s="15">
        <f>V5581*N5581*O5581</f>
        <v/>
      </c>
      <c r="X5581" s="12">
        <f>IF(LEFT(I5581,2)="MV",2*N5581*IF(L5581="1/C",O5581,1),0)</f>
        <v/>
      </c>
      <c r="Y5581" s="12">
        <f>IF(OR(LEFT(K5581,4)="LVAX",LEFT(K5581,6)="MV15AX",LEFT(K5581,4)="CTAX",LEFT(K5581,2)="W|"),2*N5581*O5581,0)</f>
        <v/>
      </c>
      <c r="Z5581" s="12" t="inlineStr">
        <is>
          <t>loop conductor 750 kcmil Al, 133 % (WORKING ASSUMPTION)</t>
        </is>
      </c>
      <c r="AA5581" s="12">
        <f>N5581*O5581</f>
        <v/>
      </c>
    </row>
    <row r="5582">
      <c r="A5582" s="12" t="inlineStr">
        <is>
          <t>I-MV-0067</t>
        </is>
      </c>
      <c r="B5582" s="12" t="inlineStr">
        <is>
          <t>I</t>
        </is>
      </c>
      <c r="C5582" s="12" t="inlineStr">
        <is>
          <t>Modular / portable power</t>
        </is>
      </c>
      <c r="D5582" s="12" t="inlineStr">
        <is>
          <t>L3 35 kV collector loop, segment 2 of 5 (GBT-1 to GBT-2)</t>
        </is>
      </c>
      <c r="E5582" s="12" t="inlineStr">
        <is>
          <t>GBT-1</t>
        </is>
      </c>
      <c r="F5582" s="12" t="inlineStr">
        <is>
          <t>GBT-1: block GB-1 step-up 480 V : 34.5 kV, ~3 MVA pad-mount (on the 35</t>
        </is>
      </c>
      <c r="G5582" s="12" t="inlineStr">
        <is>
          <t>GBT-2</t>
        </is>
      </c>
      <c r="H5582" s="12" t="inlineStr">
        <is>
          <t>GBT-2: block GB-2 step-up 480 V : 34.5 kV, ~3 MVA pad-mount (on the 35</t>
        </is>
      </c>
      <c r="I5582" s="12" t="inlineStr">
        <is>
          <t>MV 35 kV</t>
        </is>
      </c>
      <c r="J5582" s="12" t="inlineStr">
        <is>
          <t>MV-105 35 kV 1/C Al, EPR 133%, 1/3 concentric neutral, LLDPE jacket</t>
        </is>
      </c>
      <c r="K5582" s="12" t="inlineStr">
        <is>
          <t>MV35|1/C|750</t>
        </is>
      </c>
      <c r="L5582" s="12" t="inlineStr">
        <is>
          <t>1/C</t>
        </is>
      </c>
      <c r="M5582" s="12" t="inlineStr">
        <is>
          <t>750 kcmil</t>
        </is>
      </c>
      <c r="N5582" s="12" t="n">
        <v>1</v>
      </c>
      <c r="O5582" s="12" t="n">
        <v>3</v>
      </c>
      <c r="P5582" s="12" t="n">
        <v>34500</v>
      </c>
      <c r="Q5582" s="12" t="n">
        <v>10000</v>
      </c>
      <c r="R5582" s="12" t="n">
        <v>167</v>
      </c>
      <c r="S5582" s="12" t="inlineStr">
        <is>
          <t>Surface</t>
        </is>
      </c>
      <c r="T5582" s="15" t="n">
        <v>78</v>
      </c>
      <c r="U5582" s="15" t="n">
        <v>37</v>
      </c>
      <c r="V5582" s="15">
        <f>ROUNDUP((T5582+U5582+2*'Read Me'!$B$13)*(1+'Read Me'!$B$12),-1)</f>
        <v/>
      </c>
      <c r="W5582" s="15">
        <f>V5582*N5582*O5582</f>
        <v/>
      </c>
      <c r="X5582" s="12">
        <f>IF(LEFT(I5582,2)="MV",2*N5582*IF(L5582="1/C",O5582,1),0)</f>
        <v/>
      </c>
      <c r="Y5582" s="12">
        <f>IF(OR(LEFT(K5582,4)="LVAX",LEFT(K5582,6)="MV15AX",LEFT(K5582,4)="CTAX",LEFT(K5582,2)="W|"),2*N5582*O5582,0)</f>
        <v/>
      </c>
      <c r="Z5582" s="12" t="inlineStr">
        <is>
          <t>loop conductor 750 kcmil Al, 133 % (WORKING ASSUMPTION)</t>
        </is>
      </c>
      <c r="AA5582" s="12">
        <f>N5582*O5582</f>
        <v/>
      </c>
    </row>
    <row r="5583">
      <c r="A5583" s="12" t="inlineStr">
        <is>
          <t>I-MV-0068</t>
        </is>
      </c>
      <c r="B5583" s="12" t="inlineStr">
        <is>
          <t>I</t>
        </is>
      </c>
      <c r="C5583" s="12" t="inlineStr">
        <is>
          <t>Modular / portable power</t>
        </is>
      </c>
      <c r="D5583" s="12" t="inlineStr">
        <is>
          <t>L3 35 kV collector loop, segment 3 of 5 (GBT-2 to GBT-3)</t>
        </is>
      </c>
      <c r="E5583" s="12" t="inlineStr">
        <is>
          <t>GBT-2</t>
        </is>
      </c>
      <c r="F5583" s="12" t="inlineStr">
        <is>
          <t>GBT-2: block GB-2 step-up 480 V : 34.5 kV, ~3 MVA pad-mount (on the 35</t>
        </is>
      </c>
      <c r="G5583" s="12" t="inlineStr">
        <is>
          <t>GBT-3</t>
        </is>
      </c>
      <c r="H5583" s="12" t="inlineStr">
        <is>
          <t>GBT-3: block GB-3 step-up 480 V : 34.5 kV, ~3 MVA pad-mount (on the 35</t>
        </is>
      </c>
      <c r="I5583" s="12" t="inlineStr">
        <is>
          <t>MV 35 kV</t>
        </is>
      </c>
      <c r="J5583" s="12" t="inlineStr">
        <is>
          <t>MV-105 35 kV 1/C Al, EPR 133%, 1/3 concentric neutral, LLDPE jacket</t>
        </is>
      </c>
      <c r="K5583" s="12" t="inlineStr">
        <is>
          <t>MV35|1/C|750</t>
        </is>
      </c>
      <c r="L5583" s="12" t="inlineStr">
        <is>
          <t>1/C</t>
        </is>
      </c>
      <c r="M5583" s="12" t="inlineStr">
        <is>
          <t>750 kcmil</t>
        </is>
      </c>
      <c r="N5583" s="12" t="n">
        <v>1</v>
      </c>
      <c r="O5583" s="12" t="n">
        <v>3</v>
      </c>
      <c r="P5583" s="12" t="n">
        <v>34500</v>
      </c>
      <c r="Q5583" s="12" t="n">
        <v>10000</v>
      </c>
      <c r="R5583" s="12" t="n">
        <v>167</v>
      </c>
      <c r="S5583" s="12" t="inlineStr">
        <is>
          <t>Surface</t>
        </is>
      </c>
      <c r="T5583" s="15" t="n">
        <v>28</v>
      </c>
      <c r="U5583" s="15" t="n">
        <v>27</v>
      </c>
      <c r="V5583" s="15">
        <f>ROUNDUP((T5583+U5583+2*'Read Me'!$B$13)*(1+'Read Me'!$B$12),-1)</f>
        <v/>
      </c>
      <c r="W5583" s="15">
        <f>V5583*N5583*O5583</f>
        <v/>
      </c>
      <c r="X5583" s="12">
        <f>IF(LEFT(I5583,2)="MV",2*N5583*IF(L5583="1/C",O5583,1),0)</f>
        <v/>
      </c>
      <c r="Y5583" s="12">
        <f>IF(OR(LEFT(K5583,4)="LVAX",LEFT(K5583,6)="MV15AX",LEFT(K5583,4)="CTAX",LEFT(K5583,2)="W|"),2*N5583*O5583,0)</f>
        <v/>
      </c>
      <c r="Z5583" s="12" t="inlineStr">
        <is>
          <t>loop conductor 750 kcmil Al, 133 % (WORKING ASSUMPTION)</t>
        </is>
      </c>
      <c r="AA5583" s="12">
        <f>N5583*O5583</f>
        <v/>
      </c>
    </row>
    <row r="5584">
      <c r="A5584" s="12" t="inlineStr">
        <is>
          <t>I-MV-0069</t>
        </is>
      </c>
      <c r="B5584" s="12" t="inlineStr">
        <is>
          <t>I</t>
        </is>
      </c>
      <c r="C5584" s="12" t="inlineStr">
        <is>
          <t>Modular / portable power</t>
        </is>
      </c>
      <c r="D5584" s="12" t="inlineStr">
        <is>
          <t>L3 35 kV collector loop, segment 4 of 5 (GBT-3 to GBT-4)</t>
        </is>
      </c>
      <c r="E5584" s="12" t="inlineStr">
        <is>
          <t>GBT-3</t>
        </is>
      </c>
      <c r="F5584" s="12" t="inlineStr">
        <is>
          <t>GBT-3: block GB-3 step-up 480 V : 34.5 kV, ~3 MVA pad-mount (on the 35</t>
        </is>
      </c>
      <c r="G5584" s="12" t="inlineStr">
        <is>
          <t>GBT-4</t>
        </is>
      </c>
      <c r="H5584" s="12" t="inlineStr">
        <is>
          <t>GBT-4: block GB-4 step-up 480 V : 34.5 kV, ~3 MVA pad-mount (on the 35</t>
        </is>
      </c>
      <c r="I5584" s="12" t="inlineStr">
        <is>
          <t>MV 35 kV</t>
        </is>
      </c>
      <c r="J5584" s="12" t="inlineStr">
        <is>
          <t>MV-105 35 kV 1/C Al, EPR 133%, 1/3 concentric neutral, LLDPE jacket</t>
        </is>
      </c>
      <c r="K5584" s="12" t="inlineStr">
        <is>
          <t>MV35|1/C|750</t>
        </is>
      </c>
      <c r="L5584" s="12" t="inlineStr">
        <is>
          <t>1/C</t>
        </is>
      </c>
      <c r="M5584" s="12" t="inlineStr">
        <is>
          <t>750 kcmil</t>
        </is>
      </c>
      <c r="N5584" s="12" t="n">
        <v>1</v>
      </c>
      <c r="O5584" s="12" t="n">
        <v>3</v>
      </c>
      <c r="P5584" s="12" t="n">
        <v>34500</v>
      </c>
      <c r="Q5584" s="12" t="n">
        <v>10000</v>
      </c>
      <c r="R5584" s="12" t="n">
        <v>167</v>
      </c>
      <c r="S5584" s="12" t="inlineStr">
        <is>
          <t>Surface</t>
        </is>
      </c>
      <c r="T5584" s="15" t="n">
        <v>79</v>
      </c>
      <c r="U5584" s="15" t="n">
        <v>37</v>
      </c>
      <c r="V5584" s="15">
        <f>ROUNDUP((T5584+U5584+2*'Read Me'!$B$13)*(1+'Read Me'!$B$12),-1)</f>
        <v/>
      </c>
      <c r="W5584" s="15">
        <f>V5584*N5584*O5584</f>
        <v/>
      </c>
      <c r="X5584" s="12">
        <f>IF(LEFT(I5584,2)="MV",2*N5584*IF(L5584="1/C",O5584,1),0)</f>
        <v/>
      </c>
      <c r="Y5584" s="12">
        <f>IF(OR(LEFT(K5584,4)="LVAX",LEFT(K5584,6)="MV15AX",LEFT(K5584,4)="CTAX",LEFT(K5584,2)="W|"),2*N5584*O5584,0)</f>
        <v/>
      </c>
      <c r="Z5584" s="12" t="inlineStr">
        <is>
          <t>loop conductor 750 kcmil Al, 133 % (WORKING ASSUMPTION)</t>
        </is>
      </c>
      <c r="AA5584" s="12">
        <f>N5584*O5584</f>
        <v/>
      </c>
    </row>
    <row r="5585">
      <c r="A5585" s="12" t="inlineStr">
        <is>
          <t>I-MV-0070</t>
        </is>
      </c>
      <c r="B5585" s="12" t="inlineStr">
        <is>
          <t>I</t>
        </is>
      </c>
      <c r="C5585" s="12" t="inlineStr">
        <is>
          <t>Modular / portable power</t>
        </is>
      </c>
      <c r="D5585" s="12" t="inlineStr">
        <is>
          <t>RICE-GSU-A 34.5 kV to MOD-EH bus 1</t>
        </is>
      </c>
      <c r="E5585" s="12" t="inlineStr">
        <is>
          <t>RICE-GSU-A</t>
        </is>
      </c>
      <c r="F5585" s="12" t="inlineStr">
        <is>
          <t>RICE-GSU-A: 13.8 / 34.5 kV group step-up, ~45 MVA (RICE 1-2)</t>
        </is>
      </c>
      <c r="G5585" s="12" t="inlineStr">
        <is>
          <t>MOD-EH</t>
        </is>
      </c>
      <c r="H5585" s="12" t="inlineStr">
        <is>
          <t>MOD-EH: 34.5 kV modular collector e-house (2 bus sections + 13.8 kV st</t>
        </is>
      </c>
      <c r="I5585" s="12" t="inlineStr">
        <is>
          <t>MV 35 kV</t>
        </is>
      </c>
      <c r="J5585" s="12" t="inlineStr">
        <is>
          <t>MV-105 35 kV 1/C Al, EPR 133%, 1/3 concentric neutral, LLDPE jacket</t>
        </is>
      </c>
      <c r="K5585" s="12" t="inlineStr">
        <is>
          <t>MV35|1/C|750</t>
        </is>
      </c>
      <c r="L5585" s="12" t="inlineStr">
        <is>
          <t>1/C</t>
        </is>
      </c>
      <c r="M5585" s="12" t="inlineStr">
        <is>
          <t>750 kcmil</t>
        </is>
      </c>
      <c r="N5585" s="12" t="n">
        <v>2</v>
      </c>
      <c r="O5585" s="12" t="n">
        <v>3</v>
      </c>
      <c r="P5585" s="12" t="n">
        <v>34500</v>
      </c>
      <c r="Q5585" s="12" t="n">
        <v>36800</v>
      </c>
      <c r="R5585" s="12" t="n">
        <v>684</v>
      </c>
      <c r="S5585" s="12" t="inlineStr">
        <is>
          <t>Duct bank</t>
        </is>
      </c>
      <c r="T5585" s="15" t="n">
        <v>206</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is>
          <t>2 sets per phase</t>
        </is>
      </c>
      <c r="AA5585" s="12">
        <f>N5585*O5585</f>
        <v/>
      </c>
    </row>
    <row r="5586">
      <c r="A5586" s="12" t="inlineStr">
        <is>
          <t>I-MV-0071</t>
        </is>
      </c>
      <c r="B5586" s="12" t="inlineStr">
        <is>
          <t>I</t>
        </is>
      </c>
      <c r="C5586" s="12" t="inlineStr">
        <is>
          <t>Modular / portable power</t>
        </is>
      </c>
      <c r="D5586" s="12" t="inlineStr">
        <is>
          <t>RICE-GSU-B 34.5 kV to MOD-EH bus 1</t>
        </is>
      </c>
      <c r="E5586" s="12" t="inlineStr">
        <is>
          <t>RICE-GSU-B</t>
        </is>
      </c>
      <c r="F5586" s="12" t="inlineStr">
        <is>
          <t>RICE-GSU-B: 13.8 / 34.5 kV group step-up, ~45 MVA (RICE 3-4)</t>
        </is>
      </c>
      <c r="G5586" s="12" t="inlineStr">
        <is>
          <t>MOD-EH</t>
        </is>
      </c>
      <c r="H5586" s="12" t="inlineStr">
        <is>
          <t>MOD-EH: 34.5 kV modular collector e-house (2 bus sections + 13.8 kV st</t>
        </is>
      </c>
      <c r="I5586" s="12" t="inlineStr">
        <is>
          <t>MV 35 kV</t>
        </is>
      </c>
      <c r="J5586" s="12" t="inlineStr">
        <is>
          <t>MV-105 35 kV 1/C Al, EPR 133%, 1/3 concentric neutral, LLDPE jacket</t>
        </is>
      </c>
      <c r="K5586" s="12" t="inlineStr">
        <is>
          <t>MV35|1/C|750</t>
        </is>
      </c>
      <c r="L5586" s="12" t="inlineStr">
        <is>
          <t>1/C</t>
        </is>
      </c>
      <c r="M5586" s="12" t="inlineStr">
        <is>
          <t>750 kcmil</t>
        </is>
      </c>
      <c r="N5586" s="12" t="n">
        <v>2</v>
      </c>
      <c r="O5586" s="12" t="n">
        <v>3</v>
      </c>
      <c r="P5586" s="12" t="n">
        <v>34500</v>
      </c>
      <c r="Q5586" s="12" t="n">
        <v>36800</v>
      </c>
      <c r="R5586" s="12" t="n">
        <v>684</v>
      </c>
      <c r="S5586" s="12" t="inlineStr">
        <is>
          <t>Duct bank</t>
        </is>
      </c>
      <c r="T5586" s="15" t="n">
        <v>179</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is>
          <t>2 sets per phase</t>
        </is>
      </c>
      <c r="AA5586" s="12">
        <f>N5586*O5586</f>
        <v/>
      </c>
    </row>
    <row r="5587">
      <c r="A5587" s="12" t="inlineStr">
        <is>
          <t>I-MV-0072</t>
        </is>
      </c>
      <c r="B5587" s="12" t="inlineStr">
        <is>
          <t>I</t>
        </is>
      </c>
      <c r="C5587" s="12" t="inlineStr">
        <is>
          <t>Modular / portable power</t>
        </is>
      </c>
      <c r="D5587" s="12" t="inlineStr">
        <is>
          <t>RICE-GSU-C 34.5 kV to MOD-EH bus 2</t>
        </is>
      </c>
      <c r="E5587" s="12" t="inlineStr">
        <is>
          <t>RICE-GSU-C</t>
        </is>
      </c>
      <c r="F5587" s="12" t="inlineStr">
        <is>
          <t>RICE-GSU-C: 13.8 / 34.5 kV group step-up, ~45 MVA (RICE 5-6)</t>
        </is>
      </c>
      <c r="G5587" s="12" t="inlineStr">
        <is>
          <t>MOD-EH</t>
        </is>
      </c>
      <c r="H5587" s="12" t="inlineStr">
        <is>
          <t>MOD-EH: 34.5 kV modular collector e-house (2 bus sections + 13.8 kV st</t>
        </is>
      </c>
      <c r="I5587" s="12" t="inlineStr">
        <is>
          <t>MV 35 kV</t>
        </is>
      </c>
      <c r="J5587" s="12" t="inlineStr">
        <is>
          <t>MV-105 35 kV 1/C Al, EPR 133%, 1/3 concentric neutral, LLDPE jacket</t>
        </is>
      </c>
      <c r="K5587" s="12" t="inlineStr">
        <is>
          <t>MV35|1/C|750</t>
        </is>
      </c>
      <c r="L5587" s="12" t="inlineStr">
        <is>
          <t>1/C</t>
        </is>
      </c>
      <c r="M5587" s="12" t="inlineStr">
        <is>
          <t>750 kcmil</t>
        </is>
      </c>
      <c r="N5587" s="12" t="n">
        <v>2</v>
      </c>
      <c r="O5587" s="12" t="n">
        <v>3</v>
      </c>
      <c r="P5587" s="12" t="n">
        <v>34500</v>
      </c>
      <c r="Q5587" s="12" t="n">
        <v>36800</v>
      </c>
      <c r="R5587" s="12" t="n">
        <v>684</v>
      </c>
      <c r="S5587" s="12" t="inlineStr">
        <is>
          <t>Duct bank</t>
        </is>
      </c>
      <c r="T5587" s="15" t="n">
        <v>152</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is>
          <t>2 sets per phase</t>
        </is>
      </c>
      <c r="AA5587" s="12">
        <f>N5587*O5587</f>
        <v/>
      </c>
    </row>
    <row r="5588">
      <c r="A5588" s="12" t="inlineStr">
        <is>
          <t>I-MV-0073</t>
        </is>
      </c>
      <c r="B5588" s="12" t="inlineStr">
        <is>
          <t>I</t>
        </is>
      </c>
      <c r="C5588" s="12" t="inlineStr">
        <is>
          <t>Modular / portable power</t>
        </is>
      </c>
      <c r="D5588" s="12" t="inlineStr">
        <is>
          <t>RICE-GSU-D 34.5 kV to MOD-EH bus 2</t>
        </is>
      </c>
      <c r="E5588" s="12" t="inlineStr">
        <is>
          <t>RICE-GSU-D</t>
        </is>
      </c>
      <c r="F5588" s="12" t="inlineStr">
        <is>
          <t>RICE-GSU-D: 13.8 / 34.5 kV group step-up, ~45 MVA (RICE 7-8)</t>
        </is>
      </c>
      <c r="G5588" s="12" t="inlineStr">
        <is>
          <t>MOD-EH</t>
        </is>
      </c>
      <c r="H5588" s="12" t="inlineStr">
        <is>
          <t>MOD-EH: 34.5 kV modular collector e-house (2 bus sections + 13.8 kV st</t>
        </is>
      </c>
      <c r="I5588" s="12" t="inlineStr">
        <is>
          <t>MV 35 kV</t>
        </is>
      </c>
      <c r="J5588" s="12" t="inlineStr">
        <is>
          <t>MV-105 35 kV 1/C Al, EPR 133%, 1/3 concentric neutral, LLDPE jacket</t>
        </is>
      </c>
      <c r="K5588" s="12" t="inlineStr">
        <is>
          <t>MV35|1/C|750</t>
        </is>
      </c>
      <c r="L5588" s="12" t="inlineStr">
        <is>
          <t>1/C</t>
        </is>
      </c>
      <c r="M5588" s="12" t="inlineStr">
        <is>
          <t>750 kcmil</t>
        </is>
      </c>
      <c r="N5588" s="12" t="n">
        <v>2</v>
      </c>
      <c r="O5588" s="12" t="n">
        <v>3</v>
      </c>
      <c r="P5588" s="12" t="n">
        <v>34500</v>
      </c>
      <c r="Q5588" s="12" t="n">
        <v>36800</v>
      </c>
      <c r="R5588" s="12" t="n">
        <v>684</v>
      </c>
      <c r="S5588" s="12" t="inlineStr">
        <is>
          <t>Duct bank</t>
        </is>
      </c>
      <c r="T5588" s="15" t="n">
        <v>125</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is>
          <t>2 sets per phase</t>
        </is>
      </c>
      <c r="AA5588" s="12">
        <f>N5588*O5588</f>
        <v/>
      </c>
    </row>
    <row r="5589">
      <c r="A5589" s="12" t="inlineStr">
        <is>
          <t>I-MV-0074</t>
        </is>
      </c>
      <c r="B5589" s="12" t="inlineStr">
        <is>
          <t>I</t>
        </is>
      </c>
      <c r="C5589" s="12" t="inlineStr">
        <is>
          <t>Modular / portable power</t>
        </is>
      </c>
      <c r="D5589" s="12" t="inlineStr">
        <is>
          <t>SC-GSU-1 34.5 kV to MOD-EH bus 1</t>
        </is>
      </c>
      <c r="E5589" s="12" t="inlineStr">
        <is>
          <t>SC-GSU-1</t>
        </is>
      </c>
      <c r="F5589" s="12" t="inlineStr">
        <is>
          <t>SC-GSU-1: 13.8 / 34.5 kV unit step-up, ~60 MVA (SC-1)</t>
        </is>
      </c>
      <c r="G5589" s="12" t="inlineStr">
        <is>
          <t>MOD-EH</t>
        </is>
      </c>
      <c r="H5589" s="12" t="inlineStr">
        <is>
          <t>MOD-EH: 34.5 kV modular collector e-house (2 bus sections + 13.8 kV st</t>
        </is>
      </c>
      <c r="I5589" s="12" t="inlineStr">
        <is>
          <t>MV 35 kV</t>
        </is>
      </c>
      <c r="J5589" s="12" t="inlineStr">
        <is>
          <t>MV-105 35 kV 1/C Al, EPR 133%, 1/3 concentric neutral, LLDPE jacket</t>
        </is>
      </c>
      <c r="K5589" s="12" t="inlineStr">
        <is>
          <t>MV35|1/C|750</t>
        </is>
      </c>
      <c r="L5589" s="12" t="inlineStr">
        <is>
          <t>1/C</t>
        </is>
      </c>
      <c r="M5589" s="12" t="inlineStr">
        <is>
          <t>750 kcmil</t>
        </is>
      </c>
      <c r="N5589" s="12" t="n">
        <v>3</v>
      </c>
      <c r="O5589" s="12" t="n">
        <v>3</v>
      </c>
      <c r="P5589" s="12" t="n">
        <v>34500</v>
      </c>
      <c r="Q5589" s="12" t="n">
        <v>50000</v>
      </c>
      <c r="R5589" s="12" t="n">
        <v>930</v>
      </c>
      <c r="S5589" s="12" t="inlineStr">
        <is>
          <t>Duct bank</t>
        </is>
      </c>
      <c r="T5589" s="15" t="n">
        <v>460</v>
      </c>
      <c r="U5589" s="15" t="n">
        <v>20</v>
      </c>
      <c r="V5589" s="15">
        <f>ROUNDUP((T5589+U5589+2*'Read Me'!$B$13)*(1+'Read Me'!$B$12),-1)</f>
        <v/>
      </c>
      <c r="W5589" s="15">
        <f>V5589*N5589*O5589</f>
        <v/>
      </c>
      <c r="X5589" s="12">
        <f>IF(LEFT(I5589,2)="MV",2*N5589*IF(L5589="1/C",O5589,1),0)</f>
        <v/>
      </c>
      <c r="Y5589" s="12">
        <f>IF(OR(LEFT(K5589,4)="LVAX",LEFT(K5589,6)="MV15AX",LEFT(K5589,4)="CTAX",LEFT(K5589,2)="W|"),2*N5589*O5589,0)</f>
        <v/>
      </c>
      <c r="Z5589" s="12" t="inlineStr">
        <is>
          <t>3 sets per phase</t>
        </is>
      </c>
      <c r="AA5589" s="12">
        <f>N5589*O5589</f>
        <v/>
      </c>
    </row>
    <row r="5590">
      <c r="A5590" s="12" t="inlineStr">
        <is>
          <t>I-MV-0075</t>
        </is>
      </c>
      <c r="B5590" s="12" t="inlineStr">
        <is>
          <t>I</t>
        </is>
      </c>
      <c r="C5590" s="12" t="inlineStr">
        <is>
          <t>Modular / portable power</t>
        </is>
      </c>
      <c r="D5590" s="12" t="inlineStr">
        <is>
          <t>SC-GSU-2 34.5 kV to MOD-EH bus 2</t>
        </is>
      </c>
      <c r="E5590" s="12" t="inlineStr">
        <is>
          <t>SC-GSU-2</t>
        </is>
      </c>
      <c r="F5590" s="12" t="inlineStr">
        <is>
          <t>SC-GSU-2: 13.8 / 34.5 kV unit step-up, ~60 MVA (SC-2)</t>
        </is>
      </c>
      <c r="G5590" s="12" t="inlineStr">
        <is>
          <t>MOD-EH</t>
        </is>
      </c>
      <c r="H5590" s="12" t="inlineStr">
        <is>
          <t>MOD-EH: 34.5 kV modular collector e-house (2 bus sections + 13.8 kV st</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3</v>
      </c>
      <c r="O5590" s="12" t="n">
        <v>3</v>
      </c>
      <c r="P5590" s="12" t="n">
        <v>34500</v>
      </c>
      <c r="Q5590" s="12" t="n">
        <v>50000</v>
      </c>
      <c r="R5590" s="12" t="n">
        <v>930</v>
      </c>
      <c r="S5590" s="12" t="inlineStr">
        <is>
          <t>Duct bank</t>
        </is>
      </c>
      <c r="T5590" s="15" t="n">
        <v>540</v>
      </c>
      <c r="U5590" s="15" t="n">
        <v>20</v>
      </c>
      <c r="V5590" s="15">
        <f>ROUNDUP((T5590+U5590+2*'Read Me'!$B$13)*(1+'Read Me'!$B$12),-1)</f>
        <v/>
      </c>
      <c r="W5590" s="15">
        <f>V5590*N5590*O5590</f>
        <v/>
      </c>
      <c r="X5590" s="12">
        <f>IF(LEFT(I5590,2)="MV",2*N5590*IF(L5590="1/C",O5590,1),0)</f>
        <v/>
      </c>
      <c r="Y5590" s="12">
        <f>IF(OR(LEFT(K5590,4)="LVAX",LEFT(K5590,6)="MV15AX",LEFT(K5590,4)="CTAX",LEFT(K5590,2)="W|"),2*N5590*O5590,0)</f>
        <v/>
      </c>
      <c r="Z5590" s="12" t="inlineStr">
        <is>
          <t>3 sets per phase</t>
        </is>
      </c>
      <c r="AA5590" s="12">
        <f>N5590*O5590</f>
        <v/>
      </c>
    </row>
    <row r="5591">
      <c r="A5591" s="12" t="inlineStr">
        <is>
          <t>I-MV-0076</t>
        </is>
      </c>
      <c r="B5591" s="12" t="inlineStr">
        <is>
          <t>I</t>
        </is>
      </c>
      <c r="C5591" s="12" t="inlineStr">
        <is>
          <t>Modular / portable power</t>
        </is>
      </c>
      <c r="D5591" s="12" t="inlineStr">
        <is>
          <t>MOD-GT1 zigzag grounding transformer, bus 1</t>
        </is>
      </c>
      <c r="E5591" s="12" t="inlineStr">
        <is>
          <t>MOD-EH</t>
        </is>
      </c>
      <c r="F5591" s="12" t="inlineStr">
        <is>
          <t>MOD-EH: 34.5 kV modular collector e-house (2 bus sections + 13.8 kV st</t>
        </is>
      </c>
      <c r="G5591" s="12" t="inlineStr">
        <is>
          <t>MOD-GT1</t>
        </is>
      </c>
      <c r="H5591" s="12" t="inlineStr">
        <is>
          <t>MOD-GT1: 34.5 kV zigzag grounding transformer, MOD-EH bus 1</t>
        </is>
      </c>
      <c r="I5591" s="12" t="inlineStr">
        <is>
          <t>MV 35 kV</t>
        </is>
      </c>
      <c r="J5591" s="12" t="inlineStr">
        <is>
          <t>MV-105 35 kV 1/C Al, EPR 133%, 1/3 concentric neutral, LLDPE jacket</t>
        </is>
      </c>
      <c r="K5591" s="12" t="inlineStr">
        <is>
          <t>MV35|1/C|2</t>
        </is>
      </c>
      <c r="L5591" s="12" t="inlineStr">
        <is>
          <t>1/C</t>
        </is>
      </c>
      <c r="M5591" s="12" t="inlineStr">
        <is>
          <t>2</t>
        </is>
      </c>
      <c r="N5591" s="12" t="n">
        <v>1</v>
      </c>
      <c r="O5591" s="12" t="n">
        <v>3</v>
      </c>
      <c r="P5591" s="12" t="n">
        <v>34500</v>
      </c>
      <c r="Q5591" s="12" t="n">
        <v>300</v>
      </c>
      <c r="R5591" s="12" t="n">
        <v>5</v>
      </c>
      <c r="S5591" s="12" t="inlineStr">
        <is>
          <t>Riser</t>
        </is>
      </c>
      <c r="T5591" s="15" t="n">
        <v>4</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I-MV-0077</t>
        </is>
      </c>
      <c r="B5592" s="12" t="inlineStr">
        <is>
          <t>I</t>
        </is>
      </c>
      <c r="C5592" s="12" t="inlineStr">
        <is>
          <t>Modular / portable power</t>
        </is>
      </c>
      <c r="D5592" s="12" t="inlineStr">
        <is>
          <t>MOD-GT2 zigzag grounding transformer, bus 2</t>
        </is>
      </c>
      <c r="E5592" s="12" t="inlineStr">
        <is>
          <t>MOD-EH</t>
        </is>
      </c>
      <c r="F5592" s="12" t="inlineStr">
        <is>
          <t>MOD-EH: 34.5 kV modular collector e-house (2 bus sections + 13.8 kV st</t>
        </is>
      </c>
      <c r="G5592" s="12" t="inlineStr">
        <is>
          <t>MOD-GT2</t>
        </is>
      </c>
      <c r="H5592" s="12" t="inlineStr">
        <is>
          <t>MOD-GT2: 34.5 kV zigzag grounding transformer, MOD-EH bus 2</t>
        </is>
      </c>
      <c r="I5592" s="12" t="inlineStr">
        <is>
          <t>MV 35 kV</t>
        </is>
      </c>
      <c r="J5592" s="12" t="inlineStr">
        <is>
          <t>MV-105 35 kV 1/C Al, EPR 133%, 1/3 concentric neutral, LLDPE jacket</t>
        </is>
      </c>
      <c r="K5592" s="12" t="inlineStr">
        <is>
          <t>MV35|1/C|2</t>
        </is>
      </c>
      <c r="L5592" s="12" t="inlineStr">
        <is>
          <t>1/C</t>
        </is>
      </c>
      <c r="M5592" s="12" t="inlineStr">
        <is>
          <t>2</t>
        </is>
      </c>
      <c r="N5592" s="12" t="n">
        <v>1</v>
      </c>
      <c r="O5592" s="12" t="n">
        <v>3</v>
      </c>
      <c r="P5592" s="12" t="n">
        <v>34500</v>
      </c>
      <c r="Q5592" s="12" t="n">
        <v>300</v>
      </c>
      <c r="R5592" s="12" t="n">
        <v>5</v>
      </c>
      <c r="S5592" s="12" t="inlineStr">
        <is>
          <t>Riser</t>
        </is>
      </c>
      <c r="T5592" s="15" t="n">
        <v>4</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c r="AA5592" s="12">
        <f>N5592*O5592</f>
        <v/>
      </c>
    </row>
    <row r="5593">
      <c r="A5593" s="12" t="inlineStr">
        <is>
          <t>I-MV-0078</t>
        </is>
      </c>
      <c r="B5593" s="12" t="inlineStr">
        <is>
          <t>I</t>
        </is>
      </c>
      <c r="C5593" s="12" t="inlineStr">
        <is>
          <t>Modular / portable power</t>
        </is>
      </c>
      <c r="D5593" s="12" t="inlineStr">
        <is>
          <t>MOD-SST 34.5 kV primary</t>
        </is>
      </c>
      <c r="E5593" s="12" t="inlineStr">
        <is>
          <t>MOD-EH</t>
        </is>
      </c>
      <c r="F5593" s="12" t="inlineStr">
        <is>
          <t>MOD-EH: 34.5 kV modular collector e-house (2 bus sections + 13.8 kV st</t>
        </is>
      </c>
      <c r="G5593" s="12" t="inlineStr">
        <is>
          <t>MOD-SST</t>
        </is>
      </c>
      <c r="H5593" s="12" t="inlineStr">
        <is>
          <t>MOD-SST: 34.5 / 13.8 kV station-service transformer, ~10 MVA (yard sta</t>
        </is>
      </c>
      <c r="I5593" s="12" t="inlineStr">
        <is>
          <t>MV 35 kV</t>
        </is>
      </c>
      <c r="J5593" s="12" t="inlineStr">
        <is>
          <t>MV-105 35 kV 1/C Al, EPR 133%, 1/3 concentric neutral, LLDPE jacket</t>
        </is>
      </c>
      <c r="K5593" s="12" t="inlineStr">
        <is>
          <t>MV35|1/C|4/0</t>
        </is>
      </c>
      <c r="L5593" s="12" t="inlineStr">
        <is>
          <t>1/C</t>
        </is>
      </c>
      <c r="M5593" s="12" t="inlineStr">
        <is>
          <t>4/0</t>
        </is>
      </c>
      <c r="N5593" s="12" t="n">
        <v>1</v>
      </c>
      <c r="O5593" s="12" t="n">
        <v>3</v>
      </c>
      <c r="P5593" s="12" t="n">
        <v>34500</v>
      </c>
      <c r="Q5593" s="12" t="n">
        <v>9000</v>
      </c>
      <c r="R5593" s="12" t="n">
        <v>167</v>
      </c>
      <c r="S5593" s="12" t="inlineStr">
        <is>
          <t>Duct bank</t>
        </is>
      </c>
      <c r="T5593" s="15" t="n">
        <v>46</v>
      </c>
      <c r="U5593" s="15" t="n">
        <v>20</v>
      </c>
      <c r="V5593" s="15">
        <f>ROUNDUP((T5593+U5593+2*'Read Me'!$B$13)*(1+'Read Me'!$B$12),-1)</f>
        <v/>
      </c>
      <c r="W5593" s="15">
        <f>V5593*N5593*O5593</f>
        <v/>
      </c>
      <c r="X5593" s="12">
        <f>IF(LEFT(I5593,2)="MV",2*N5593*IF(L5593="1/C",O5593,1),0)</f>
        <v/>
      </c>
      <c r="Y5593" s="12">
        <f>IF(OR(LEFT(K5593,4)="LVAX",LEFT(K5593,6)="MV15AX",LEFT(K5593,4)="CTAX",LEFT(K5593,2)="W|"),2*N5593*O5593,0)</f>
        <v/>
      </c>
      <c r="Z5593" s="12" t="inlineStr">
        <is>
          <t>1 set per phase</t>
        </is>
      </c>
      <c r="AA5593" s="12">
        <f>N5593*O5593</f>
        <v/>
      </c>
    </row>
    <row r="5594">
      <c r="A5594" s="12" t="inlineStr">
        <is>
          <t>I-MV-0079</t>
        </is>
      </c>
      <c r="B5594" s="12" t="inlineStr">
        <is>
          <t>I</t>
        </is>
      </c>
      <c r="C5594" s="12" t="inlineStr">
        <is>
          <t>Modular / portable power</t>
        </is>
      </c>
      <c r="D5594" s="12" t="inlineStr">
        <is>
          <t>PGS-TX1 to PGS-TX2 34.5 kV loop feed</t>
        </is>
      </c>
      <c r="E5594" s="12" t="inlineStr">
        <is>
          <t>PGS-TX1</t>
        </is>
      </c>
      <c r="F5594" s="12" t="inlineStr">
        <is>
          <t>PGS-TX1: 480 V : 34.5 kV, ~5 MVA loop-feed pad-mount (gensets 1-4)</t>
        </is>
      </c>
      <c r="G5594" s="12" t="inlineStr">
        <is>
          <t>PGS-TX2</t>
        </is>
      </c>
      <c r="H5594" s="12" t="inlineStr">
        <is>
          <t>PGS-TX2: 480 V : 34.5 kV, ~5 MVA loop-feed pad-mount (gensets 5-8)</t>
        </is>
      </c>
      <c r="I5594" s="12" t="inlineStr">
        <is>
          <t>MV 35 kV</t>
        </is>
      </c>
      <c r="J5594" s="12" t="inlineStr">
        <is>
          <t>MV-105 35 kV 1/C Al, EPR 133%, 1/3 concentric neutral, LLDPE jacket</t>
        </is>
      </c>
      <c r="K5594" s="12" t="inlineStr">
        <is>
          <t>MV35|1/C|2</t>
        </is>
      </c>
      <c r="L5594" s="12" t="inlineStr">
        <is>
          <t>1/C</t>
        </is>
      </c>
      <c r="M5594" s="12" t="inlineStr">
        <is>
          <t>2</t>
        </is>
      </c>
      <c r="N5594" s="12" t="n">
        <v>1</v>
      </c>
      <c r="O5594" s="12" t="n">
        <v>3</v>
      </c>
      <c r="P5594" s="12" t="n">
        <v>34500</v>
      </c>
      <c r="Q5594" s="12" t="n">
        <v>4000</v>
      </c>
      <c r="R5594" s="12" t="n">
        <v>74</v>
      </c>
      <c r="S5594" s="12" t="inlineStr">
        <is>
          <t>Surface</t>
        </is>
      </c>
      <c r="T5594" s="15" t="n">
        <v>41</v>
      </c>
      <c r="U5594" s="15" t="n">
        <v>27</v>
      </c>
      <c r="V5594" s="15">
        <f>ROUNDUP((T5594+U5594+2*'Read Me'!$B$13)*(1+'Read Me'!$B$12),-1)</f>
        <v/>
      </c>
      <c r="W5594" s="15">
        <f>V5594*N5594*O5594</f>
        <v/>
      </c>
      <c r="X5594" s="12">
        <f>IF(LEFT(I5594,2)="MV",2*N5594*IF(L5594="1/C",O5594,1),0)</f>
        <v/>
      </c>
      <c r="Y5594" s="12">
        <f>IF(OR(LEFT(K5594,4)="LVAX",LEFT(K5594,6)="MV15AX",LEFT(K5594,4)="CTAX",LEFT(K5594,2)="W|"),2*N5594*O5594,0)</f>
        <v/>
      </c>
      <c r="Z5594" s="12" t="inlineStr">
        <is>
          <t>1 set per phase</t>
        </is>
      </c>
      <c r="AA5594" s="12">
        <f>N5594*O5594</f>
        <v/>
      </c>
    </row>
    <row r="5595">
      <c r="A5595" s="12" t="inlineStr">
        <is>
          <t>I-MV-0080</t>
        </is>
      </c>
      <c r="B5595" s="12" t="inlineStr">
        <is>
          <t>I</t>
        </is>
      </c>
      <c r="C5595" s="12" t="inlineStr">
        <is>
          <t>Modular / portable power</t>
        </is>
      </c>
      <c r="D5595" s="12" t="inlineStr">
        <is>
          <t>PK-GT1 zigzag grounding transformer, SWG-PK bus A</t>
        </is>
      </c>
      <c r="E5595" s="12" t="inlineStr">
        <is>
          <t>SWG-PK</t>
        </is>
      </c>
      <c r="F5595" s="12" t="inlineStr">
        <is>
          <t>SWG-PK: 34.5 kV park collector switchgear (2 bus sections, tie; 8 feed</t>
        </is>
      </c>
      <c r="G5595" s="12" t="inlineStr">
        <is>
          <t>PK-GT1</t>
        </is>
      </c>
      <c r="H5595" s="12" t="inlineStr">
        <is>
          <t>PK-GT1: 34.5 kV zigzag grounding transformer, SWG-PK bus A</t>
        </is>
      </c>
      <c r="I5595" s="12" t="inlineStr">
        <is>
          <t>MV 35 kV</t>
        </is>
      </c>
      <c r="J5595" s="12" t="inlineStr">
        <is>
          <t>MV-105 35 kV 1/C Al, EPR 133%, 1/3 concentric neutral, LLDPE jacket</t>
        </is>
      </c>
      <c r="K5595" s="12" t="inlineStr">
        <is>
          <t>MV35|1/C|2</t>
        </is>
      </c>
      <c r="L5595" s="12" t="inlineStr">
        <is>
          <t>1/C</t>
        </is>
      </c>
      <c r="M5595" s="12" t="inlineStr">
        <is>
          <t>2</t>
        </is>
      </c>
      <c r="N5595" s="12" t="n">
        <v>1</v>
      </c>
      <c r="O5595" s="12" t="n">
        <v>3</v>
      </c>
      <c r="P5595" s="12" t="n">
        <v>34500</v>
      </c>
      <c r="Q5595" s="12" t="n">
        <v>300</v>
      </c>
      <c r="R5595" s="12" t="n">
        <v>5</v>
      </c>
      <c r="S5595" s="12" t="inlineStr">
        <is>
          <t>Duct bank</t>
        </is>
      </c>
      <c r="T5595" s="15" t="n">
        <v>60</v>
      </c>
      <c r="U5595" s="15" t="n">
        <v>38</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I-MV-0081</t>
        </is>
      </c>
      <c r="B5596" s="12" t="inlineStr">
        <is>
          <t>I</t>
        </is>
      </c>
      <c r="C5596" s="12" t="inlineStr">
        <is>
          <t>Modular / portable power</t>
        </is>
      </c>
      <c r="D5596" s="12" t="inlineStr">
        <is>
          <t>PK-GT2 zigzag grounding transformer, SWG-PK bus B</t>
        </is>
      </c>
      <c r="E5596" s="12" t="inlineStr">
        <is>
          <t>SWG-PK</t>
        </is>
      </c>
      <c r="F5596" s="12" t="inlineStr">
        <is>
          <t>SWG-PK: 34.5 kV park collector switchgear (2 bus sections, tie; 8 feed</t>
        </is>
      </c>
      <c r="G5596" s="12" t="inlineStr">
        <is>
          <t>PK-GT2</t>
        </is>
      </c>
      <c r="H5596" s="12" t="inlineStr">
        <is>
          <t>PK-GT2: 34.5 kV zigzag grounding transformer, SWG-PK bus B</t>
        </is>
      </c>
      <c r="I5596" s="12" t="inlineStr">
        <is>
          <t>MV 35 kV</t>
        </is>
      </c>
      <c r="J5596" s="12" t="inlineStr">
        <is>
          <t>MV-105 35 kV 1/C Al, EPR 133%, 1/3 concentric neutral, LLDPE jacket</t>
        </is>
      </c>
      <c r="K5596" s="12" t="inlineStr">
        <is>
          <t>MV35|1/C|2</t>
        </is>
      </c>
      <c r="L5596" s="12" t="inlineStr">
        <is>
          <t>1/C</t>
        </is>
      </c>
      <c r="M5596" s="12" t="inlineStr">
        <is>
          <t>2</t>
        </is>
      </c>
      <c r="N5596" s="12" t="n">
        <v>1</v>
      </c>
      <c r="O5596" s="12" t="n">
        <v>3</v>
      </c>
      <c r="P5596" s="12" t="n">
        <v>34500</v>
      </c>
      <c r="Q5596" s="12" t="n">
        <v>300</v>
      </c>
      <c r="R5596" s="12" t="n">
        <v>5</v>
      </c>
      <c r="S5596" s="12" t="inlineStr">
        <is>
          <t>Duct bank</t>
        </is>
      </c>
      <c r="T5596" s="15" t="n">
        <v>72</v>
      </c>
      <c r="U5596" s="15" t="n">
        <v>42</v>
      </c>
      <c r="V5596" s="15">
        <f>ROUNDUP((T5596+U5596+2*'Read Me'!$B$13)*(1+'Read Me'!$B$12),-1)</f>
        <v/>
      </c>
      <c r="W5596" s="15">
        <f>V5596*N5596*O5596</f>
        <v/>
      </c>
      <c r="X5596" s="12">
        <f>IF(LEFT(I5596,2)="MV",2*N5596*IF(L5596="1/C",O5596,1),0)</f>
        <v/>
      </c>
      <c r="Y5596" s="12">
        <f>IF(OR(LEFT(K5596,4)="LVAX",LEFT(K5596,6)="MV15AX",LEFT(K5596,4)="CTAX",LEFT(K5596,2)="W|"),2*N5596*O5596,0)</f>
        <v/>
      </c>
      <c r="Z5596" s="12" t="inlineStr"/>
      <c r="AA5596" s="12">
        <f>N5596*O5596</f>
        <v/>
      </c>
    </row>
    <row r="5597">
      <c r="A5597" s="12" t="inlineStr">
        <is>
          <t>I-MV-0082</t>
        </is>
      </c>
      <c r="B5597" s="12" t="inlineStr">
        <is>
          <t>I</t>
        </is>
      </c>
      <c r="C5597" s="12" t="inlineStr">
        <is>
          <t>Modular / portable power</t>
        </is>
      </c>
      <c r="D5597" s="12" t="inlineStr">
        <is>
          <t>L3 35 kV collector loop, segment 5 of 5 (GBT-4 to SWG-MY)</t>
        </is>
      </c>
      <c r="E5597" s="12" t="inlineStr">
        <is>
          <t>GBT-4</t>
        </is>
      </c>
      <c r="F5597" s="12" t="inlineStr">
        <is>
          <t>GBT-4: block GB-4 step-up 480 V : 34.5 kV, ~3 MVA pad-mount (on the 35</t>
        </is>
      </c>
      <c r="G5597" s="12" t="inlineStr">
        <is>
          <t>SWG-MY</t>
        </is>
      </c>
      <c r="H5597" s="12" t="inlineStr">
        <is>
          <t xml:space="preserve">SWG-MY: 35 kV switchgear lineup for the modular blocks (group breaker </t>
        </is>
      </c>
      <c r="I5597" s="12" t="inlineStr">
        <is>
          <t>MV 35 kV</t>
        </is>
      </c>
      <c r="J5597" s="12" t="inlineStr">
        <is>
          <t>MV-105 35 kV 1/C Al, EPR 133%, 1/3 concentric neutral, LLDPE jacket</t>
        </is>
      </c>
      <c r="K5597" s="12" t="inlineStr">
        <is>
          <t>MV35|1/C|750</t>
        </is>
      </c>
      <c r="L5597" s="12" t="inlineStr">
        <is>
          <t>1/C</t>
        </is>
      </c>
      <c r="M5597" s="12" t="inlineStr">
        <is>
          <t>750 kcmil</t>
        </is>
      </c>
      <c r="N5597" s="12" t="n">
        <v>1</v>
      </c>
      <c r="O5597" s="12" t="n">
        <v>3</v>
      </c>
      <c r="P5597" s="12" t="n">
        <v>34500</v>
      </c>
      <c r="Q5597" s="12" t="n">
        <v>10000</v>
      </c>
      <c r="R5597" s="12" t="n">
        <v>167</v>
      </c>
      <c r="S5597" s="12" t="inlineStr">
        <is>
          <t>Duct bank</t>
        </is>
      </c>
      <c r="T5597" s="15" t="n">
        <v>122</v>
      </c>
      <c r="U5597" s="15" t="n">
        <v>37</v>
      </c>
      <c r="V5597" s="15">
        <f>ROUNDUP((T5597+U5597+2*'Read Me'!$B$13)*(1+'Read Me'!$B$12),-1)</f>
        <v/>
      </c>
      <c r="W5597" s="15">
        <f>V5597*N5597*O5597</f>
        <v/>
      </c>
      <c r="X5597" s="12">
        <f>IF(LEFT(I5597,2)="MV",2*N5597*IF(L5597="1/C",O5597,1),0)</f>
        <v/>
      </c>
      <c r="Y5597" s="12">
        <f>IF(OR(LEFT(K5597,4)="LVAX",LEFT(K5597,6)="MV15AX",LEFT(K5597,4)="CTAX",LEFT(K5597,2)="W|"),2*N5597*O5597,0)</f>
        <v/>
      </c>
      <c r="Z5597" s="12" t="inlineStr">
        <is>
          <t>loop conductor 750 kcmil Al, 133 % (WORKING ASSUMPTION)</t>
        </is>
      </c>
      <c r="AA5597" s="12">
        <f>N5597*O5597</f>
        <v/>
      </c>
    </row>
    <row r="5598">
      <c r="A5598" s="12" t="inlineStr">
        <is>
          <t>I-MV-0083</t>
        </is>
      </c>
      <c r="B5598" s="12" t="inlineStr">
        <is>
          <t>I</t>
        </is>
      </c>
      <c r="C5598" s="12" t="inlineStr">
        <is>
          <t>Modular / portable power</t>
        </is>
      </c>
      <c r="D5598" s="12" t="inlineStr">
        <is>
          <t>L5 SWG-MY feeder to the data centre 34.5 kV switchgear BTM-SWGR, to the fence (scope owner TO VERIFY)</t>
        </is>
      </c>
      <c r="E5598" s="12" t="inlineStr">
        <is>
          <t>SWG-MY</t>
        </is>
      </c>
      <c r="F5598" s="12" t="inlineStr">
        <is>
          <t xml:space="preserve">SWG-MY: 35 kV switchgear lineup for the modular blocks (group breaker </t>
        </is>
      </c>
      <c r="G5598" s="12" t="inlineStr">
        <is>
          <t>SWG-MY</t>
        </is>
      </c>
      <c r="H5598" s="12" t="inlineStr">
        <is>
          <t xml:space="preserve">SWG-MY: 35 kV switchgear lineup for the modular blocks (group breaker </t>
        </is>
      </c>
      <c r="I5598" s="12" t="inlineStr">
        <is>
          <t>MV 35 kV</t>
        </is>
      </c>
      <c r="J5598" s="12" t="inlineStr">
        <is>
          <t>MV-105 35 kV 1/C Al, EPR 133%, 1/3 concentric neutral, LLDPE jacket</t>
        </is>
      </c>
      <c r="K5598" s="12" t="inlineStr">
        <is>
          <t>MV35|1/C|750</t>
        </is>
      </c>
      <c r="L5598" s="12" t="inlineStr">
        <is>
          <t>1/C</t>
        </is>
      </c>
      <c r="M5598" s="12" t="inlineStr">
        <is>
          <t>750 kcmil</t>
        </is>
      </c>
      <c r="N5598" s="12" t="n">
        <v>1</v>
      </c>
      <c r="O5598" s="12" t="n">
        <v>3</v>
      </c>
      <c r="P5598" s="12" t="n">
        <v>34500</v>
      </c>
      <c r="Q5598" s="12" t="n">
        <v>10000</v>
      </c>
      <c r="R5598" s="12" t="n">
        <v>167</v>
      </c>
      <c r="S5598" s="12" t="inlineStr">
        <is>
          <t>Buried</t>
        </is>
      </c>
      <c r="T5598" s="15" t="n">
        <v>585</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to the fence 585 ft; + ~120 ft beyond to BTM-SWGR (data-centre scope)</t>
        </is>
      </c>
      <c r="AA5598" s="12">
        <f>N5598*O5598</f>
        <v/>
      </c>
    </row>
    <row r="5599">
      <c r="A5599" s="12" t="inlineStr">
        <is>
          <t>I-MV-0084</t>
        </is>
      </c>
      <c r="B5599" s="12" t="inlineStr">
        <is>
          <t>I</t>
        </is>
      </c>
      <c r="C5599" s="12" t="inlineStr">
        <is>
          <t>Modular / portable power</t>
        </is>
      </c>
      <c r="D5599" s="12" t="inlineStr">
        <is>
          <t>TGF-GSU 34.5 kV collector feeder to SWG-PK (bus A)</t>
        </is>
      </c>
      <c r="E5599" s="12" t="inlineStr">
        <is>
          <t>TGF-GSU</t>
        </is>
      </c>
      <c r="F5599" s="12" t="inlineStr">
        <is>
          <t>TGF-GSU: 13.8 / 34.5 kV step-up, ~20 MVA (trailer fleet)</t>
        </is>
      </c>
      <c r="G5599" s="12" t="inlineStr">
        <is>
          <t>SWG-PK</t>
        </is>
      </c>
      <c r="H5599" s="12" t="inlineStr">
        <is>
          <t>SWG-PK: 34.5 kV park collector switchgear (2 bus sections, tie; 8 feed</t>
        </is>
      </c>
      <c r="I5599" s="12" t="inlineStr">
        <is>
          <t>MV 35 kV</t>
        </is>
      </c>
      <c r="J5599" s="12" t="inlineStr">
        <is>
          <t>MV-105 35 kV 1/C Al, EPR 133%, 1/3 concentric neutral, LLDPE jacket</t>
        </is>
      </c>
      <c r="K5599" s="12" t="inlineStr">
        <is>
          <t>MV35|1/C|500</t>
        </is>
      </c>
      <c r="L5599" s="12" t="inlineStr">
        <is>
          <t>1/C</t>
        </is>
      </c>
      <c r="M5599" s="12" t="inlineStr">
        <is>
          <t>500 kcmil</t>
        </is>
      </c>
      <c r="N5599" s="12" t="n">
        <v>1</v>
      </c>
      <c r="O5599" s="12" t="n">
        <v>3</v>
      </c>
      <c r="P5599" s="12" t="n">
        <v>34500</v>
      </c>
      <c r="Q5599" s="12" t="n">
        <v>15000</v>
      </c>
      <c r="R5599" s="12" t="n">
        <v>279</v>
      </c>
      <c r="S5599" s="12" t="inlineStr">
        <is>
          <t>Duct bank</t>
        </is>
      </c>
      <c r="T5599" s="15" t="n">
        <v>377</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is>
          <t>1 set per phase</t>
        </is>
      </c>
      <c r="AA5599" s="12">
        <f>N5599*O5599</f>
        <v/>
      </c>
    </row>
    <row r="5600">
      <c r="A5600" s="12" t="inlineStr">
        <is>
          <t>I-MV-0085</t>
        </is>
      </c>
      <c r="B5600" s="12" t="inlineStr">
        <is>
          <t>I</t>
        </is>
      </c>
      <c r="C5600" s="12" t="inlineStr">
        <is>
          <t>Modular / portable power</t>
        </is>
      </c>
      <c r="D5600" s="12" t="inlineStr">
        <is>
          <t>CGE-GSU 34.5 kV collector feeder to SWG-PK (bus A)</t>
        </is>
      </c>
      <c r="E5600" s="12" t="inlineStr">
        <is>
          <t>CGE-GSU</t>
        </is>
      </c>
      <c r="F5600" s="12" t="inlineStr">
        <is>
          <t>CGE-GSU: 13.8 / 34.5 kV step-up, ~20 MVA (containerized engines)</t>
        </is>
      </c>
      <c r="G5600" s="12" t="inlineStr">
        <is>
          <t>SWG-PK</t>
        </is>
      </c>
      <c r="H5600" s="12" t="inlineStr">
        <is>
          <t>SWG-PK: 34.5 kV park collector switchgear (2 bus sections, tie; 8 feed</t>
        </is>
      </c>
      <c r="I5600" s="12" t="inlineStr">
        <is>
          <t>MV 35 kV</t>
        </is>
      </c>
      <c r="J5600" s="12" t="inlineStr">
        <is>
          <t>MV-105 35 kV 1/C Al, EPR 133%, 1/3 concentric neutral, LLDPE jacket</t>
        </is>
      </c>
      <c r="K5600" s="12" t="inlineStr">
        <is>
          <t>MV35|1/C|750</t>
        </is>
      </c>
      <c r="L5600" s="12" t="inlineStr">
        <is>
          <t>1/C</t>
        </is>
      </c>
      <c r="M5600" s="12" t="inlineStr">
        <is>
          <t>750 kcmil</t>
        </is>
      </c>
      <c r="N5600" s="12" t="n">
        <v>1</v>
      </c>
      <c r="O5600" s="12" t="n">
        <v>3</v>
      </c>
      <c r="P5600" s="12" t="n">
        <v>34500</v>
      </c>
      <c r="Q5600" s="12" t="n">
        <v>17600</v>
      </c>
      <c r="R5600" s="12" t="n">
        <v>327</v>
      </c>
      <c r="S5600" s="12" t="inlineStr">
        <is>
          <t>Duct bank</t>
        </is>
      </c>
      <c r="T5600" s="15" t="n">
        <v>471</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is>
          <t>1 set per phase</t>
        </is>
      </c>
      <c r="AA5600" s="12">
        <f>N5600*O5600</f>
        <v/>
      </c>
    </row>
    <row r="5601">
      <c r="A5601" s="12" t="inlineStr">
        <is>
          <t>I-MV-0086</t>
        </is>
      </c>
      <c r="B5601" s="12" t="inlineStr">
        <is>
          <t>I</t>
        </is>
      </c>
      <c r="C5601" s="12" t="inlineStr">
        <is>
          <t>Modular / portable power</t>
        </is>
      </c>
      <c r="D5601" s="12" t="inlineStr">
        <is>
          <t>PGS-TX2 34.5 kV collector feeder to SWG-PK (bus A)</t>
        </is>
      </c>
      <c r="E5601" s="12" t="inlineStr">
        <is>
          <t>PGS-TX2</t>
        </is>
      </c>
      <c r="F5601" s="12" t="inlineStr">
        <is>
          <t>PGS-TX2: 480 V : 34.5 kV, ~5 MVA loop-feed pad-mount (gensets 5-8)</t>
        </is>
      </c>
      <c r="G5601" s="12" t="inlineStr">
        <is>
          <t>SWG-PK</t>
        </is>
      </c>
      <c r="H5601" s="12" t="inlineStr">
        <is>
          <t>SWG-PK: 34.5 kV park collector switchgear (2 bus sections, tie; 8 feed</t>
        </is>
      </c>
      <c r="I5601" s="12" t="inlineStr">
        <is>
          <t>MV 35 kV</t>
        </is>
      </c>
      <c r="J5601" s="12" t="inlineStr">
        <is>
          <t>MV-105 35 kV 1/C Al, EPR 133%, 1/3 concentric neutral, LLDPE jacket</t>
        </is>
      </c>
      <c r="K5601" s="12" t="inlineStr">
        <is>
          <t>MV35|1/C|4/0</t>
        </is>
      </c>
      <c r="L5601" s="12" t="inlineStr">
        <is>
          <t>1/C</t>
        </is>
      </c>
      <c r="M5601" s="12" t="inlineStr">
        <is>
          <t>4/0</t>
        </is>
      </c>
      <c r="N5601" s="12" t="n">
        <v>1</v>
      </c>
      <c r="O5601" s="12" t="n">
        <v>3</v>
      </c>
      <c r="P5601" s="12" t="n">
        <v>34500</v>
      </c>
      <c r="Q5601" s="12" t="n">
        <v>8000</v>
      </c>
      <c r="R5601" s="12" t="n">
        <v>149</v>
      </c>
      <c r="S5601" s="12" t="inlineStr">
        <is>
          <t>Duct bank</t>
        </is>
      </c>
      <c r="T5601" s="15" t="n">
        <v>454</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is>
          <t>1 set per phase</t>
        </is>
      </c>
      <c r="AA5601" s="12">
        <f>N5601*O5601</f>
        <v/>
      </c>
    </row>
    <row r="5602">
      <c r="A5602" s="12" t="inlineStr">
        <is>
          <t>I-MV-0087</t>
        </is>
      </c>
      <c r="B5602" s="12" t="inlineStr">
        <is>
          <t>I</t>
        </is>
      </c>
      <c r="C5602" s="12" t="inlineStr">
        <is>
          <t>Modular / portable power</t>
        </is>
      </c>
      <c r="D5602" s="12" t="inlineStr">
        <is>
          <t>MTG-GSU 34.5 kV collector feeder to SWG-PK (bus B)</t>
        </is>
      </c>
      <c r="E5602" s="12" t="inlineStr">
        <is>
          <t>MTG-GSU</t>
        </is>
      </c>
      <c r="F5602" s="12" t="inlineStr">
        <is>
          <t>MTG-GSU: 13.8 / 34.5 kV step-up, ~40 MVA (mid-size turbines)</t>
        </is>
      </c>
      <c r="G5602" s="12" t="inlineStr">
        <is>
          <t>SWG-PK</t>
        </is>
      </c>
      <c r="H5602" s="12" t="inlineStr">
        <is>
          <t>SWG-PK: 34.5 kV park collector switchgear (2 bus sections, tie; 8 feed</t>
        </is>
      </c>
      <c r="I5602" s="12" t="inlineStr">
        <is>
          <t>MV 35 kV</t>
        </is>
      </c>
      <c r="J5602" s="12" t="inlineStr">
        <is>
          <t>MV-105 35 kV 1/C Al, EPR 133%, 1/3 concentric neutral, LLDPE jacket</t>
        </is>
      </c>
      <c r="K5602" s="12" t="inlineStr">
        <is>
          <t>MV35|1/C|750</t>
        </is>
      </c>
      <c r="L5602" s="12" t="inlineStr">
        <is>
          <t>1/C</t>
        </is>
      </c>
      <c r="M5602" s="12" t="inlineStr">
        <is>
          <t>750 kcmil</t>
        </is>
      </c>
      <c r="N5602" s="12" t="n">
        <v>2</v>
      </c>
      <c r="O5602" s="12" t="n">
        <v>3</v>
      </c>
      <c r="P5602" s="12" t="n">
        <v>34500</v>
      </c>
      <c r="Q5602" s="12" t="n">
        <v>32000</v>
      </c>
      <c r="R5602" s="12" t="n">
        <v>595</v>
      </c>
      <c r="S5602" s="12" t="inlineStr">
        <is>
          <t>Duct bank</t>
        </is>
      </c>
      <c r="T5602" s="15" t="n">
        <v>189</v>
      </c>
      <c r="U5602" s="15" t="n">
        <v>32</v>
      </c>
      <c r="V5602" s="15">
        <f>ROUNDUP((T5602+U5602+2*'Read Me'!$B$13)*(1+'Read Me'!$B$12),-1)</f>
        <v/>
      </c>
      <c r="W5602" s="15">
        <f>V5602*N5602*O5602</f>
        <v/>
      </c>
      <c r="X5602" s="12">
        <f>IF(LEFT(I5602,2)="MV",2*N5602*IF(L5602="1/C",O5602,1),0)</f>
        <v/>
      </c>
      <c r="Y5602" s="12">
        <f>IF(OR(LEFT(K5602,4)="LVAX",LEFT(K5602,6)="MV15AX",LEFT(K5602,4)="CTAX",LEFT(K5602,2)="W|"),2*N5602*O5602,0)</f>
        <v/>
      </c>
      <c r="Z5602" s="12" t="inlineStr">
        <is>
          <t>2 sets per phase</t>
        </is>
      </c>
      <c r="AA5602" s="12">
        <f>N5602*O5602</f>
        <v/>
      </c>
    </row>
    <row r="5603">
      <c r="A5603" s="12" t="inlineStr">
        <is>
          <t>I-MV-0088</t>
        </is>
      </c>
      <c r="B5603" s="12" t="inlineStr">
        <is>
          <t>I</t>
        </is>
      </c>
      <c r="C5603" s="12" t="inlineStr">
        <is>
          <t>Modular / portable power</t>
        </is>
      </c>
      <c r="D5603" s="12" t="inlineStr">
        <is>
          <t>PAD-GSU 34.5 kV collector feeder to SWG-PK (bus A)</t>
        </is>
      </c>
      <c r="E5603" s="12" t="inlineStr">
        <is>
          <t>PAD-GSU</t>
        </is>
      </c>
      <c r="F5603" s="12" t="inlineStr">
        <is>
          <t>PAD-GSU: 13.8 / 34.5 kV step-up, ~60 MVA (PAD-EH: TM-1, CHP site, MT-T</t>
        </is>
      </c>
      <c r="G5603" s="12" t="inlineStr">
        <is>
          <t>SWG-PK</t>
        </is>
      </c>
      <c r="H5603" s="12" t="inlineStr">
        <is>
          <t>SWG-PK: 34.5 kV park collector switchgear (2 bus sections, tie; 8 feed</t>
        </is>
      </c>
      <c r="I5603" s="12" t="inlineStr">
        <is>
          <t>MV 35 kV</t>
        </is>
      </c>
      <c r="J5603" s="12" t="inlineStr">
        <is>
          <t>MV-105 35 kV 1/C Al, EPR 133%, 1/3 concentric neutral, LLDPE jacket</t>
        </is>
      </c>
      <c r="K5603" s="12" t="inlineStr">
        <is>
          <t>MV35|1/C|750</t>
        </is>
      </c>
      <c r="L5603" s="12" t="inlineStr">
        <is>
          <t>1/C</t>
        </is>
      </c>
      <c r="M5603" s="12" t="inlineStr">
        <is>
          <t>750 kcmil</t>
        </is>
      </c>
      <c r="N5603" s="12" t="n">
        <v>3</v>
      </c>
      <c r="O5603" s="12" t="n">
        <v>3</v>
      </c>
      <c r="P5603" s="12" t="n">
        <v>34500</v>
      </c>
      <c r="Q5603" s="12" t="n">
        <v>52000</v>
      </c>
      <c r="R5603" s="12" t="n">
        <v>967</v>
      </c>
      <c r="S5603" s="12" t="inlineStr">
        <is>
          <t>Duct bank</t>
        </is>
      </c>
      <c r="T5603" s="15" t="n">
        <v>447</v>
      </c>
      <c r="U5603" s="15" t="n">
        <v>32</v>
      </c>
      <c r="V5603" s="15">
        <f>ROUNDUP((T5603+U5603+2*'Read Me'!$B$13)*(1+'Read Me'!$B$12),-1)</f>
        <v/>
      </c>
      <c r="W5603" s="15">
        <f>V5603*N5603*O5603</f>
        <v/>
      </c>
      <c r="X5603" s="12">
        <f>IF(LEFT(I5603,2)="MV",2*N5603*IF(L5603="1/C",O5603,1),0)</f>
        <v/>
      </c>
      <c r="Y5603" s="12">
        <f>IF(OR(LEFT(K5603,4)="LVAX",LEFT(K5603,6)="MV15AX",LEFT(K5603,4)="CTAX",LEFT(K5603,2)="W|"),2*N5603*O5603,0)</f>
        <v/>
      </c>
      <c r="Z5603" s="12" t="inlineStr">
        <is>
          <t>3 sets per phase</t>
        </is>
      </c>
      <c r="AA5603" s="12">
        <f>N5603*O5603</f>
        <v/>
      </c>
    </row>
    <row r="5604">
      <c r="A5604" s="12" t="inlineStr">
        <is>
          <t>I-MV-0089</t>
        </is>
      </c>
      <c r="B5604" s="12" t="inlineStr">
        <is>
          <t>I</t>
        </is>
      </c>
      <c r="C5604" s="12" t="inlineStr">
        <is>
          <t>Modular / portable power</t>
        </is>
      </c>
      <c r="D5604" s="12" t="inlineStr">
        <is>
          <t>AX-GSU 34.5 kV collector feeder to SWG-PK (bus B)</t>
        </is>
      </c>
      <c r="E5604" s="12" t="inlineStr">
        <is>
          <t>AX-GSU</t>
        </is>
      </c>
      <c r="F5604" s="12" t="inlineStr">
        <is>
          <t>AX-GSU: 13.8 / 34.5 kV step-up, ~45 MVA (AX-1 unit step-up)</t>
        </is>
      </c>
      <c r="G5604" s="12" t="inlineStr">
        <is>
          <t>SWG-PK</t>
        </is>
      </c>
      <c r="H5604" s="12" t="inlineStr">
        <is>
          <t>SWG-PK: 34.5 kV park collector switchgear (2 bus sections, tie; 8 feed</t>
        </is>
      </c>
      <c r="I5604" s="12" t="inlineStr">
        <is>
          <t>MV 35 kV</t>
        </is>
      </c>
      <c r="J5604" s="12" t="inlineStr">
        <is>
          <t>MV-105 35 kV 1/C Al, EPR 133%, 1/3 concentric neutral, LLDPE jacket</t>
        </is>
      </c>
      <c r="K5604" s="12" t="inlineStr">
        <is>
          <t>MV35|1/C|750</t>
        </is>
      </c>
      <c r="L5604" s="12" t="inlineStr">
        <is>
          <t>1/C</t>
        </is>
      </c>
      <c r="M5604" s="12" t="inlineStr">
        <is>
          <t>750 kcmil</t>
        </is>
      </c>
      <c r="N5604" s="12" t="n">
        <v>2</v>
      </c>
      <c r="O5604" s="12" t="n">
        <v>3</v>
      </c>
      <c r="P5604" s="12" t="n">
        <v>34500</v>
      </c>
      <c r="Q5604" s="12" t="n">
        <v>35000</v>
      </c>
      <c r="R5604" s="12" t="n">
        <v>651</v>
      </c>
      <c r="S5604" s="12" t="inlineStr">
        <is>
          <t>Duct bank</t>
        </is>
      </c>
      <c r="T5604" s="15" t="n">
        <v>257</v>
      </c>
      <c r="U5604" s="15" t="n">
        <v>32</v>
      </c>
      <c r="V5604" s="15">
        <f>ROUNDUP((T5604+U5604+2*'Read Me'!$B$13)*(1+'Read Me'!$B$12),-1)</f>
        <v/>
      </c>
      <c r="W5604" s="15">
        <f>V5604*N5604*O5604</f>
        <v/>
      </c>
      <c r="X5604" s="12">
        <f>IF(LEFT(I5604,2)="MV",2*N5604*IF(L5604="1/C",O5604,1),0)</f>
        <v/>
      </c>
      <c r="Y5604" s="12">
        <f>IF(OR(LEFT(K5604,4)="LVAX",LEFT(K5604,6)="MV15AX",LEFT(K5604,4)="CTAX",LEFT(K5604,2)="W|"),2*N5604*O5604,0)</f>
        <v/>
      </c>
      <c r="Z5604" s="12" t="inlineStr">
        <is>
          <t>2 sets per phase</t>
        </is>
      </c>
      <c r="AA5604" s="12">
        <f>N5604*O5604</f>
        <v/>
      </c>
    </row>
    <row r="5605">
      <c r="A5605" s="12" t="inlineStr">
        <is>
          <t>I-MV-0090</t>
        </is>
      </c>
      <c r="B5605" s="12" t="inlineStr">
        <is>
          <t>I</t>
        </is>
      </c>
      <c r="C5605" s="12" t="inlineStr">
        <is>
          <t>Modular / portable power</t>
        </is>
      </c>
      <c r="D5605" s="12" t="inlineStr">
        <is>
          <t>IG-GSU 34.5 kV collector feeder to SWG-PK (bus B)</t>
        </is>
      </c>
      <c r="E5605" s="12" t="inlineStr">
        <is>
          <t>IG-GSU</t>
        </is>
      </c>
      <c r="F5605" s="12" t="inlineStr">
        <is>
          <t>IG-GSU: 13.8 / 34.5 kV step-up, ~60 MVA (IG-1 unit step-up)</t>
        </is>
      </c>
      <c r="G5605" s="12" t="inlineStr">
        <is>
          <t>SWG-PK</t>
        </is>
      </c>
      <c r="H5605" s="12" t="inlineStr">
        <is>
          <t>SWG-PK: 34.5 kV park collector switchgear (2 bus sections, tie; 8 feed</t>
        </is>
      </c>
      <c r="I5605" s="12" t="inlineStr">
        <is>
          <t>MV 35 kV</t>
        </is>
      </c>
      <c r="J5605" s="12" t="inlineStr">
        <is>
          <t>MV-105 35 kV 1/C Al, EPR 133%, 1/3 concentric neutral, LLDPE jacket</t>
        </is>
      </c>
      <c r="K5605" s="12" t="inlineStr">
        <is>
          <t>MV35|1/C|750</t>
        </is>
      </c>
      <c r="L5605" s="12" t="inlineStr">
        <is>
          <t>1/C</t>
        </is>
      </c>
      <c r="M5605" s="12" t="inlineStr">
        <is>
          <t>750 kcmil</t>
        </is>
      </c>
      <c r="N5605" s="12" t="n">
        <v>3</v>
      </c>
      <c r="O5605" s="12" t="n">
        <v>3</v>
      </c>
      <c r="P5605" s="12" t="n">
        <v>34500</v>
      </c>
      <c r="Q5605" s="12" t="n">
        <v>50000</v>
      </c>
      <c r="R5605" s="12" t="n">
        <v>930</v>
      </c>
      <c r="S5605" s="12" t="inlineStr">
        <is>
          <t>Duct bank</t>
        </is>
      </c>
      <c r="T5605" s="15" t="n">
        <v>126</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is>
          <t>3 sets per phase</t>
        </is>
      </c>
      <c r="AA5605" s="12">
        <f>N5605*O5605</f>
        <v/>
      </c>
    </row>
    <row r="5606">
      <c r="A5606" s="12" t="inlineStr">
        <is>
          <t>I-MV-0091</t>
        </is>
      </c>
      <c r="B5606" s="12" t="inlineStr">
        <is>
          <t>I</t>
        </is>
      </c>
      <c r="C5606" s="12" t="inlineStr">
        <is>
          <t>Modular / portable power</t>
        </is>
      </c>
      <c r="D5606" s="12" t="inlineStr">
        <is>
          <t>MOD-EH bus 1 main to T-MOD-1 34.5 kV</t>
        </is>
      </c>
      <c r="E5606" s="12" t="inlineStr">
        <is>
          <t>MOD-EH</t>
        </is>
      </c>
      <c r="F5606" s="12" t="inlineStr">
        <is>
          <t>MOD-EH: 34.5 kV modular collector e-house (2 bus sections + 13.8 kV st</t>
        </is>
      </c>
      <c r="G5606" s="12" t="inlineStr">
        <is>
          <t>T-MOD-1</t>
        </is>
      </c>
      <c r="H5606" s="12" t="inlineStr">
        <is>
          <t>T-MOD-1: 230 / 34.5 kV</t>
        </is>
      </c>
      <c r="I5606" s="12" t="inlineStr">
        <is>
          <t>MV 35 kV</t>
        </is>
      </c>
      <c r="J5606" s="12" t="inlineStr">
        <is>
          <t>MV-105 35 kV 1/C Al, EPR 133%, 1/3 concentric neutral, LLDPE jacket</t>
        </is>
      </c>
      <c r="K5606" s="12" t="inlineStr">
        <is>
          <t>MV35|1/C|1000</t>
        </is>
      </c>
      <c r="L5606" s="12" t="inlineStr">
        <is>
          <t>1/C</t>
        </is>
      </c>
      <c r="M5606" s="12" t="inlineStr">
        <is>
          <t>1000 kcmil</t>
        </is>
      </c>
      <c r="N5606" s="12" t="n">
        <v>6</v>
      </c>
      <c r="O5606" s="12" t="n">
        <v>3</v>
      </c>
      <c r="P5606" s="12" t="n">
        <v>34500</v>
      </c>
      <c r="Q5606" s="12" t="n">
        <v>123600</v>
      </c>
      <c r="R5606" s="12" t="n">
        <v>2298</v>
      </c>
      <c r="S5606" s="12" t="inlineStr">
        <is>
          <t>Duct bank</t>
        </is>
      </c>
      <c r="T5606" s="15" t="n">
        <v>50</v>
      </c>
      <c r="U5606" s="15" t="n">
        <v>20</v>
      </c>
      <c r="V5606" s="15">
        <f>ROUNDUP((T5606+U5606+2*'Read Me'!$B$13)*(1+'Read Me'!$B$12),-1)</f>
        <v/>
      </c>
      <c r="W5606" s="15">
        <f>V5606*N5606*O5606</f>
        <v/>
      </c>
      <c r="X5606" s="12">
        <f>IF(LEFT(I5606,2)="MV",2*N5606*IF(L5606="1/C",O5606,1),0)</f>
        <v/>
      </c>
      <c r="Y5606" s="12">
        <f>IF(OR(LEFT(K5606,4)="LVAX",LEFT(K5606,6)="MV15AX",LEFT(K5606,4)="CTAX",LEFT(K5606,2)="W|"),2*N5606*O5606,0)</f>
        <v/>
      </c>
      <c r="Z5606" s="12" t="inlineStr">
        <is>
          <t>6 sets per phase</t>
        </is>
      </c>
      <c r="AA5606" s="12">
        <f>N5606*O5606</f>
        <v/>
      </c>
    </row>
    <row r="5607">
      <c r="A5607" s="12" t="inlineStr">
        <is>
          <t>I-MV-0092</t>
        </is>
      </c>
      <c r="B5607" s="12" t="inlineStr">
        <is>
          <t>I</t>
        </is>
      </c>
      <c r="C5607" s="12" t="inlineStr">
        <is>
          <t>Modular / portable power</t>
        </is>
      </c>
      <c r="D5607" s="12" t="inlineStr">
        <is>
          <t>MOD-EH bus 2 main to T-MOD-2 34.5 kV</t>
        </is>
      </c>
      <c r="E5607" s="12" t="inlineStr">
        <is>
          <t>MOD-EH</t>
        </is>
      </c>
      <c r="F5607" s="12" t="inlineStr">
        <is>
          <t>MOD-EH: 34.5 kV modular collector e-house (2 bus sections + 13.8 kV st</t>
        </is>
      </c>
      <c r="G5607" s="12" t="inlineStr">
        <is>
          <t>T-MOD-2</t>
        </is>
      </c>
      <c r="H5607" s="12" t="inlineStr">
        <is>
          <t>T-MOD-2: 230 / 34.5 kV</t>
        </is>
      </c>
      <c r="I5607" s="12" t="inlineStr">
        <is>
          <t>MV 35 kV</t>
        </is>
      </c>
      <c r="J5607" s="12" t="inlineStr">
        <is>
          <t>MV-105 35 kV 1/C Al, EPR 133%, 1/3 concentric neutral, LLDPE jacket</t>
        </is>
      </c>
      <c r="K5607" s="12" t="inlineStr">
        <is>
          <t>MV35|1/C|1000</t>
        </is>
      </c>
      <c r="L5607" s="12" t="inlineStr">
        <is>
          <t>1/C</t>
        </is>
      </c>
      <c r="M5607" s="12" t="inlineStr">
        <is>
          <t>1000 kcmil</t>
        </is>
      </c>
      <c r="N5607" s="12" t="n">
        <v>6</v>
      </c>
      <c r="O5607" s="12" t="n">
        <v>3</v>
      </c>
      <c r="P5607" s="12" t="n">
        <v>34500</v>
      </c>
      <c r="Q5607" s="12" t="n">
        <v>123600</v>
      </c>
      <c r="R5607" s="12" t="n">
        <v>2298</v>
      </c>
      <c r="S5607" s="12" t="inlineStr">
        <is>
          <t>Duct bank</t>
        </is>
      </c>
      <c r="T5607" s="15" t="n">
        <v>153</v>
      </c>
      <c r="U5607" s="15" t="n">
        <v>20</v>
      </c>
      <c r="V5607" s="15">
        <f>ROUNDUP((T5607+U5607+2*'Read Me'!$B$13)*(1+'Read Me'!$B$12),-1)</f>
        <v/>
      </c>
      <c r="W5607" s="15">
        <f>V5607*N5607*O5607</f>
        <v/>
      </c>
      <c r="X5607" s="12">
        <f>IF(LEFT(I5607,2)="MV",2*N5607*IF(L5607="1/C",O5607,1),0)</f>
        <v/>
      </c>
      <c r="Y5607" s="12">
        <f>IF(OR(LEFT(K5607,4)="LVAX",LEFT(K5607,6)="MV15AX",LEFT(K5607,4)="CTAX",LEFT(K5607,2)="W|"),2*N5607*O5607,0)</f>
        <v/>
      </c>
      <c r="Z5607" s="12" t="inlineStr">
        <is>
          <t>6 sets per phase</t>
        </is>
      </c>
      <c r="AA5607" s="12">
        <f>N5607*O5607</f>
        <v/>
      </c>
    </row>
    <row r="5608">
      <c r="A5608" s="12" t="inlineStr">
        <is>
          <t>I-MV-0093</t>
        </is>
      </c>
      <c r="B5608" s="12" t="inlineStr">
        <is>
          <t>I</t>
        </is>
      </c>
      <c r="C5608" s="12" t="inlineStr">
        <is>
          <t>Modular / portable power</t>
        </is>
      </c>
      <c r="D5608" s="12" t="inlineStr">
        <is>
          <t>SWG-PK bus A main to T-MOD-3 LV winding 1</t>
        </is>
      </c>
      <c r="E5608" s="12" t="inlineStr">
        <is>
          <t>SWG-PK</t>
        </is>
      </c>
      <c r="F5608" s="12" t="inlineStr">
        <is>
          <t>SWG-PK: 34.5 kV park collector switchgear (2 bus sections, tie; 8 feed</t>
        </is>
      </c>
      <c r="G5608" s="12" t="inlineStr">
        <is>
          <t>T-MOD-3</t>
        </is>
      </c>
      <c r="H5608" s="12" t="inlineStr">
        <is>
          <t>T-MOD-3: 230 / 34.5 / 34.5 kV, ~250 MVA three-winding (power park coll</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5</v>
      </c>
      <c r="O5608" s="12" t="n">
        <v>3</v>
      </c>
      <c r="P5608" s="12" t="n">
        <v>34500</v>
      </c>
      <c r="Q5608" s="12" t="n">
        <v>92600</v>
      </c>
      <c r="R5608" s="12" t="n">
        <v>1722</v>
      </c>
      <c r="S5608" s="12" t="inlineStr">
        <is>
          <t>Duct bank</t>
        </is>
      </c>
      <c r="T5608" s="15" t="n">
        <v>22</v>
      </c>
      <c r="U5608" s="15" t="n">
        <v>58</v>
      </c>
      <c r="V5608" s="15">
        <f>ROUNDUP((T5608+U5608+2*'Read Me'!$B$13)*(1+'Read Me'!$B$12),-1)</f>
        <v/>
      </c>
      <c r="W5608" s="15">
        <f>V5608*N5608*O5608</f>
        <v/>
      </c>
      <c r="X5608" s="12">
        <f>IF(LEFT(I5608,2)="MV",2*N5608*IF(L5608="1/C",O5608,1),0)</f>
        <v/>
      </c>
      <c r="Y5608" s="12">
        <f>IF(OR(LEFT(K5608,4)="LVAX",LEFT(K5608,6)="MV15AX",LEFT(K5608,4)="CTAX",LEFT(K5608,2)="W|"),2*N5608*O5608,0)</f>
        <v/>
      </c>
      <c r="Z5608" s="12" t="inlineStr">
        <is>
          <t>5 sets per phase</t>
        </is>
      </c>
      <c r="AA5608" s="12">
        <f>N5608*O5608</f>
        <v/>
      </c>
    </row>
    <row r="5609">
      <c r="A5609" s="12" t="inlineStr">
        <is>
          <t>I-MV-0094</t>
        </is>
      </c>
      <c r="B5609" s="12" t="inlineStr">
        <is>
          <t>I</t>
        </is>
      </c>
      <c r="C5609" s="12" t="inlineStr">
        <is>
          <t>Modular / portable power</t>
        </is>
      </c>
      <c r="D5609" s="12" t="inlineStr">
        <is>
          <t>SWG-PK bus B main to T-MOD-3 LV winding 2</t>
        </is>
      </c>
      <c r="E5609" s="12" t="inlineStr">
        <is>
          <t>SWG-PK</t>
        </is>
      </c>
      <c r="F5609" s="12" t="inlineStr">
        <is>
          <t>SWG-PK: 34.5 kV park collector switchgear (2 bus sections, tie; 8 feed</t>
        </is>
      </c>
      <c r="G5609" s="12" t="inlineStr">
        <is>
          <t>T-MOD-3</t>
        </is>
      </c>
      <c r="H5609" s="12" t="inlineStr">
        <is>
          <t>T-MOD-3: 230 / 34.5 / 34.5 kV, ~250 MVA three-winding (power park coll</t>
        </is>
      </c>
      <c r="I5609" s="12" t="inlineStr">
        <is>
          <t>MV 35 kV</t>
        </is>
      </c>
      <c r="J5609" s="12" t="inlineStr">
        <is>
          <t>MV-105 35 kV 1/C Al, EPR 133%, 1/3 concentric neutral, LLDPE jacket</t>
        </is>
      </c>
      <c r="K5609" s="12" t="inlineStr">
        <is>
          <t>MV35|1/C|1000</t>
        </is>
      </c>
      <c r="L5609" s="12" t="inlineStr">
        <is>
          <t>1/C</t>
        </is>
      </c>
      <c r="M5609" s="12" t="inlineStr">
        <is>
          <t>1000 kcmil</t>
        </is>
      </c>
      <c r="N5609" s="12" t="n">
        <v>6</v>
      </c>
      <c r="O5609" s="12" t="n">
        <v>3</v>
      </c>
      <c r="P5609" s="12" t="n">
        <v>34500</v>
      </c>
      <c r="Q5609" s="12" t="n">
        <v>117000</v>
      </c>
      <c r="R5609" s="12" t="n">
        <v>2176</v>
      </c>
      <c r="S5609" s="12" t="inlineStr">
        <is>
          <t>Duct bank</t>
        </is>
      </c>
      <c r="T5609" s="15" t="n">
        <v>22</v>
      </c>
      <c r="U5609" s="15" t="n">
        <v>58</v>
      </c>
      <c r="V5609" s="15">
        <f>ROUNDUP((T5609+U5609+2*'Read Me'!$B$13)*(1+'Read Me'!$B$12),-1)</f>
        <v/>
      </c>
      <c r="W5609" s="15">
        <f>V5609*N5609*O5609</f>
        <v/>
      </c>
      <c r="X5609" s="12">
        <f>IF(LEFT(I5609,2)="MV",2*N5609*IF(L5609="1/C",O5609,1),0)</f>
        <v/>
      </c>
      <c r="Y5609" s="12">
        <f>IF(OR(LEFT(K5609,4)="LVAX",LEFT(K5609,6)="MV15AX",LEFT(K5609,4)="CTAX",LEFT(K5609,2)="W|"),2*N5609*O5609,0)</f>
        <v/>
      </c>
      <c r="Z5609" s="12" t="inlineStr">
        <is>
          <t>6 sets per phase</t>
        </is>
      </c>
      <c r="AA5609" s="12">
        <f>N5609*O5609</f>
        <v/>
      </c>
    </row>
    <row r="5610">
      <c r="A5610" s="12" t="inlineStr">
        <is>
          <t>I-PP-0001</t>
        </is>
      </c>
      <c r="B5610" s="12" t="inlineStr">
        <is>
          <t>I</t>
        </is>
      </c>
      <c r="C5610" s="12" t="inlineStr">
        <is>
          <t>Modular / portable power</t>
        </is>
      </c>
      <c r="D5610" s="12" t="inlineStr">
        <is>
          <t>PIC to commissioning load bank</t>
        </is>
      </c>
      <c r="E5610" s="12" t="inlineStr">
        <is>
          <t>PIC</t>
        </is>
      </c>
      <c r="F5610" s="12" t="inlineStr">
        <is>
          <t>PIC: portable input cabinet</t>
        </is>
      </c>
      <c r="G5610" s="12" t="inlineStr">
        <is>
          <t>LB</t>
        </is>
      </c>
      <c r="H5610" s="12" t="inlineStr">
        <is>
          <t>LB: commissioning load bank (trailer)</t>
        </is>
      </c>
      <c r="I5610" s="12" t="inlineStr">
        <is>
          <t>Portable MV</t>
        </is>
      </c>
      <c r="J5610" s="12" t="inlineStr">
        <is>
          <t>Type SHD-GC 15 kV 3/C Cu, 2 grounds + GC, yellow CPE (portable)</t>
        </is>
      </c>
      <c r="K5610" s="12" t="inlineStr">
        <is>
          <t>SHD|3/C|2</t>
        </is>
      </c>
      <c r="L5610" s="12" t="inlineStr">
        <is>
          <t>3/C</t>
        </is>
      </c>
      <c r="M5610" s="12" t="inlineStr">
        <is>
          <t>2</t>
        </is>
      </c>
      <c r="N5610" s="12" t="n">
        <v>1</v>
      </c>
      <c r="O5610" s="12" t="n">
        <v>1</v>
      </c>
      <c r="P5610" s="12" t="n">
        <v>13800</v>
      </c>
      <c r="Q5610" s="12" t="n">
        <v>2000</v>
      </c>
      <c r="R5610" s="12" t="n">
        <v>93</v>
      </c>
      <c r="S5610" s="12" t="inlineStr">
        <is>
          <t>Surface</t>
        </is>
      </c>
      <c r="T5610" s="15" t="n">
        <v>27</v>
      </c>
      <c r="U5610" s="15" t="n">
        <v>53</v>
      </c>
      <c r="V5610" s="15">
        <f>ROUNDUP((T5610+U5610+2*'Read Me'!$B$13)*(1+'Read Me'!$B$12),-1)</f>
        <v/>
      </c>
      <c r="W5610" s="15">
        <f>V5610*N5610*O5610</f>
        <v/>
      </c>
      <c r="X5610" s="12">
        <f>IF(LEFT(I5610,2)="MV",2*N5610*IF(L5610="1/C",O5610,1),0)</f>
        <v/>
      </c>
      <c r="Y5610" s="12">
        <f>IF(OR(LEFT(K5610,4)="LVAX",LEFT(K5610,6)="MV15AX",LEFT(K5610,4)="CTAX",LEFT(K5610,2)="W|"),2*N5610*O5610,0)</f>
        <v/>
      </c>
      <c r="Z5610" s="12" t="inlineStr">
        <is>
          <t>portable</t>
        </is>
      </c>
      <c r="AA5610" s="12">
        <f>N5610*O5610</f>
        <v/>
      </c>
    </row>
    <row r="5611">
      <c r="A5611" s="12" t="inlineStr">
        <is>
          <t>I-PP-0002</t>
        </is>
      </c>
      <c r="B5611" s="12" t="inlineStr">
        <is>
          <t>I</t>
        </is>
      </c>
      <c r="C5611" s="12" t="inlineStr">
        <is>
          <t>Modular / portable power</t>
        </is>
      </c>
      <c r="D5611" s="12" t="inlineStr">
        <is>
          <t>PIC to PAD-EH (MOB-1 trailer genset onto the pad bus)</t>
        </is>
      </c>
      <c r="E5611" s="12" t="inlineStr">
        <is>
          <t>PIC</t>
        </is>
      </c>
      <c r="F5611" s="12" t="inlineStr">
        <is>
          <t>PIC: portable input cabinet</t>
        </is>
      </c>
      <c r="G5611" s="12" t="inlineStr">
        <is>
          <t>PAD-EH</t>
        </is>
      </c>
      <c r="H5611" s="12" t="inlineStr">
        <is>
          <t>PAD-EH 13.8 kV switchgear e-house</t>
        </is>
      </c>
      <c r="I5611" s="12" t="inlineStr">
        <is>
          <t>Portable MV</t>
        </is>
      </c>
      <c r="J5611" s="12" t="inlineStr">
        <is>
          <t>Type SHD-GC 15 kV 3/C Cu, 2 grounds + GC, yellow CPE (portable)</t>
        </is>
      </c>
      <c r="K5611" s="12" t="inlineStr">
        <is>
          <t>SHD|3/C|2</t>
        </is>
      </c>
      <c r="L5611" s="12" t="inlineStr">
        <is>
          <t>3/C</t>
        </is>
      </c>
      <c r="M5611" s="12" t="inlineStr">
        <is>
          <t>2</t>
        </is>
      </c>
      <c r="N5611" s="12" t="n">
        <v>1</v>
      </c>
      <c r="O5611" s="12" t="n">
        <v>1</v>
      </c>
      <c r="P5611" s="12" t="n">
        <v>13800</v>
      </c>
      <c r="Q5611" s="12" t="n">
        <v>2000</v>
      </c>
      <c r="R5611" s="12" t="n">
        <v>93</v>
      </c>
      <c r="S5611" s="12" t="inlineStr">
        <is>
          <t>Surface</t>
        </is>
      </c>
      <c r="T5611" s="15" t="n">
        <v>246</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portable</t>
        </is>
      </c>
      <c r="AA5611" s="12">
        <f>N5611*O5611</f>
        <v/>
      </c>
    </row>
    <row r="5612">
      <c r="A5612" s="12" t="inlineStr">
        <is>
          <t>I-PP-0003</t>
        </is>
      </c>
      <c r="B5612" s="12" t="inlineStr">
        <is>
          <t>I</t>
        </is>
      </c>
      <c r="C5612" s="12" t="inlineStr">
        <is>
          <t>Modular / portable power</t>
        </is>
      </c>
      <c r="D5612" s="12" t="inlineStr">
        <is>
          <t>MOB-1 13.8 kV to PIC through the C-L01 ramp</t>
        </is>
      </c>
      <c r="E5612" s="12" t="inlineStr">
        <is>
          <t>MOB-1</t>
        </is>
      </c>
      <c r="F5612" s="12" t="inlineStr">
        <is>
          <t>MOB-1: trailer genset</t>
        </is>
      </c>
      <c r="G5612" s="12" t="inlineStr">
        <is>
          <t>PIC</t>
        </is>
      </c>
      <c r="H5612" s="12" t="inlineStr">
        <is>
          <t>PIC: portable input cabinet</t>
        </is>
      </c>
      <c r="I5612" s="12" t="inlineStr">
        <is>
          <t>Portable MV</t>
        </is>
      </c>
      <c r="J5612" s="12" t="inlineStr">
        <is>
          <t>Type SHD-GC 15 kV 3/C Cu, 2 grounds + GC, yellow CPE (portable)</t>
        </is>
      </c>
      <c r="K5612" s="12" t="inlineStr">
        <is>
          <t>SHD|3/C|2</t>
        </is>
      </c>
      <c r="L5612" s="12" t="inlineStr">
        <is>
          <t>3/C</t>
        </is>
      </c>
      <c r="M5612" s="12" t="inlineStr">
        <is>
          <t>2</t>
        </is>
      </c>
      <c r="N5612" s="12" t="n">
        <v>1</v>
      </c>
      <c r="O5612" s="12" t="n">
        <v>1</v>
      </c>
      <c r="P5612" s="12" t="n">
        <v>13800</v>
      </c>
      <c r="Q5612" s="12" t="n">
        <v>2000</v>
      </c>
      <c r="R5612" s="12" t="n">
        <v>93</v>
      </c>
      <c r="S5612" s="12" t="inlineStr">
        <is>
          <t>Surface</t>
        </is>
      </c>
      <c r="T5612" s="15" t="n">
        <v>162</v>
      </c>
      <c r="U5612" s="15" t="n">
        <v>27</v>
      </c>
      <c r="V5612" s="15">
        <f>ROUNDUP((T5612+U5612+2*'Read Me'!$B$13)*(1+'Read Me'!$B$12),-1)</f>
        <v/>
      </c>
      <c r="W5612" s="15">
        <f>V5612*N5612*O5612</f>
        <v/>
      </c>
      <c r="X5612" s="12">
        <f>IF(LEFT(I5612,2)="MV",2*N5612*IF(L5612="1/C",O5612,1),0)</f>
        <v/>
      </c>
      <c r="Y5612" s="12">
        <f>IF(OR(LEFT(K5612,4)="LVAX",LEFT(K5612,6)="MV15AX",LEFT(K5612,4)="CTAX",LEFT(K5612,2)="W|"),2*N5612*O5612,0)</f>
        <v/>
      </c>
      <c r="Z5612" s="12" t="inlineStr">
        <is>
          <t>portable</t>
        </is>
      </c>
      <c r="AA5612" s="12">
        <f>N5612*O5612</f>
        <v/>
      </c>
    </row>
    <row r="5613">
      <c r="A5613" s="12" t="inlineStr">
        <is>
          <t>I-PP-0004</t>
        </is>
      </c>
      <c r="B5613" s="12" t="inlineStr">
        <is>
          <t>I</t>
        </is>
      </c>
      <c r="C5613" s="12" t="inlineStr">
        <is>
          <t>Modular / portable power</t>
        </is>
      </c>
      <c r="D5613" s="12" t="inlineStr">
        <is>
          <t>TGF-1 13.8 kV leads to the switchgear trailer</t>
        </is>
      </c>
      <c r="E5613" s="12" t="inlineStr">
        <is>
          <t>TGF-1</t>
        </is>
      </c>
      <c r="F5613" s="12" t="inlineStr">
        <is>
          <t xml:space="preserve">TGF-1: trailer-mounted gas-engine generator ~2.5 MW, 13.8 kV (trailer </t>
        </is>
      </c>
      <c r="G5613" s="12" t="inlineStr">
        <is>
          <t>TGF-SWG</t>
        </is>
      </c>
      <c r="H5613" s="12" t="inlineStr">
        <is>
          <t>TGF-SWG: mobile 13.8 kV switchgear trailer (fleet collector)</t>
        </is>
      </c>
      <c r="I5613" s="12" t="inlineStr">
        <is>
          <t>Portable MV</t>
        </is>
      </c>
      <c r="J5613" s="12" t="inlineStr">
        <is>
          <t>Type SHD-GC 15 kV 3/C Cu, 2 grounds + GC, yellow CPE (portable)</t>
        </is>
      </c>
      <c r="K5613" s="12" t="inlineStr">
        <is>
          <t>SHD|3/C|2</t>
        </is>
      </c>
      <c r="L5613" s="12" t="inlineStr">
        <is>
          <t>3/C</t>
        </is>
      </c>
      <c r="M5613" s="12" t="inlineStr">
        <is>
          <t>2</t>
        </is>
      </c>
      <c r="N5613" s="12" t="n">
        <v>1</v>
      </c>
      <c r="O5613" s="12" t="n">
        <v>1</v>
      </c>
      <c r="P5613" s="12" t="n">
        <v>13800</v>
      </c>
      <c r="Q5613" s="12" t="n">
        <v>2500</v>
      </c>
      <c r="R5613" s="12" t="n">
        <v>105</v>
      </c>
      <c r="S5613" s="12" t="inlineStr">
        <is>
          <t>Surface</t>
        </is>
      </c>
      <c r="T5613" s="15" t="n">
        <v>92</v>
      </c>
      <c r="U5613" s="15" t="n">
        <v>27</v>
      </c>
      <c r="V5613" s="15">
        <f>ROUNDUP((T5613+U5613+2*'Read Me'!$B$13)*(1+'Read Me'!$B$12),-1)</f>
        <v/>
      </c>
      <c r="W5613" s="15">
        <f>V5613*N5613*O5613</f>
        <v/>
      </c>
      <c r="X5613" s="12">
        <f>IF(LEFT(I5613,2)="MV",2*N5613*IF(L5613="1/C",O5613,1),0)</f>
        <v/>
      </c>
      <c r="Y5613" s="12">
        <f>IF(OR(LEFT(K5613,4)="LVAX",LEFT(K5613,6)="MV15AX",LEFT(K5613,4)="CTAX",LEFT(K5613,2)="W|"),2*N5613*O5613,0)</f>
        <v/>
      </c>
      <c r="Z5613" s="12" t="inlineStr">
        <is>
          <t>portable, on grade, cam-lock</t>
        </is>
      </c>
      <c r="AA5613" s="12">
        <f>N5613*O5613</f>
        <v/>
      </c>
    </row>
    <row r="5614">
      <c r="A5614" s="12" t="inlineStr">
        <is>
          <t>I-PP-0005</t>
        </is>
      </c>
      <c r="B5614" s="12" t="inlineStr">
        <is>
          <t>I</t>
        </is>
      </c>
      <c r="C5614" s="12" t="inlineStr">
        <is>
          <t>Modular / portable power</t>
        </is>
      </c>
      <c r="D5614" s="12" t="inlineStr">
        <is>
          <t>TGF-2 13.8 kV leads to the switchgear trailer</t>
        </is>
      </c>
      <c r="E5614" s="12" t="inlineStr">
        <is>
          <t>TGF-2</t>
        </is>
      </c>
      <c r="F5614" s="12" t="inlineStr">
        <is>
          <t xml:space="preserve">TGF-2: trailer-mounted gas-engine generator ~2.5 MW, 13.8 kV (trailer </t>
        </is>
      </c>
      <c r="G5614" s="12" t="inlineStr">
        <is>
          <t>TGF-SWG</t>
        </is>
      </c>
      <c r="H5614" s="12" t="inlineStr">
        <is>
          <t>TGF-SWG: mobile 13.8 kV switchgear trailer (fleet collector)</t>
        </is>
      </c>
      <c r="I5614" s="12" t="inlineStr">
        <is>
          <t>Portable MV</t>
        </is>
      </c>
      <c r="J5614" s="12" t="inlineStr">
        <is>
          <t>Type SHD-GC 15 kV 3/C Cu, 2 grounds + GC, yellow CPE (portable)</t>
        </is>
      </c>
      <c r="K5614" s="12" t="inlineStr">
        <is>
          <t>SHD|3/C|2</t>
        </is>
      </c>
      <c r="L5614" s="12" t="inlineStr">
        <is>
          <t>3/C</t>
        </is>
      </c>
      <c r="M5614" s="12" t="inlineStr">
        <is>
          <t>2</t>
        </is>
      </c>
      <c r="N5614" s="12" t="n">
        <v>1</v>
      </c>
      <c r="O5614" s="12" t="n">
        <v>1</v>
      </c>
      <c r="P5614" s="12" t="n">
        <v>13800</v>
      </c>
      <c r="Q5614" s="12" t="n">
        <v>2500</v>
      </c>
      <c r="R5614" s="12" t="n">
        <v>105</v>
      </c>
      <c r="S5614" s="12" t="inlineStr">
        <is>
          <t>Surface</t>
        </is>
      </c>
      <c r="T5614" s="15" t="n">
        <v>78</v>
      </c>
      <c r="U5614" s="15" t="n">
        <v>27</v>
      </c>
      <c r="V5614" s="15">
        <f>ROUNDUP((T5614+U5614+2*'Read Me'!$B$13)*(1+'Read Me'!$B$12),-1)</f>
        <v/>
      </c>
      <c r="W5614" s="15">
        <f>V5614*N5614*O5614</f>
        <v/>
      </c>
      <c r="X5614" s="12">
        <f>IF(LEFT(I5614,2)="MV",2*N5614*IF(L5614="1/C",O5614,1),0)</f>
        <v/>
      </c>
      <c r="Y5614" s="12">
        <f>IF(OR(LEFT(K5614,4)="LVAX",LEFT(K5614,6)="MV15AX",LEFT(K5614,4)="CTAX",LEFT(K5614,2)="W|"),2*N5614*O5614,0)</f>
        <v/>
      </c>
      <c r="Z5614" s="12" t="inlineStr">
        <is>
          <t>portable, on grade, cam-lock</t>
        </is>
      </c>
      <c r="AA5614" s="12">
        <f>N5614*O5614</f>
        <v/>
      </c>
    </row>
    <row r="5615">
      <c r="A5615" s="12" t="inlineStr">
        <is>
          <t>I-PP-0006</t>
        </is>
      </c>
      <c r="B5615" s="12" t="inlineStr">
        <is>
          <t>I</t>
        </is>
      </c>
      <c r="C5615" s="12" t="inlineStr">
        <is>
          <t>Modular / portable power</t>
        </is>
      </c>
      <c r="D5615" s="12" t="inlineStr">
        <is>
          <t>TGF-3 13.8 kV leads to the switchgear trailer</t>
        </is>
      </c>
      <c r="E5615" s="12" t="inlineStr">
        <is>
          <t>TGF-3</t>
        </is>
      </c>
      <c r="F5615" s="12" t="inlineStr">
        <is>
          <t xml:space="preserve">TGF-3: trailer-mounted gas-engine generator ~2.5 MW, 13.8 kV (trailer </t>
        </is>
      </c>
      <c r="G5615" s="12" t="inlineStr">
        <is>
          <t>TGF-SWG</t>
        </is>
      </c>
      <c r="H5615" s="12" t="inlineStr">
        <is>
          <t>TGF-SWG: mobile 13.8 kV switchgear trailer (fleet collector)</t>
        </is>
      </c>
      <c r="I5615" s="12" t="inlineStr">
        <is>
          <t>Portable MV</t>
        </is>
      </c>
      <c r="J5615" s="12" t="inlineStr">
        <is>
          <t>Type SHD-GC 15 kV 3/C Cu, 2 grounds + GC, yellow CPE (portable)</t>
        </is>
      </c>
      <c r="K5615" s="12" t="inlineStr">
        <is>
          <t>SHD|3/C|2</t>
        </is>
      </c>
      <c r="L5615" s="12" t="inlineStr">
        <is>
          <t>3/C</t>
        </is>
      </c>
      <c r="M5615" s="12" t="inlineStr">
        <is>
          <t>2</t>
        </is>
      </c>
      <c r="N5615" s="12" t="n">
        <v>1</v>
      </c>
      <c r="O5615" s="12" t="n">
        <v>1</v>
      </c>
      <c r="P5615" s="12" t="n">
        <v>13800</v>
      </c>
      <c r="Q5615" s="12" t="n">
        <v>2500</v>
      </c>
      <c r="R5615" s="12" t="n">
        <v>105</v>
      </c>
      <c r="S5615" s="12" t="inlineStr">
        <is>
          <t>Surface</t>
        </is>
      </c>
      <c r="T5615" s="15" t="n">
        <v>64</v>
      </c>
      <c r="U5615" s="15" t="n">
        <v>27</v>
      </c>
      <c r="V5615" s="15">
        <f>ROUNDUP((T5615+U5615+2*'Read Me'!$B$13)*(1+'Read Me'!$B$12),-1)</f>
        <v/>
      </c>
      <c r="W5615" s="15">
        <f>V5615*N5615*O5615</f>
        <v/>
      </c>
      <c r="X5615" s="12">
        <f>IF(LEFT(I5615,2)="MV",2*N5615*IF(L5615="1/C",O5615,1),0)</f>
        <v/>
      </c>
      <c r="Y5615" s="12">
        <f>IF(OR(LEFT(K5615,4)="LVAX",LEFT(K5615,6)="MV15AX",LEFT(K5615,4)="CTAX",LEFT(K5615,2)="W|"),2*N5615*O5615,0)</f>
        <v/>
      </c>
      <c r="Z5615" s="12" t="inlineStr">
        <is>
          <t>portable, on grade, cam-lock</t>
        </is>
      </c>
      <c r="AA5615" s="12">
        <f>N5615*O5615</f>
        <v/>
      </c>
    </row>
    <row r="5616">
      <c r="A5616" s="12" t="inlineStr">
        <is>
          <t>I-PP-0007</t>
        </is>
      </c>
      <c r="B5616" s="12" t="inlineStr">
        <is>
          <t>I</t>
        </is>
      </c>
      <c r="C5616" s="12" t="inlineStr">
        <is>
          <t>Modular / portable power</t>
        </is>
      </c>
      <c r="D5616" s="12" t="inlineStr">
        <is>
          <t>TGF-4 13.8 kV leads to the switchgear trailer</t>
        </is>
      </c>
      <c r="E5616" s="12" t="inlineStr">
        <is>
          <t>TGF-4</t>
        </is>
      </c>
      <c r="F5616" s="12" t="inlineStr">
        <is>
          <t xml:space="preserve">TGF-4: trailer-mounted gas-engine generator ~2.5 MW, 13.8 kV (trailer </t>
        </is>
      </c>
      <c r="G5616" s="12" t="inlineStr">
        <is>
          <t>TGF-SWG</t>
        </is>
      </c>
      <c r="H5616" s="12" t="inlineStr">
        <is>
          <t>TGF-SWG: mobile 13.8 kV switchgear trailer (fleet collector)</t>
        </is>
      </c>
      <c r="I5616" s="12" t="inlineStr">
        <is>
          <t>Portable MV</t>
        </is>
      </c>
      <c r="J5616" s="12" t="inlineStr">
        <is>
          <t>Type SHD-GC 15 kV 3/C Cu, 2 grounds + GC, yellow CPE (portable)</t>
        </is>
      </c>
      <c r="K5616" s="12" t="inlineStr">
        <is>
          <t>SHD|3/C|2</t>
        </is>
      </c>
      <c r="L5616" s="12" t="inlineStr">
        <is>
          <t>3/C</t>
        </is>
      </c>
      <c r="M5616" s="12" t="inlineStr">
        <is>
          <t>2</t>
        </is>
      </c>
      <c r="N5616" s="12" t="n">
        <v>1</v>
      </c>
      <c r="O5616" s="12" t="n">
        <v>1</v>
      </c>
      <c r="P5616" s="12" t="n">
        <v>13800</v>
      </c>
      <c r="Q5616" s="12" t="n">
        <v>2500</v>
      </c>
      <c r="R5616" s="12" t="n">
        <v>105</v>
      </c>
      <c r="S5616" s="12" t="inlineStr">
        <is>
          <t>Surface</t>
        </is>
      </c>
      <c r="T5616" s="15" t="n">
        <v>50</v>
      </c>
      <c r="U5616" s="15" t="n">
        <v>27</v>
      </c>
      <c r="V5616" s="15">
        <f>ROUNDUP((T5616+U5616+2*'Read Me'!$B$13)*(1+'Read Me'!$B$12),-1)</f>
        <v/>
      </c>
      <c r="W5616" s="15">
        <f>V5616*N5616*O5616</f>
        <v/>
      </c>
      <c r="X5616" s="12">
        <f>IF(LEFT(I5616,2)="MV",2*N5616*IF(L5616="1/C",O5616,1),0)</f>
        <v/>
      </c>
      <c r="Y5616" s="12">
        <f>IF(OR(LEFT(K5616,4)="LVAX",LEFT(K5616,6)="MV15AX",LEFT(K5616,4)="CTAX",LEFT(K5616,2)="W|"),2*N5616*O5616,0)</f>
        <v/>
      </c>
      <c r="Z5616" s="12" t="inlineStr">
        <is>
          <t>portable, on grade, cam-lock</t>
        </is>
      </c>
      <c r="AA5616" s="12">
        <f>N5616*O5616</f>
        <v/>
      </c>
    </row>
    <row r="5617">
      <c r="A5617" s="12" t="inlineStr">
        <is>
          <t>I-PP-0008</t>
        </is>
      </c>
      <c r="B5617" s="12" t="inlineStr">
        <is>
          <t>I</t>
        </is>
      </c>
      <c r="C5617" s="12" t="inlineStr">
        <is>
          <t>Modular / portable power</t>
        </is>
      </c>
      <c r="D5617" s="12" t="inlineStr">
        <is>
          <t>TGF-5 13.8 kV leads to the switchgear trailer</t>
        </is>
      </c>
      <c r="E5617" s="12" t="inlineStr">
        <is>
          <t>TGF-5</t>
        </is>
      </c>
      <c r="F5617" s="12" t="inlineStr">
        <is>
          <t xml:space="preserve">TGF-5: trailer-mounted gas-engine generator ~2.5 MW, 13.8 kV (trailer </t>
        </is>
      </c>
      <c r="G5617" s="12" t="inlineStr">
        <is>
          <t>TGF-SWG</t>
        </is>
      </c>
      <c r="H5617" s="12" t="inlineStr">
        <is>
          <t>TGF-SWG: mobile 13.8 kV switchgear trailer (fleet collector)</t>
        </is>
      </c>
      <c r="I5617" s="12" t="inlineStr">
        <is>
          <t>Portable MV</t>
        </is>
      </c>
      <c r="J5617" s="12" t="inlineStr">
        <is>
          <t>Type SHD-GC 15 kV 3/C Cu, 2 grounds + GC, yellow CPE (portable)</t>
        </is>
      </c>
      <c r="K5617" s="12" t="inlineStr">
        <is>
          <t>SHD|3/C|2</t>
        </is>
      </c>
      <c r="L5617" s="12" t="inlineStr">
        <is>
          <t>3/C</t>
        </is>
      </c>
      <c r="M5617" s="12" t="inlineStr">
        <is>
          <t>2</t>
        </is>
      </c>
      <c r="N5617" s="12" t="n">
        <v>1</v>
      </c>
      <c r="O5617" s="12" t="n">
        <v>1</v>
      </c>
      <c r="P5617" s="12" t="n">
        <v>13800</v>
      </c>
      <c r="Q5617" s="12" t="n">
        <v>2500</v>
      </c>
      <c r="R5617" s="12" t="n">
        <v>105</v>
      </c>
      <c r="S5617" s="12" t="inlineStr">
        <is>
          <t>Surface</t>
        </is>
      </c>
      <c r="T5617" s="15" t="n">
        <v>38</v>
      </c>
      <c r="U5617" s="15" t="n">
        <v>27</v>
      </c>
      <c r="V5617" s="15">
        <f>ROUNDUP((T5617+U5617+2*'Read Me'!$B$13)*(1+'Read Me'!$B$12),-1)</f>
        <v/>
      </c>
      <c r="W5617" s="15">
        <f>V5617*N5617*O5617</f>
        <v/>
      </c>
      <c r="X5617" s="12">
        <f>IF(LEFT(I5617,2)="MV",2*N5617*IF(L5617="1/C",O5617,1),0)</f>
        <v/>
      </c>
      <c r="Y5617" s="12">
        <f>IF(OR(LEFT(K5617,4)="LVAX",LEFT(K5617,6)="MV15AX",LEFT(K5617,4)="CTAX",LEFT(K5617,2)="W|"),2*N5617*O5617,0)</f>
        <v/>
      </c>
      <c r="Z5617" s="12" t="inlineStr">
        <is>
          <t>portable, on grade, cam-lock</t>
        </is>
      </c>
      <c r="AA5617" s="12">
        <f>N5617*O5617</f>
        <v/>
      </c>
    </row>
    <row r="5618">
      <c r="A5618" s="12" t="inlineStr">
        <is>
          <t>I-PP-0009</t>
        </is>
      </c>
      <c r="B5618" s="12" t="inlineStr">
        <is>
          <t>I</t>
        </is>
      </c>
      <c r="C5618" s="12" t="inlineStr">
        <is>
          <t>Modular / portable power</t>
        </is>
      </c>
      <c r="D5618" s="12" t="inlineStr">
        <is>
          <t>TGF-6 13.8 kV leads to the switchgear trailer</t>
        </is>
      </c>
      <c r="E5618" s="12" t="inlineStr">
        <is>
          <t>TGF-6</t>
        </is>
      </c>
      <c r="F5618" s="12" t="inlineStr">
        <is>
          <t xml:space="preserve">TGF-6: trailer-mounted gas-engine generator ~2.5 MW, 13.8 kV (trailer </t>
        </is>
      </c>
      <c r="G5618" s="12" t="inlineStr">
        <is>
          <t>TGF-SWG</t>
        </is>
      </c>
      <c r="H5618" s="12" t="inlineStr">
        <is>
          <t>TGF-SWG: mobile 13.8 kV switchgear trailer (fleet collector)</t>
        </is>
      </c>
      <c r="I5618" s="12" t="inlineStr">
        <is>
          <t>Portable MV</t>
        </is>
      </c>
      <c r="J5618" s="12" t="inlineStr">
        <is>
          <t>Type SHD-GC 15 kV 3/C Cu, 2 grounds + GC, yellow CPE (portable)</t>
        </is>
      </c>
      <c r="K5618" s="12" t="inlineStr">
        <is>
          <t>SHD|3/C|2</t>
        </is>
      </c>
      <c r="L5618" s="12" t="inlineStr">
        <is>
          <t>3/C</t>
        </is>
      </c>
      <c r="M5618" s="12" t="inlineStr">
        <is>
          <t>2</t>
        </is>
      </c>
      <c r="N5618" s="12" t="n">
        <v>1</v>
      </c>
      <c r="O5618" s="12" t="n">
        <v>1</v>
      </c>
      <c r="P5618" s="12" t="n">
        <v>13800</v>
      </c>
      <c r="Q5618" s="12" t="n">
        <v>2500</v>
      </c>
      <c r="R5618" s="12" t="n">
        <v>105</v>
      </c>
      <c r="S5618" s="12" t="inlineStr">
        <is>
          <t>Surface</t>
        </is>
      </c>
      <c r="T5618" s="15" t="n">
        <v>26</v>
      </c>
      <c r="U5618" s="15" t="n">
        <v>27</v>
      </c>
      <c r="V5618" s="15">
        <f>ROUNDUP((T5618+U5618+2*'Read Me'!$B$13)*(1+'Read Me'!$B$12),-1)</f>
        <v/>
      </c>
      <c r="W5618" s="15">
        <f>V5618*N5618*O5618</f>
        <v/>
      </c>
      <c r="X5618" s="12">
        <f>IF(LEFT(I5618,2)="MV",2*N5618*IF(L5618="1/C",O5618,1),0)</f>
        <v/>
      </c>
      <c r="Y5618" s="12">
        <f>IF(OR(LEFT(K5618,4)="LVAX",LEFT(K5618,6)="MV15AX",LEFT(K5618,4)="CTAX",LEFT(K5618,2)="W|"),2*N5618*O5618,0)</f>
        <v/>
      </c>
      <c r="Z5618" s="12" t="inlineStr">
        <is>
          <t>portable, on grade, cam-lock</t>
        </is>
      </c>
      <c r="AA5618" s="12">
        <f>N5618*O5618</f>
        <v/>
      </c>
    </row>
    <row r="5619">
      <c r="A5619" s="12" t="inlineStr">
        <is>
          <t>J-C-0001</t>
        </is>
      </c>
      <c r="B5619" s="12" t="inlineStr">
        <is>
          <t>J</t>
        </is>
      </c>
      <c r="C5619" s="12" t="inlineStr">
        <is>
          <t>GT inlet chilling</t>
        </is>
      </c>
      <c r="D5619" s="12" t="inlineStr">
        <is>
          <t>Motor 1 of 4: control / local station</t>
        </is>
      </c>
      <c r="E5619" s="12" t="inlineStr"/>
      <c r="F5619" s="12" t="inlineStr">
        <is>
          <t>Inlet-chilling e-house / transformer</t>
        </is>
      </c>
      <c r="G5619" s="12" t="inlineStr"/>
      <c r="H5619" s="12" t="inlineStr">
        <is>
          <t>CHW pumps</t>
        </is>
      </c>
      <c r="I5619" s="12" t="inlineStr">
        <is>
          <t>Control</t>
        </is>
      </c>
      <c r="J5619" s="12" t="inlineStr">
        <is>
          <t>Control cable 600 V Type TC-ER, Cu #14 AWG, PVC jacket</t>
        </is>
      </c>
      <c r="K5619" s="12" t="inlineStr">
        <is>
          <t>CT|7/C|14</t>
        </is>
      </c>
      <c r="L5619" s="12" t="inlineStr">
        <is>
          <t>7/C</t>
        </is>
      </c>
      <c r="M5619" s="12" t="inlineStr">
        <is>
          <t>14</t>
        </is>
      </c>
      <c r="N5619" s="12" t="n">
        <v>1</v>
      </c>
      <c r="O5619" s="12" t="n">
        <v>1</v>
      </c>
      <c r="P5619" s="12" t="n"/>
      <c r="Q5619" s="12" t="n"/>
      <c r="R5619" s="12" t="n"/>
      <c r="S5619" s="12" t="inlineStr">
        <is>
          <t>Duct bank</t>
        </is>
      </c>
      <c r="T5619" s="15" t="n">
        <v>579</v>
      </c>
      <c r="U5619" s="15" t="n">
        <v>32</v>
      </c>
      <c r="V5619" s="15">
        <f>ROUNDUP((T5619+U5619+2*'Read Me'!$B$13)*(1+'Read Me'!$B$12),-1)</f>
        <v/>
      </c>
      <c r="W5619" s="15">
        <f>V5619*N5619*O5619</f>
        <v/>
      </c>
      <c r="X5619" s="12">
        <f>IF(LEFT(I5619,2)="MV",2*N5619*IF(L5619="1/C",O5619,1),0)</f>
        <v/>
      </c>
      <c r="Y5619" s="12">
        <f>IF(OR(LEFT(K5619,4)="LVAX",LEFT(K5619,6)="MV15AX",LEFT(K5619,4)="CTAX",LEFT(K5619,2)="W|"),2*N5619*O5619,0)</f>
        <v/>
      </c>
      <c r="Z5619" s="12" t="inlineStr"/>
      <c r="AA5619" s="12">
        <f>N5619*O5619</f>
        <v/>
      </c>
    </row>
    <row r="5620">
      <c r="A5620" s="12" t="inlineStr">
        <is>
          <t>J-C-0002</t>
        </is>
      </c>
      <c r="B5620" s="12" t="inlineStr">
        <is>
          <t>J</t>
        </is>
      </c>
      <c r="C5620" s="12" t="inlineStr">
        <is>
          <t>GT inlet chilling</t>
        </is>
      </c>
      <c r="D5620" s="12" t="inlineStr">
        <is>
          <t>Motor 2 of 4: control / local station</t>
        </is>
      </c>
      <c r="E5620" s="12" t="inlineStr"/>
      <c r="F5620" s="12" t="inlineStr">
        <is>
          <t>Inlet-chilling e-house / transformer</t>
        </is>
      </c>
      <c r="G5620" s="12" t="inlineStr"/>
      <c r="H5620" s="12" t="inlineStr">
        <is>
          <t>CHW pumps</t>
        </is>
      </c>
      <c r="I5620" s="12" t="inlineStr">
        <is>
          <t>Control</t>
        </is>
      </c>
      <c r="J5620" s="12" t="inlineStr">
        <is>
          <t>Control cable 600 V Type TC-ER, Cu #14 AWG, PVC jacket</t>
        </is>
      </c>
      <c r="K5620" s="12" t="inlineStr">
        <is>
          <t>CT|7/C|14</t>
        </is>
      </c>
      <c r="L5620" s="12" t="inlineStr">
        <is>
          <t>7/C</t>
        </is>
      </c>
      <c r="M5620" s="12" t="inlineStr">
        <is>
          <t>14</t>
        </is>
      </c>
      <c r="N5620" s="12" t="n">
        <v>1</v>
      </c>
      <c r="O5620" s="12" t="n">
        <v>1</v>
      </c>
      <c r="P5620" s="12" t="n"/>
      <c r="Q5620" s="12" t="n"/>
      <c r="R5620" s="12" t="n"/>
      <c r="S5620" s="12" t="inlineStr">
        <is>
          <t>Duct bank</t>
        </is>
      </c>
      <c r="T5620" s="15" t="n">
        <v>579</v>
      </c>
      <c r="U5620" s="15" t="n">
        <v>32</v>
      </c>
      <c r="V5620" s="15">
        <f>ROUNDUP((T5620+U5620+2*'Read Me'!$B$13)*(1+'Read Me'!$B$12),-1)</f>
        <v/>
      </c>
      <c r="W5620" s="15">
        <f>V5620*N5620*O5620</f>
        <v/>
      </c>
      <c r="X5620" s="12">
        <f>IF(LEFT(I5620,2)="MV",2*N5620*IF(L5620="1/C",O5620,1),0)</f>
        <v/>
      </c>
      <c r="Y5620" s="12">
        <f>IF(OR(LEFT(K5620,4)="LVAX",LEFT(K5620,6)="MV15AX",LEFT(K5620,4)="CTAX",LEFT(K5620,2)="W|"),2*N5620*O5620,0)</f>
        <v/>
      </c>
      <c r="Z5620" s="12" t="inlineStr"/>
      <c r="AA5620" s="12">
        <f>N5620*O5620</f>
        <v/>
      </c>
    </row>
    <row r="5621">
      <c r="A5621" s="12" t="inlineStr">
        <is>
          <t>J-C-0003</t>
        </is>
      </c>
      <c r="B5621" s="12" t="inlineStr">
        <is>
          <t>J</t>
        </is>
      </c>
      <c r="C5621" s="12" t="inlineStr">
        <is>
          <t>GT inlet chilling</t>
        </is>
      </c>
      <c r="D5621" s="12" t="inlineStr">
        <is>
          <t>Motor 3 of 4: control / local station</t>
        </is>
      </c>
      <c r="E5621" s="12" t="inlineStr"/>
      <c r="F5621" s="12" t="inlineStr">
        <is>
          <t>Inlet-chilling e-house / transformer</t>
        </is>
      </c>
      <c r="G5621" s="12" t="inlineStr"/>
      <c r="H5621" s="12" t="inlineStr">
        <is>
          <t>CHW pumps</t>
        </is>
      </c>
      <c r="I5621" s="12" t="inlineStr">
        <is>
          <t>Control</t>
        </is>
      </c>
      <c r="J5621" s="12" t="inlineStr">
        <is>
          <t>Control cable 600 V Type TC-ER, Cu #14 AWG, PVC jacket</t>
        </is>
      </c>
      <c r="K5621" s="12" t="inlineStr">
        <is>
          <t>CT|7/C|14</t>
        </is>
      </c>
      <c r="L5621" s="12" t="inlineStr">
        <is>
          <t>7/C</t>
        </is>
      </c>
      <c r="M5621" s="12" t="inlineStr">
        <is>
          <t>14</t>
        </is>
      </c>
      <c r="N5621" s="12" t="n">
        <v>1</v>
      </c>
      <c r="O5621" s="12" t="n">
        <v>1</v>
      </c>
      <c r="P5621" s="12" t="n"/>
      <c r="Q5621" s="12" t="n"/>
      <c r="R5621" s="12" t="n"/>
      <c r="S5621" s="12" t="inlineStr">
        <is>
          <t>Duct bank</t>
        </is>
      </c>
      <c r="T5621" s="15" t="n">
        <v>579</v>
      </c>
      <c r="U5621" s="15" t="n">
        <v>32</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J-C-0004</t>
        </is>
      </c>
      <c r="B5622" s="12" t="inlineStr">
        <is>
          <t>J</t>
        </is>
      </c>
      <c r="C5622" s="12" t="inlineStr">
        <is>
          <t>GT inlet chilling</t>
        </is>
      </c>
      <c r="D5622" s="12" t="inlineStr">
        <is>
          <t>Motor 4 of 4: control / local station</t>
        </is>
      </c>
      <c r="E5622" s="12" t="inlineStr"/>
      <c r="F5622" s="12" t="inlineStr">
        <is>
          <t>Inlet-chilling e-house / transformer</t>
        </is>
      </c>
      <c r="G5622" s="12" t="inlineStr"/>
      <c r="H5622" s="12" t="inlineStr">
        <is>
          <t>CHW pumps</t>
        </is>
      </c>
      <c r="I5622" s="12" t="inlineStr">
        <is>
          <t>Control</t>
        </is>
      </c>
      <c r="J5622" s="12" t="inlineStr">
        <is>
          <t>Control cable 600 V Type TC-ER, Cu #14 AWG, PVC jacket</t>
        </is>
      </c>
      <c r="K5622" s="12" t="inlineStr">
        <is>
          <t>CT|7/C|14</t>
        </is>
      </c>
      <c r="L5622" s="12" t="inlineStr">
        <is>
          <t>7/C</t>
        </is>
      </c>
      <c r="M5622" s="12" t="inlineStr">
        <is>
          <t>14</t>
        </is>
      </c>
      <c r="N5622" s="12" t="n">
        <v>1</v>
      </c>
      <c r="O5622" s="12" t="n">
        <v>1</v>
      </c>
      <c r="P5622" s="12" t="n"/>
      <c r="Q5622" s="12" t="n"/>
      <c r="R5622" s="12" t="n"/>
      <c r="S5622" s="12" t="inlineStr">
        <is>
          <t>Duct bank</t>
        </is>
      </c>
      <c r="T5622" s="15" t="n">
        <v>579</v>
      </c>
      <c r="U5622" s="15" t="n">
        <v>32</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J-C-0005</t>
        </is>
      </c>
      <c r="B5623" s="12" t="inlineStr">
        <is>
          <t>J</t>
        </is>
      </c>
      <c r="C5623" s="12" t="inlineStr">
        <is>
          <t>GT inlet chilling</t>
        </is>
      </c>
      <c r="D5623" s="12" t="inlineStr">
        <is>
          <t>Motor 1 of 6: control / local station</t>
        </is>
      </c>
      <c r="E5623" s="12" t="inlineStr"/>
      <c r="F5623" s="12" t="inlineStr">
        <is>
          <t>Inlet-chilling e-house / transformer</t>
        </is>
      </c>
      <c r="G5623" s="12" t="inlineStr"/>
      <c r="H5623" s="12" t="inlineStr">
        <is>
          <t>Chillers x6 (water-cooled)</t>
        </is>
      </c>
      <c r="I5623" s="12" t="inlineStr">
        <is>
          <t>Control</t>
        </is>
      </c>
      <c r="J5623" s="12" t="inlineStr">
        <is>
          <t>Control cable 600 V Type TC-ER, Cu #14 AWG, PVC jacket</t>
        </is>
      </c>
      <c r="K5623" s="12" t="inlineStr">
        <is>
          <t>CT|7/C|14</t>
        </is>
      </c>
      <c r="L5623" s="12" t="inlineStr">
        <is>
          <t>7/C</t>
        </is>
      </c>
      <c r="M5623" s="12" t="inlineStr">
        <is>
          <t>14</t>
        </is>
      </c>
      <c r="N5623" s="12" t="n">
        <v>1</v>
      </c>
      <c r="O5623" s="12" t="n">
        <v>1</v>
      </c>
      <c r="P5623" s="12" t="n"/>
      <c r="Q5623" s="12" t="n"/>
      <c r="R5623" s="12" t="n"/>
      <c r="S5623" s="12" t="inlineStr">
        <is>
          <t>Duct bank</t>
        </is>
      </c>
      <c r="T5623" s="15" t="n">
        <v>10</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c r="AA5623" s="12">
        <f>N5623*O5623</f>
        <v/>
      </c>
    </row>
    <row r="5624">
      <c r="A5624" s="12" t="inlineStr">
        <is>
          <t>J-C-0006</t>
        </is>
      </c>
      <c r="B5624" s="12" t="inlineStr">
        <is>
          <t>J</t>
        </is>
      </c>
      <c r="C5624" s="12" t="inlineStr">
        <is>
          <t>GT inlet chilling</t>
        </is>
      </c>
      <c r="D5624" s="12" t="inlineStr">
        <is>
          <t>Motor 2 of 6: control / local station</t>
        </is>
      </c>
      <c r="E5624" s="12" t="inlineStr"/>
      <c r="F5624" s="12" t="inlineStr">
        <is>
          <t>Inlet-chilling e-house / transformer</t>
        </is>
      </c>
      <c r="G5624" s="12" t="inlineStr"/>
      <c r="H5624" s="12" t="inlineStr">
        <is>
          <t>Chillers x6 (water-cooled)</t>
        </is>
      </c>
      <c r="I5624" s="12" t="inlineStr">
        <is>
          <t>Control</t>
        </is>
      </c>
      <c r="J5624" s="12" t="inlineStr">
        <is>
          <t>Control cable 600 V Type TC-ER, Cu #14 AWG, PVC jacket</t>
        </is>
      </c>
      <c r="K5624" s="12" t="inlineStr">
        <is>
          <t>CT|7/C|14</t>
        </is>
      </c>
      <c r="L5624" s="12" t="inlineStr">
        <is>
          <t>7/C</t>
        </is>
      </c>
      <c r="M5624" s="12" t="inlineStr">
        <is>
          <t>14</t>
        </is>
      </c>
      <c r="N5624" s="12" t="n">
        <v>1</v>
      </c>
      <c r="O5624" s="12" t="n">
        <v>1</v>
      </c>
      <c r="P5624" s="12" t="n"/>
      <c r="Q5624" s="12" t="n"/>
      <c r="R5624" s="12" t="n"/>
      <c r="S5624" s="12" t="inlineStr">
        <is>
          <t>Duct bank</t>
        </is>
      </c>
      <c r="T5624" s="15" t="n">
        <v>10</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J-C-0007</t>
        </is>
      </c>
      <c r="B5625" s="12" t="inlineStr">
        <is>
          <t>J</t>
        </is>
      </c>
      <c r="C5625" s="12" t="inlineStr">
        <is>
          <t>GT inlet chilling</t>
        </is>
      </c>
      <c r="D5625" s="12" t="inlineStr">
        <is>
          <t>Motor 3 of 6: control / local station</t>
        </is>
      </c>
      <c r="E5625" s="12" t="inlineStr"/>
      <c r="F5625" s="12" t="inlineStr">
        <is>
          <t>Inlet-chilling e-house / transformer</t>
        </is>
      </c>
      <c r="G5625" s="12" t="inlineStr"/>
      <c r="H5625" s="12" t="inlineStr">
        <is>
          <t>Chillers x6 (water-cooled)</t>
        </is>
      </c>
      <c r="I5625" s="12" t="inlineStr">
        <is>
          <t>Control</t>
        </is>
      </c>
      <c r="J5625" s="12" t="inlineStr">
        <is>
          <t>Control cable 600 V Type TC-ER, Cu #14 AWG, PVC jacket</t>
        </is>
      </c>
      <c r="K5625" s="12" t="inlineStr">
        <is>
          <t>CT|7/C|14</t>
        </is>
      </c>
      <c r="L5625" s="12" t="inlineStr">
        <is>
          <t>7/C</t>
        </is>
      </c>
      <c r="M5625" s="12" t="inlineStr">
        <is>
          <t>14</t>
        </is>
      </c>
      <c r="N5625" s="12" t="n">
        <v>1</v>
      </c>
      <c r="O5625" s="12" t="n">
        <v>1</v>
      </c>
      <c r="P5625" s="12" t="n"/>
      <c r="Q5625" s="12" t="n"/>
      <c r="R5625" s="12" t="n"/>
      <c r="S5625" s="12" t="inlineStr">
        <is>
          <t>Duct bank</t>
        </is>
      </c>
      <c r="T5625" s="15" t="n">
        <v>10</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J-C-0008</t>
        </is>
      </c>
      <c r="B5626" s="12" t="inlineStr">
        <is>
          <t>J</t>
        </is>
      </c>
      <c r="C5626" s="12" t="inlineStr">
        <is>
          <t>GT inlet chilling</t>
        </is>
      </c>
      <c r="D5626" s="12" t="inlineStr">
        <is>
          <t>Motor 4 of 6: control / local station</t>
        </is>
      </c>
      <c r="E5626" s="12" t="inlineStr"/>
      <c r="F5626" s="12" t="inlineStr">
        <is>
          <t>Inlet-chilling e-house / transformer</t>
        </is>
      </c>
      <c r="G5626" s="12" t="inlineStr"/>
      <c r="H5626" s="12" t="inlineStr">
        <is>
          <t>Chillers x6 (water-cooled)</t>
        </is>
      </c>
      <c r="I5626" s="12" t="inlineStr">
        <is>
          <t>Control</t>
        </is>
      </c>
      <c r="J5626" s="12" t="inlineStr">
        <is>
          <t>Control cable 600 V Type TC-ER, Cu #14 AWG, PVC jacket</t>
        </is>
      </c>
      <c r="K5626" s="12" t="inlineStr">
        <is>
          <t>CT|7/C|14</t>
        </is>
      </c>
      <c r="L5626" s="12" t="inlineStr">
        <is>
          <t>7/C</t>
        </is>
      </c>
      <c r="M5626" s="12" t="inlineStr">
        <is>
          <t>14</t>
        </is>
      </c>
      <c r="N5626" s="12" t="n">
        <v>1</v>
      </c>
      <c r="O5626" s="12" t="n">
        <v>1</v>
      </c>
      <c r="P5626" s="12" t="n"/>
      <c r="Q5626" s="12" t="n"/>
      <c r="R5626" s="12" t="n"/>
      <c r="S5626" s="12" t="inlineStr">
        <is>
          <t>Duct bank</t>
        </is>
      </c>
      <c r="T5626" s="15" t="n">
        <v>10</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J-C-0009</t>
        </is>
      </c>
      <c r="B5627" s="12" t="inlineStr">
        <is>
          <t>J</t>
        </is>
      </c>
      <c r="C5627" s="12" t="inlineStr">
        <is>
          <t>GT inlet chilling</t>
        </is>
      </c>
      <c r="D5627" s="12" t="inlineStr">
        <is>
          <t>Motor 5 of 6: control / local station</t>
        </is>
      </c>
      <c r="E5627" s="12" t="inlineStr"/>
      <c r="F5627" s="12" t="inlineStr">
        <is>
          <t>Inlet-chilling e-house / transformer</t>
        </is>
      </c>
      <c r="G5627" s="12" t="inlineStr"/>
      <c r="H5627" s="12" t="inlineStr">
        <is>
          <t>Chillers x6 (water-cooled)</t>
        </is>
      </c>
      <c r="I5627" s="12" t="inlineStr">
        <is>
          <t>Control</t>
        </is>
      </c>
      <c r="J5627" s="12" t="inlineStr">
        <is>
          <t>Control cable 600 V Type TC-ER, Cu #14 AWG, PVC jacket</t>
        </is>
      </c>
      <c r="K5627" s="12" t="inlineStr">
        <is>
          <t>CT|7/C|14</t>
        </is>
      </c>
      <c r="L5627" s="12" t="inlineStr">
        <is>
          <t>7/C</t>
        </is>
      </c>
      <c r="M5627" s="12" t="inlineStr">
        <is>
          <t>14</t>
        </is>
      </c>
      <c r="N5627" s="12" t="n">
        <v>1</v>
      </c>
      <c r="O5627" s="12" t="n">
        <v>1</v>
      </c>
      <c r="P5627" s="12" t="n"/>
      <c r="Q5627" s="12" t="n"/>
      <c r="R5627" s="12" t="n"/>
      <c r="S5627" s="12" t="inlineStr">
        <is>
          <t>Duct bank</t>
        </is>
      </c>
      <c r="T5627" s="15" t="n">
        <v>10</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J-C-0010</t>
        </is>
      </c>
      <c r="B5628" s="12" t="inlineStr">
        <is>
          <t>J</t>
        </is>
      </c>
      <c r="C5628" s="12" t="inlineStr">
        <is>
          <t>GT inlet chilling</t>
        </is>
      </c>
      <c r="D5628" s="12" t="inlineStr">
        <is>
          <t>Motor 6 of 6: control / local station</t>
        </is>
      </c>
      <c r="E5628" s="12" t="inlineStr"/>
      <c r="F5628" s="12" t="inlineStr">
        <is>
          <t>Inlet-chilling e-house / transformer</t>
        </is>
      </c>
      <c r="G5628" s="12" t="inlineStr"/>
      <c r="H5628" s="12" t="inlineStr">
        <is>
          <t>Chillers x6 (water-cooled)</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10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J-C-0011</t>
        </is>
      </c>
      <c r="B5629" s="12" t="inlineStr">
        <is>
          <t>J</t>
        </is>
      </c>
      <c r="C5629" s="12" t="inlineStr">
        <is>
          <t>GT inlet chilling</t>
        </is>
      </c>
      <c r="D5629" s="12" t="inlineStr">
        <is>
          <t>Control</t>
        </is>
      </c>
      <c r="E5629" s="12" t="inlineStr"/>
      <c r="F5629" s="12" t="inlineStr">
        <is>
          <t>Inlet-chilling e-house / transformer</t>
        </is>
      </c>
      <c r="G5629" s="12" t="inlineStr"/>
      <c r="H5629" s="12" t="inlineStr">
        <is>
          <t>Inlet-chilling e-house / transformer</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Tray</t>
        </is>
      </c>
      <c r="T5629" s="15" t="n">
        <v>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J-C-0012</t>
        </is>
      </c>
      <c r="B5630" s="12" t="inlineStr">
        <is>
          <t>J</t>
        </is>
      </c>
      <c r="C5630" s="12" t="inlineStr">
        <is>
          <t>GT inlet chilling</t>
        </is>
      </c>
      <c r="D5630" s="12" t="inlineStr">
        <is>
          <t>Control</t>
        </is>
      </c>
      <c r="E5630" s="12" t="inlineStr"/>
      <c r="F5630" s="12" t="inlineStr">
        <is>
          <t>Inlet-chilling e-house / transformer</t>
        </is>
      </c>
      <c r="G5630" s="12" t="inlineStr"/>
      <c r="H5630" s="12" t="inlineStr">
        <is>
          <t>Inlet-chilling e-house / transformer</t>
        </is>
      </c>
      <c r="I5630" s="12" t="inlineStr">
        <is>
          <t>Control</t>
        </is>
      </c>
      <c r="J5630" s="12" t="inlineStr">
        <is>
          <t>Control cable 600 V Type TC-ER, Cu #14 AWG, PVC jacket</t>
        </is>
      </c>
      <c r="K5630" s="12" t="inlineStr">
        <is>
          <t>CT|12/C|14</t>
        </is>
      </c>
      <c r="L5630" s="12" t="inlineStr">
        <is>
          <t>12/C</t>
        </is>
      </c>
      <c r="M5630" s="12" t="inlineStr">
        <is>
          <t>14</t>
        </is>
      </c>
      <c r="N5630" s="12" t="n">
        <v>1</v>
      </c>
      <c r="O5630" s="12" t="n">
        <v>1</v>
      </c>
      <c r="P5630" s="12" t="n"/>
      <c r="Q5630" s="12" t="n"/>
      <c r="R5630" s="12" t="n"/>
      <c r="S5630" s="12" t="inlineStr">
        <is>
          <t>Tray</t>
        </is>
      </c>
      <c r="T5630" s="15" t="n">
        <v>0</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J-C-0013</t>
        </is>
      </c>
      <c r="B5631" s="12" t="inlineStr">
        <is>
          <t>J</t>
        </is>
      </c>
      <c r="C5631" s="12" t="inlineStr">
        <is>
          <t>GT inlet chilling</t>
        </is>
      </c>
      <c r="D5631" s="12" t="inlineStr">
        <is>
          <t>CT / VT</t>
        </is>
      </c>
      <c r="E5631" s="12" t="inlineStr"/>
      <c r="F5631" s="12" t="inlineStr">
        <is>
          <t>Inlet-chilling e-house / transformer</t>
        </is>
      </c>
      <c r="G5631" s="12" t="inlineStr"/>
      <c r="H5631" s="12" t="inlineStr">
        <is>
          <t>Inlet-chilling e-house / transformer</t>
        </is>
      </c>
      <c r="I5631" s="12" t="inlineStr">
        <is>
          <t>Control</t>
        </is>
      </c>
      <c r="J5631" s="12" t="inlineStr">
        <is>
          <t>Control cable 600 V Type TC-ER, Cu #10 AWG (CT / VT circuits)</t>
        </is>
      </c>
      <c r="K5631" s="12" t="inlineStr">
        <is>
          <t>CTCT|4/C|10</t>
        </is>
      </c>
      <c r="L5631" s="12" t="inlineStr">
        <is>
          <t>4/C</t>
        </is>
      </c>
      <c r="M5631" s="12" t="inlineStr">
        <is>
          <t>10</t>
        </is>
      </c>
      <c r="N5631" s="12" t="n">
        <v>1</v>
      </c>
      <c r="O5631" s="12" t="n">
        <v>1</v>
      </c>
      <c r="P5631" s="12" t="n"/>
      <c r="Q5631" s="12" t="n"/>
      <c r="R5631" s="12" t="n"/>
      <c r="S5631" s="12" t="inlineStr">
        <is>
          <t>Tray</t>
        </is>
      </c>
      <c r="T5631" s="15" t="n">
        <v>0</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J-C-0014</t>
        </is>
      </c>
      <c r="B5632" s="12" t="inlineStr">
        <is>
          <t>J</t>
        </is>
      </c>
      <c r="C5632" s="12" t="inlineStr">
        <is>
          <t>GT inlet chilling</t>
        </is>
      </c>
      <c r="D5632" s="12" t="inlineStr">
        <is>
          <t>CT / VT</t>
        </is>
      </c>
      <c r="E5632" s="12" t="inlineStr"/>
      <c r="F5632" s="12" t="inlineStr">
        <is>
          <t>Inlet-chilling e-house / transformer</t>
        </is>
      </c>
      <c r="G5632" s="12" t="inlineStr"/>
      <c r="H5632" s="12" t="inlineStr">
        <is>
          <t>Inlet-chilling e-house / transformer</t>
        </is>
      </c>
      <c r="I5632" s="12" t="inlineStr">
        <is>
          <t>Control</t>
        </is>
      </c>
      <c r="J5632" s="12" t="inlineStr">
        <is>
          <t>Control cable 600 V Type TC-ER, Cu #10 AWG (CT / VT circuits)</t>
        </is>
      </c>
      <c r="K5632" s="12" t="inlineStr">
        <is>
          <t>CTCT|4/C|10</t>
        </is>
      </c>
      <c r="L5632" s="12" t="inlineStr">
        <is>
          <t>4/C</t>
        </is>
      </c>
      <c r="M5632" s="12" t="inlineStr">
        <is>
          <t>10</t>
        </is>
      </c>
      <c r="N5632" s="12" t="n">
        <v>1</v>
      </c>
      <c r="O5632" s="12" t="n">
        <v>1</v>
      </c>
      <c r="P5632" s="12" t="n"/>
      <c r="Q5632" s="12" t="n"/>
      <c r="R5632" s="12" t="n"/>
      <c r="S5632" s="12" t="inlineStr">
        <is>
          <t>Tray</t>
        </is>
      </c>
      <c r="T5632" s="15" t="n">
        <v>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J-C-0015</t>
        </is>
      </c>
      <c r="B5633" s="12" t="inlineStr">
        <is>
          <t>J</t>
        </is>
      </c>
      <c r="C5633" s="12" t="inlineStr">
        <is>
          <t>GT inlet chilling</t>
        </is>
      </c>
      <c r="D5633" s="12" t="inlineStr">
        <is>
          <t>Motor 1 of 12: control / local station</t>
        </is>
      </c>
      <c r="E5633" s="12" t="inlineStr"/>
      <c r="F5633" s="12" t="inlineStr">
        <is>
          <t>Inlet-chilling e-house / transformer</t>
        </is>
      </c>
      <c r="G5633" s="12" t="inlineStr"/>
      <c r="H5633" s="12" t="inlineStr">
        <is>
          <t>Inlet-chilling tower (12 cells): chiller heat rejection</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478</v>
      </c>
      <c r="U5633" s="15" t="n">
        <v>38</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J-C-0016</t>
        </is>
      </c>
      <c r="B5634" s="12" t="inlineStr">
        <is>
          <t>J</t>
        </is>
      </c>
      <c r="C5634" s="12" t="inlineStr">
        <is>
          <t>GT inlet chilling</t>
        </is>
      </c>
      <c r="D5634" s="12" t="inlineStr">
        <is>
          <t>Motor 2 of 12: control / local station</t>
        </is>
      </c>
      <c r="E5634" s="12" t="inlineStr"/>
      <c r="F5634" s="12" t="inlineStr">
        <is>
          <t>Inlet-chilling e-house / transformer</t>
        </is>
      </c>
      <c r="G5634" s="12" t="inlineStr"/>
      <c r="H5634" s="12" t="inlineStr">
        <is>
          <t>Inlet-chilling tower (12 cells): chiller heat rejection</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5" t="n">
        <v>478</v>
      </c>
      <c r="U5634" s="15" t="n">
        <v>38</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J-C-0017</t>
        </is>
      </c>
      <c r="B5635" s="12" t="inlineStr">
        <is>
          <t>J</t>
        </is>
      </c>
      <c r="C5635" s="12" t="inlineStr">
        <is>
          <t>GT inlet chilling</t>
        </is>
      </c>
      <c r="D5635" s="12" t="inlineStr">
        <is>
          <t>Motor 3 of 12: control / local station</t>
        </is>
      </c>
      <c r="E5635" s="12" t="inlineStr"/>
      <c r="F5635" s="12" t="inlineStr">
        <is>
          <t>Inlet-chilling e-house / transformer</t>
        </is>
      </c>
      <c r="G5635" s="12" t="inlineStr"/>
      <c r="H5635" s="12" t="inlineStr">
        <is>
          <t>Inlet-chilling tower (12 cells): chiller heat rejection</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5" t="n">
        <v>478</v>
      </c>
      <c r="U5635" s="15" t="n">
        <v>38</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J-C-0018</t>
        </is>
      </c>
      <c r="B5636" s="12" t="inlineStr">
        <is>
          <t>J</t>
        </is>
      </c>
      <c r="C5636" s="12" t="inlineStr">
        <is>
          <t>GT inlet chilling</t>
        </is>
      </c>
      <c r="D5636" s="12" t="inlineStr">
        <is>
          <t>Motor 4 of 12: control / local station</t>
        </is>
      </c>
      <c r="E5636" s="12" t="inlineStr"/>
      <c r="F5636" s="12" t="inlineStr">
        <is>
          <t>Inlet-chilling e-house / transformer</t>
        </is>
      </c>
      <c r="G5636" s="12" t="inlineStr"/>
      <c r="H5636" s="12" t="inlineStr">
        <is>
          <t>Inlet-chilling tower (12 cells): chiller heat rejection</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5" t="n">
        <v>478</v>
      </c>
      <c r="U5636" s="15" t="n">
        <v>38</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J-C-0019</t>
        </is>
      </c>
      <c r="B5637" s="12" t="inlineStr">
        <is>
          <t>J</t>
        </is>
      </c>
      <c r="C5637" s="12" t="inlineStr">
        <is>
          <t>GT inlet chilling</t>
        </is>
      </c>
      <c r="D5637" s="12" t="inlineStr">
        <is>
          <t>Motor 5 of 12: control / local station</t>
        </is>
      </c>
      <c r="E5637" s="12" t="inlineStr"/>
      <c r="F5637" s="12" t="inlineStr">
        <is>
          <t>Inlet-chilling e-house / transformer</t>
        </is>
      </c>
      <c r="G5637" s="12" t="inlineStr"/>
      <c r="H5637" s="12" t="inlineStr">
        <is>
          <t>Inlet-chilling tower (12 cells): chiller heat rejection</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5" t="n">
        <v>478</v>
      </c>
      <c r="U5637" s="15" t="n">
        <v>38</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J-C-0020</t>
        </is>
      </c>
      <c r="B5638" s="12" t="inlineStr">
        <is>
          <t>J</t>
        </is>
      </c>
      <c r="C5638" s="12" t="inlineStr">
        <is>
          <t>GT inlet chilling</t>
        </is>
      </c>
      <c r="D5638" s="12" t="inlineStr">
        <is>
          <t>Motor 6 of 12: control / local station</t>
        </is>
      </c>
      <c r="E5638" s="12" t="inlineStr"/>
      <c r="F5638" s="12" t="inlineStr">
        <is>
          <t>Inlet-chilling e-house / transformer</t>
        </is>
      </c>
      <c r="G5638" s="12" t="inlineStr"/>
      <c r="H5638" s="12" t="inlineStr">
        <is>
          <t>Inlet-chilling tower (12 cells): chiller heat rejection</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Duct bank</t>
        </is>
      </c>
      <c r="T5638" s="15" t="n">
        <v>478</v>
      </c>
      <c r="U5638" s="15" t="n">
        <v>38</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J-C-0021</t>
        </is>
      </c>
      <c r="B5639" s="12" t="inlineStr">
        <is>
          <t>J</t>
        </is>
      </c>
      <c r="C5639" s="12" t="inlineStr">
        <is>
          <t>GT inlet chilling</t>
        </is>
      </c>
      <c r="D5639" s="12" t="inlineStr">
        <is>
          <t>Motor 7 of 12: control / local station</t>
        </is>
      </c>
      <c r="E5639" s="12" t="inlineStr"/>
      <c r="F5639" s="12" t="inlineStr">
        <is>
          <t>Inlet-chilling e-house / transformer</t>
        </is>
      </c>
      <c r="G5639" s="12" t="inlineStr"/>
      <c r="H5639" s="12" t="inlineStr">
        <is>
          <t>Inlet-chilling tower (12 cells): chiller heat rejection</t>
        </is>
      </c>
      <c r="I5639" s="12" t="inlineStr">
        <is>
          <t>Control</t>
        </is>
      </c>
      <c r="J5639" s="12" t="inlineStr">
        <is>
          <t>Control cable 600 V Type TC-ER, Cu #14 AWG, PVC jacket</t>
        </is>
      </c>
      <c r="K5639" s="12" t="inlineStr">
        <is>
          <t>CT|7/C|14</t>
        </is>
      </c>
      <c r="L5639" s="12" t="inlineStr">
        <is>
          <t>7/C</t>
        </is>
      </c>
      <c r="M5639" s="12" t="inlineStr">
        <is>
          <t>14</t>
        </is>
      </c>
      <c r="N5639" s="12" t="n">
        <v>1</v>
      </c>
      <c r="O5639" s="12" t="n">
        <v>1</v>
      </c>
      <c r="P5639" s="12" t="n"/>
      <c r="Q5639" s="12" t="n"/>
      <c r="R5639" s="12" t="n"/>
      <c r="S5639" s="12" t="inlineStr">
        <is>
          <t>Duct bank</t>
        </is>
      </c>
      <c r="T5639" s="15" t="n">
        <v>478</v>
      </c>
      <c r="U5639" s="15" t="n">
        <v>38</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J-C-0022</t>
        </is>
      </c>
      <c r="B5640" s="12" t="inlineStr">
        <is>
          <t>J</t>
        </is>
      </c>
      <c r="C5640" s="12" t="inlineStr">
        <is>
          <t>GT inlet chilling</t>
        </is>
      </c>
      <c r="D5640" s="12" t="inlineStr">
        <is>
          <t>Motor 8 of 12: control / local station</t>
        </is>
      </c>
      <c r="E5640" s="12" t="inlineStr"/>
      <c r="F5640" s="12" t="inlineStr">
        <is>
          <t>Inlet-chilling e-house / transformer</t>
        </is>
      </c>
      <c r="G5640" s="12" t="inlineStr"/>
      <c r="H5640" s="12" t="inlineStr">
        <is>
          <t>Inlet-chilling tower (12 cells): chiller heat rejection</t>
        </is>
      </c>
      <c r="I5640" s="12" t="inlineStr">
        <is>
          <t>Control</t>
        </is>
      </c>
      <c r="J5640" s="12" t="inlineStr">
        <is>
          <t>Control cable 600 V Type TC-ER, Cu #14 AWG, PVC jacket</t>
        </is>
      </c>
      <c r="K5640" s="12" t="inlineStr">
        <is>
          <t>CT|7/C|14</t>
        </is>
      </c>
      <c r="L5640" s="12" t="inlineStr">
        <is>
          <t>7/C</t>
        </is>
      </c>
      <c r="M5640" s="12" t="inlineStr">
        <is>
          <t>14</t>
        </is>
      </c>
      <c r="N5640" s="12" t="n">
        <v>1</v>
      </c>
      <c r="O5640" s="12" t="n">
        <v>1</v>
      </c>
      <c r="P5640" s="12" t="n"/>
      <c r="Q5640" s="12" t="n"/>
      <c r="R5640" s="12" t="n"/>
      <c r="S5640" s="12" t="inlineStr">
        <is>
          <t>Duct bank</t>
        </is>
      </c>
      <c r="T5640" s="15" t="n">
        <v>478</v>
      </c>
      <c r="U5640" s="15" t="n">
        <v>38</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J-C-0023</t>
        </is>
      </c>
      <c r="B5641" s="12" t="inlineStr">
        <is>
          <t>J</t>
        </is>
      </c>
      <c r="C5641" s="12" t="inlineStr">
        <is>
          <t>GT inlet chilling</t>
        </is>
      </c>
      <c r="D5641" s="12" t="inlineStr">
        <is>
          <t>Motor 9 of 12: control / local station</t>
        </is>
      </c>
      <c r="E5641" s="12" t="inlineStr"/>
      <c r="F5641" s="12" t="inlineStr">
        <is>
          <t>Inlet-chilling e-house / transformer</t>
        </is>
      </c>
      <c r="G5641" s="12" t="inlineStr"/>
      <c r="H5641" s="12" t="inlineStr">
        <is>
          <t>Inlet-chilling tower (12 cells): chiller heat rejection</t>
        </is>
      </c>
      <c r="I5641" s="12" t="inlineStr">
        <is>
          <t>Control</t>
        </is>
      </c>
      <c r="J5641" s="12" t="inlineStr">
        <is>
          <t>Control cable 600 V Type TC-ER, Cu #14 AWG, PVC jacket</t>
        </is>
      </c>
      <c r="K5641" s="12" t="inlineStr">
        <is>
          <t>CT|7/C|14</t>
        </is>
      </c>
      <c r="L5641" s="12" t="inlineStr">
        <is>
          <t>7/C</t>
        </is>
      </c>
      <c r="M5641" s="12" t="inlineStr">
        <is>
          <t>14</t>
        </is>
      </c>
      <c r="N5641" s="12" t="n">
        <v>1</v>
      </c>
      <c r="O5641" s="12" t="n">
        <v>1</v>
      </c>
      <c r="P5641" s="12" t="n"/>
      <c r="Q5641" s="12" t="n"/>
      <c r="R5641" s="12" t="n"/>
      <c r="S5641" s="12" t="inlineStr">
        <is>
          <t>Duct bank</t>
        </is>
      </c>
      <c r="T5641" s="15" t="n">
        <v>478</v>
      </c>
      <c r="U5641" s="15" t="n">
        <v>38</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J-C-0024</t>
        </is>
      </c>
      <c r="B5642" s="12" t="inlineStr">
        <is>
          <t>J</t>
        </is>
      </c>
      <c r="C5642" s="12" t="inlineStr">
        <is>
          <t>GT inlet chilling</t>
        </is>
      </c>
      <c r="D5642" s="12" t="inlineStr">
        <is>
          <t>Motor 10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J-C-0025</t>
        </is>
      </c>
      <c r="B5643" s="12" t="inlineStr">
        <is>
          <t>J</t>
        </is>
      </c>
      <c r="C5643" s="12" t="inlineStr">
        <is>
          <t>GT inlet chilling</t>
        </is>
      </c>
      <c r="D5643" s="12" t="inlineStr">
        <is>
          <t>Motor 11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J-C-0026</t>
        </is>
      </c>
      <c r="B5644" s="12" t="inlineStr">
        <is>
          <t>J</t>
        </is>
      </c>
      <c r="C5644" s="12" t="inlineStr">
        <is>
          <t>GT inlet chilling</t>
        </is>
      </c>
      <c r="D5644" s="12" t="inlineStr">
        <is>
          <t>Motor 12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J-I-0001</t>
        </is>
      </c>
      <c r="B5645" s="12" t="inlineStr">
        <is>
          <t>J</t>
        </is>
      </c>
      <c r="C5645" s="12" t="inlineStr">
        <is>
          <t>GT inlet chilling</t>
        </is>
      </c>
      <c r="D5645" s="12" t="inlineStr">
        <is>
          <t>Analog instrument to JB JB-CHW pumps-AI01: 12 x 1 pr (field cables)</t>
        </is>
      </c>
      <c r="E5645" s="12" t="inlineStr"/>
      <c r="F5645" s="12" t="inlineStr">
        <is>
          <t>CHW pumps</t>
        </is>
      </c>
      <c r="G5645" s="12" t="inlineStr">
        <is>
          <t>JB-CHW pumps-AI01</t>
        </is>
      </c>
      <c r="H5645" s="12" t="inlineStr">
        <is>
          <t>CHW pumps</t>
        </is>
      </c>
      <c r="I5645" s="12" t="inlineStr">
        <is>
          <t>Instrumentation</t>
        </is>
      </c>
      <c r="J5645" s="12" t="inlineStr">
        <is>
          <t>Instrumentation PLTC / TC-ER 300 V, #18 twisted shielded pairs, overall shield</t>
        </is>
      </c>
      <c r="K5645" s="12" t="inlineStr">
        <is>
          <t>PLTC|1 pr|16</t>
        </is>
      </c>
      <c r="L5645" s="12" t="inlineStr">
        <is>
          <t>1 pr</t>
        </is>
      </c>
      <c r="M5645" s="12" t="inlineStr">
        <is>
          <t>16</t>
        </is>
      </c>
      <c r="N5645" s="12" t="n">
        <v>12</v>
      </c>
      <c r="O5645" s="12" t="n">
        <v>1</v>
      </c>
      <c r="P5645" s="12" t="n"/>
      <c r="Q5645" s="12" t="n"/>
      <c r="R5645" s="12" t="n"/>
      <c r="S5645" s="12" t="inlineStr">
        <is>
          <t>Tray / conduit</t>
        </is>
      </c>
      <c r="T5645" s="15" t="n">
        <v>92</v>
      </c>
      <c r="U5645" s="15" t="n">
        <v>10</v>
      </c>
      <c r="V5645" s="15">
        <f>ROUNDUP((T5645+U5645+2*'Read Me'!$B$13)*(1+'Read Me'!$B$12),-1)</f>
        <v/>
      </c>
      <c r="W5645" s="15">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J-I-0002</t>
        </is>
      </c>
      <c r="B5646" s="12" t="inlineStr">
        <is>
          <t>J</t>
        </is>
      </c>
      <c r="C5646" s="12" t="inlineStr">
        <is>
          <t>GT inlet chilling</t>
        </is>
      </c>
      <c r="D5646" s="12" t="inlineStr">
        <is>
          <t>Home run JB-CHW pumps-AI01 to the control / marshalling room</t>
        </is>
      </c>
      <c r="E5646" s="12" t="inlineStr"/>
      <c r="F5646" s="12" t="inlineStr">
        <is>
          <t>Inlet-chilling e-house / transformer</t>
        </is>
      </c>
      <c r="G5646" s="12" t="inlineStr">
        <is>
          <t>JB-CHW pumps-AI01</t>
        </is>
      </c>
      <c r="H5646" s="12" t="inlineStr">
        <is>
          <t>CHW pumps</t>
        </is>
      </c>
      <c r="I5646" s="12" t="inlineStr">
        <is>
          <t>Instrumentation</t>
        </is>
      </c>
      <c r="J5646" s="12" t="inlineStr">
        <is>
          <t>Instrumentation PLTC / TC-ER 300 V, #18 twisted shielded pairs, overall shield</t>
        </is>
      </c>
      <c r="K5646" s="12" t="inlineStr">
        <is>
          <t>PLTC|24 pr|18</t>
        </is>
      </c>
      <c r="L5646" s="12" t="inlineStr">
        <is>
          <t>24 pr</t>
        </is>
      </c>
      <c r="M5646" s="12" t="inlineStr">
        <is>
          <t>18</t>
        </is>
      </c>
      <c r="N5646" s="12" t="n">
        <v>1</v>
      </c>
      <c r="O5646" s="12" t="n">
        <v>1</v>
      </c>
      <c r="P5646" s="12" t="n"/>
      <c r="Q5646" s="12" t="n"/>
      <c r="R5646" s="12" t="n"/>
      <c r="S5646" s="12" t="inlineStr">
        <is>
          <t>Duct bank</t>
        </is>
      </c>
      <c r="T5646" s="15" t="n">
        <v>579</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J-I-0003</t>
        </is>
      </c>
      <c r="B5647" s="12" t="inlineStr">
        <is>
          <t>J</t>
        </is>
      </c>
      <c r="C5647" s="12" t="inlineStr">
        <is>
          <t>GT inlet chilling</t>
        </is>
      </c>
      <c r="D5647" s="12" t="inlineStr">
        <is>
          <t>Discrete device to JB JB-CHW pumps-DI01: 12 x 1 pr (field cables)</t>
        </is>
      </c>
      <c r="E5647" s="12" t="inlineStr"/>
      <c r="F5647" s="12" t="inlineStr">
        <is>
          <t>CHW pumps</t>
        </is>
      </c>
      <c r="G5647" s="12" t="inlineStr">
        <is>
          <t>JB-CHW pumps-DI01</t>
        </is>
      </c>
      <c r="H5647" s="12" t="inlineStr">
        <is>
          <t>CHW pumps</t>
        </is>
      </c>
      <c r="I5647" s="12" t="inlineStr">
        <is>
          <t>Instrumentation</t>
        </is>
      </c>
      <c r="J5647" s="12" t="inlineStr">
        <is>
          <t>Instrumentation PLTC / TC-ER 300 V, #18 twisted shielded pairs, overall shield</t>
        </is>
      </c>
      <c r="K5647" s="12" t="inlineStr">
        <is>
          <t>PLTC|1 pr|16</t>
        </is>
      </c>
      <c r="L5647" s="12" t="inlineStr">
        <is>
          <t>1 pr</t>
        </is>
      </c>
      <c r="M5647" s="12" t="inlineStr">
        <is>
          <t>16</t>
        </is>
      </c>
      <c r="N5647" s="12" t="n">
        <v>12</v>
      </c>
      <c r="O5647" s="12" t="n">
        <v>1</v>
      </c>
      <c r="P5647" s="12" t="n"/>
      <c r="Q5647" s="12" t="n"/>
      <c r="R5647" s="12" t="n"/>
      <c r="S5647" s="12" t="inlineStr">
        <is>
          <t>Tray / conduit</t>
        </is>
      </c>
      <c r="T5647" s="15" t="n">
        <v>92</v>
      </c>
      <c r="U5647" s="15" t="n">
        <v>10</v>
      </c>
      <c r="V5647" s="15">
        <f>ROUNDUP((T5647+U5647+2*'Read Me'!$B$13)*(1+'Read Me'!$B$12),-1)</f>
        <v/>
      </c>
      <c r="W5647" s="15">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J-I-0004</t>
        </is>
      </c>
      <c r="B5648" s="12" t="inlineStr">
        <is>
          <t>J</t>
        </is>
      </c>
      <c r="C5648" s="12" t="inlineStr">
        <is>
          <t>GT inlet chilling</t>
        </is>
      </c>
      <c r="D5648" s="12" t="inlineStr">
        <is>
          <t>Home run JB-CHW pumps-DI01 to the control / marshalling room</t>
        </is>
      </c>
      <c r="E5648" s="12" t="inlineStr"/>
      <c r="F5648" s="12" t="inlineStr">
        <is>
          <t>Inlet-chilling e-house / transformer</t>
        </is>
      </c>
      <c r="G5648" s="12" t="inlineStr">
        <is>
          <t>JB-CHW pumps-DI01</t>
        </is>
      </c>
      <c r="H5648" s="12" t="inlineStr">
        <is>
          <t>CHW pumps</t>
        </is>
      </c>
      <c r="I5648" s="12" t="inlineStr">
        <is>
          <t>Instrumentation</t>
        </is>
      </c>
      <c r="J5648" s="12" t="inlineStr">
        <is>
          <t>Instrumentation PLTC / TC-ER 300 V, #18 twisted shielded pairs, overall shield</t>
        </is>
      </c>
      <c r="K5648" s="12" t="inlineStr">
        <is>
          <t>PLTC|24 pr|18</t>
        </is>
      </c>
      <c r="L5648" s="12" t="inlineStr">
        <is>
          <t>24 pr</t>
        </is>
      </c>
      <c r="M5648" s="12" t="inlineStr">
        <is>
          <t>18</t>
        </is>
      </c>
      <c r="N5648" s="12" t="n">
        <v>1</v>
      </c>
      <c r="O5648" s="12" t="n">
        <v>1</v>
      </c>
      <c r="P5648" s="12" t="n"/>
      <c r="Q5648" s="12" t="n"/>
      <c r="R5648" s="12" t="n"/>
      <c r="S5648" s="12" t="inlineStr">
        <is>
          <t>Duct bank</t>
        </is>
      </c>
      <c r="T5648" s="15" t="n">
        <v>579</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J-I-0005</t>
        </is>
      </c>
      <c r="B5649" s="12" t="inlineStr">
        <is>
          <t>J</t>
        </is>
      </c>
      <c r="C5649" s="12" t="inlineStr">
        <is>
          <t>GT inlet chilling</t>
        </is>
      </c>
      <c r="D5649" s="12" t="inlineStr">
        <is>
          <t>Analog instrument to JB JB-CONDITIONAL: TES c-AI01: 4 x 1 pr (field cables)</t>
        </is>
      </c>
      <c r="E5649" s="12" t="inlineStr"/>
      <c r="F5649" s="12" t="inlineStr">
        <is>
          <t>CONDITIONAL: TES chilled-water tank</t>
        </is>
      </c>
      <c r="G5649" s="12" t="inlineStr">
        <is>
          <t>JB-CONDITIONAL: TES c-AI01</t>
        </is>
      </c>
      <c r="H5649" s="12" t="inlineStr">
        <is>
          <t>CONDITIONAL: TES chilled-water tank</t>
        </is>
      </c>
      <c r="I5649" s="12" t="inlineStr">
        <is>
          <t>Instrumentation</t>
        </is>
      </c>
      <c r="J5649" s="12" t="inlineStr">
        <is>
          <t>Instrumentation PLTC / TC-ER 300 V, #18 twisted shielded pairs, overall shield</t>
        </is>
      </c>
      <c r="K5649" s="12" t="inlineStr">
        <is>
          <t>PLTC|1 pr|16</t>
        </is>
      </c>
      <c r="L5649" s="12" t="inlineStr">
        <is>
          <t>1 pr</t>
        </is>
      </c>
      <c r="M5649" s="12" t="inlineStr">
        <is>
          <t>16</t>
        </is>
      </c>
      <c r="N5649" s="12" t="n">
        <v>4</v>
      </c>
      <c r="O5649" s="12" t="n">
        <v>1</v>
      </c>
      <c r="P5649" s="12" t="n"/>
      <c r="Q5649" s="12" t="n"/>
      <c r="R5649" s="12" t="n"/>
      <c r="S5649" s="12" t="inlineStr">
        <is>
          <t>Tray / conduit</t>
        </is>
      </c>
      <c r="T5649" s="15" t="n">
        <v>91</v>
      </c>
      <c r="U5649" s="15" t="n">
        <v>10</v>
      </c>
      <c r="V5649" s="15">
        <f>ROUNDUP((T5649+U5649+2*'Read Me'!$B$13)*(1+'Read Me'!$B$12),-1)</f>
        <v/>
      </c>
      <c r="W5649" s="15">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J-I-0006</t>
        </is>
      </c>
      <c r="B5650" s="12" t="inlineStr">
        <is>
          <t>J</t>
        </is>
      </c>
      <c r="C5650" s="12" t="inlineStr">
        <is>
          <t>GT inlet chilling</t>
        </is>
      </c>
      <c r="D5650" s="12" t="inlineStr">
        <is>
          <t>Home run JB-CONDITIONAL: TES c-AI01 to the control / marshalling room</t>
        </is>
      </c>
      <c r="E5650" s="12" t="inlineStr"/>
      <c r="F5650" s="12" t="inlineStr">
        <is>
          <t>Inlet-chilling e-house / transformer</t>
        </is>
      </c>
      <c r="G5650" s="12" t="inlineStr">
        <is>
          <t>JB-CONDITIONAL: TES c-AI01</t>
        </is>
      </c>
      <c r="H5650" s="12" t="inlineStr">
        <is>
          <t>CONDITIONAL: TES chilled-water tank</t>
        </is>
      </c>
      <c r="I5650" s="12" t="inlineStr">
        <is>
          <t>Instrumentation</t>
        </is>
      </c>
      <c r="J5650" s="12" t="inlineStr">
        <is>
          <t>Instrumentation PLTC / TC-ER 300 V, #18 twisted shielded pairs, overall shield</t>
        </is>
      </c>
      <c r="K5650" s="12" t="inlineStr">
        <is>
          <t>PLTC|24 pr|18</t>
        </is>
      </c>
      <c r="L5650" s="12" t="inlineStr">
        <is>
          <t>24 pr</t>
        </is>
      </c>
      <c r="M5650" s="12" t="inlineStr">
        <is>
          <t>18</t>
        </is>
      </c>
      <c r="N5650" s="12" t="n">
        <v>1</v>
      </c>
      <c r="O5650" s="12" t="n">
        <v>1</v>
      </c>
      <c r="P5650" s="12" t="n"/>
      <c r="Q5650" s="12" t="n"/>
      <c r="R5650" s="12" t="n"/>
      <c r="S5650" s="12" t="inlineStr">
        <is>
          <t>Duct bank</t>
        </is>
      </c>
      <c r="T5650" s="15" t="n">
        <v>271</v>
      </c>
      <c r="U5650" s="15" t="n">
        <v>217</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J-I-0007</t>
        </is>
      </c>
      <c r="B5651" s="12" t="inlineStr">
        <is>
          <t>J</t>
        </is>
      </c>
      <c r="C5651" s="12" t="inlineStr">
        <is>
          <t>GT inlet chilling</t>
        </is>
      </c>
      <c r="D5651" s="12" t="inlineStr">
        <is>
          <t>Discrete device to JB JB-CONDITIONAL: TES c-DI01: 4 x 1 pr (field cables)</t>
        </is>
      </c>
      <c r="E5651" s="12" t="inlineStr"/>
      <c r="F5651" s="12" t="inlineStr">
        <is>
          <t>CONDITIONAL: TES chilled-water tank</t>
        </is>
      </c>
      <c r="G5651" s="12" t="inlineStr">
        <is>
          <t>JB-CONDITIONAL: TES c-DI01</t>
        </is>
      </c>
      <c r="H5651" s="12" t="inlineStr">
        <is>
          <t>CONDITIONAL: TES chilled-water tank</t>
        </is>
      </c>
      <c r="I5651" s="12" t="inlineStr">
        <is>
          <t>Instrumentation</t>
        </is>
      </c>
      <c r="J5651" s="12" t="inlineStr">
        <is>
          <t>Instrumentation PLTC / TC-ER 300 V, #18 twisted shielded pairs, overall shield</t>
        </is>
      </c>
      <c r="K5651" s="12" t="inlineStr">
        <is>
          <t>PLTC|1 pr|16</t>
        </is>
      </c>
      <c r="L5651" s="12" t="inlineStr">
        <is>
          <t>1 pr</t>
        </is>
      </c>
      <c r="M5651" s="12" t="inlineStr">
        <is>
          <t>16</t>
        </is>
      </c>
      <c r="N5651" s="12" t="n">
        <v>4</v>
      </c>
      <c r="O5651" s="12" t="n">
        <v>1</v>
      </c>
      <c r="P5651" s="12" t="n"/>
      <c r="Q5651" s="12" t="n"/>
      <c r="R5651" s="12" t="n"/>
      <c r="S5651" s="12" t="inlineStr">
        <is>
          <t>Tray / conduit</t>
        </is>
      </c>
      <c r="T5651" s="15" t="n">
        <v>91</v>
      </c>
      <c r="U5651" s="15" t="n">
        <v>10</v>
      </c>
      <c r="V5651" s="15">
        <f>ROUNDUP((T5651+U5651+2*'Read Me'!$B$13)*(1+'Read Me'!$B$12),-1)</f>
        <v/>
      </c>
      <c r="W5651" s="15">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J-I-0008</t>
        </is>
      </c>
      <c r="B5652" s="12" t="inlineStr">
        <is>
          <t>J</t>
        </is>
      </c>
      <c r="C5652" s="12" t="inlineStr">
        <is>
          <t>GT inlet chilling</t>
        </is>
      </c>
      <c r="D5652" s="12" t="inlineStr">
        <is>
          <t>Home run JB-CONDITIONAL: TES c-DI01 to the control / marshalling room</t>
        </is>
      </c>
      <c r="E5652" s="12" t="inlineStr"/>
      <c r="F5652" s="12" t="inlineStr">
        <is>
          <t>Inlet-chilling e-house / transformer</t>
        </is>
      </c>
      <c r="G5652" s="12" t="inlineStr">
        <is>
          <t>JB-CONDITIONAL: TES c-DI01</t>
        </is>
      </c>
      <c r="H5652" s="12" t="inlineStr">
        <is>
          <t>CONDITIONAL: TES chilled-water tank</t>
        </is>
      </c>
      <c r="I5652" s="12" t="inlineStr">
        <is>
          <t>Instrumentation</t>
        </is>
      </c>
      <c r="J5652" s="12" t="inlineStr">
        <is>
          <t>Instrumentation PLTC / TC-ER 300 V, #18 twisted shielded pairs, overall shield</t>
        </is>
      </c>
      <c r="K5652" s="12" t="inlineStr">
        <is>
          <t>PLTC|24 pr|18</t>
        </is>
      </c>
      <c r="L5652" s="12" t="inlineStr">
        <is>
          <t>24 pr</t>
        </is>
      </c>
      <c r="M5652" s="12" t="inlineStr">
        <is>
          <t>18</t>
        </is>
      </c>
      <c r="N5652" s="12" t="n">
        <v>1</v>
      </c>
      <c r="O5652" s="12" t="n">
        <v>1</v>
      </c>
      <c r="P5652" s="12" t="n"/>
      <c r="Q5652" s="12" t="n"/>
      <c r="R5652" s="12" t="n"/>
      <c r="S5652" s="12" t="inlineStr">
        <is>
          <t>Duct bank</t>
        </is>
      </c>
      <c r="T5652" s="15" t="n">
        <v>271</v>
      </c>
      <c r="U5652" s="15" t="n">
        <v>217</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J-I-0009</t>
        </is>
      </c>
      <c r="B5653" s="12" t="inlineStr">
        <is>
          <t>J</t>
        </is>
      </c>
      <c r="C5653" s="12" t="inlineStr">
        <is>
          <t>GT inlet chilling</t>
        </is>
      </c>
      <c r="D5653" s="12" t="inlineStr">
        <is>
          <t>Analog instrument to JB JB-CW pumps (inlet ch-AI01: 20 x 1 pr (field cables)</t>
        </is>
      </c>
      <c r="E5653" s="12" t="inlineStr"/>
      <c r="F5653" s="12" t="inlineStr">
        <is>
          <t>CW pumps (inlet chilling)</t>
        </is>
      </c>
      <c r="G5653" s="12" t="inlineStr">
        <is>
          <t>JB-CW pumps (inlet ch-AI01</t>
        </is>
      </c>
      <c r="H5653" s="12" t="inlineStr">
        <is>
          <t>CW pumps (inlet chilling)</t>
        </is>
      </c>
      <c r="I5653" s="12" t="inlineStr">
        <is>
          <t>Instrumentation</t>
        </is>
      </c>
      <c r="J5653" s="12" t="inlineStr">
        <is>
          <t>Instrumentation PLTC / TC-ER 300 V, #18 twisted shielded pairs, overall shield</t>
        </is>
      </c>
      <c r="K5653" s="12" t="inlineStr">
        <is>
          <t>PLTC|1 pr|16</t>
        </is>
      </c>
      <c r="L5653" s="12" t="inlineStr">
        <is>
          <t>1 pr</t>
        </is>
      </c>
      <c r="M5653" s="12" t="inlineStr">
        <is>
          <t>16</t>
        </is>
      </c>
      <c r="N5653" s="12" t="n">
        <v>20</v>
      </c>
      <c r="O5653" s="12" t="n">
        <v>1</v>
      </c>
      <c r="P5653" s="12" t="n"/>
      <c r="Q5653" s="12" t="n"/>
      <c r="R5653" s="12" t="n"/>
      <c r="S5653" s="12" t="inlineStr">
        <is>
          <t>Tray / conduit</t>
        </is>
      </c>
      <c r="T5653" s="15" t="n">
        <v>92</v>
      </c>
      <c r="U5653" s="15" t="n">
        <v>10</v>
      </c>
      <c r="V5653" s="15">
        <f>ROUNDUP((T5653+U5653+2*'Read Me'!$B$13)*(1+'Read Me'!$B$12),-1)</f>
        <v/>
      </c>
      <c r="W5653" s="15">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J-I-0010</t>
        </is>
      </c>
      <c r="B5654" s="12" t="inlineStr">
        <is>
          <t>J</t>
        </is>
      </c>
      <c r="C5654" s="12" t="inlineStr">
        <is>
          <t>GT inlet chilling</t>
        </is>
      </c>
      <c r="D5654" s="12" t="inlineStr">
        <is>
          <t>Home run JB-CW pumps (inlet ch-AI01 to the control / marshalling room</t>
        </is>
      </c>
      <c r="E5654" s="12" t="inlineStr"/>
      <c r="F5654" s="12" t="inlineStr">
        <is>
          <t>Inlet-chilling e-house / transformer</t>
        </is>
      </c>
      <c r="G5654" s="12" t="inlineStr">
        <is>
          <t>JB-CW pumps (inlet ch-AI01</t>
        </is>
      </c>
      <c r="H5654" s="12" t="inlineStr">
        <is>
          <t>CW pumps (inlet chilling)</t>
        </is>
      </c>
      <c r="I5654" s="12" t="inlineStr">
        <is>
          <t>Instrumentation</t>
        </is>
      </c>
      <c r="J5654" s="12" t="inlineStr">
        <is>
          <t>Instrumentation PLTC / TC-ER 300 V, #18 twisted shielded pairs, overall shield</t>
        </is>
      </c>
      <c r="K5654" s="12" t="inlineStr">
        <is>
          <t>PLTC|24 pr|18</t>
        </is>
      </c>
      <c r="L5654" s="12" t="inlineStr">
        <is>
          <t>24 pr</t>
        </is>
      </c>
      <c r="M5654" s="12" t="inlineStr">
        <is>
          <t>18</t>
        </is>
      </c>
      <c r="N5654" s="12" t="n">
        <v>1</v>
      </c>
      <c r="O5654" s="12" t="n">
        <v>1</v>
      </c>
      <c r="P5654" s="12" t="n"/>
      <c r="Q5654" s="12" t="n"/>
      <c r="R5654" s="12" t="n"/>
      <c r="S5654" s="12" t="inlineStr">
        <is>
          <t>Tray</t>
        </is>
      </c>
      <c r="T5654" s="15" t="n">
        <v>0</v>
      </c>
      <c r="U5654" s="15" t="n">
        <v>70</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J-I-0011</t>
        </is>
      </c>
      <c r="B5655" s="12" t="inlineStr">
        <is>
          <t>J</t>
        </is>
      </c>
      <c r="C5655" s="12" t="inlineStr">
        <is>
          <t>GT inlet chilling</t>
        </is>
      </c>
      <c r="D5655" s="12" t="inlineStr">
        <is>
          <t>Analog instrument to JB JB-CW pumps (inlet ch-AI02: 4 x 1 pr (field cables)</t>
        </is>
      </c>
      <c r="E5655" s="12" t="inlineStr"/>
      <c r="F5655" s="12" t="inlineStr">
        <is>
          <t>CW pumps (inlet chilling)</t>
        </is>
      </c>
      <c r="G5655" s="12" t="inlineStr">
        <is>
          <t>JB-CW pumps (inlet ch-AI02</t>
        </is>
      </c>
      <c r="H5655" s="12" t="inlineStr">
        <is>
          <t>CW pumps (inlet chilling)</t>
        </is>
      </c>
      <c r="I5655" s="12" t="inlineStr">
        <is>
          <t>Instrumentation</t>
        </is>
      </c>
      <c r="J5655" s="12" t="inlineStr">
        <is>
          <t>Instrumentation PLTC / TC-ER 300 V, #18 twisted shielded pairs, overall shield</t>
        </is>
      </c>
      <c r="K5655" s="12" t="inlineStr">
        <is>
          <t>PLTC|1 pr|16</t>
        </is>
      </c>
      <c r="L5655" s="12" t="inlineStr">
        <is>
          <t>1 pr</t>
        </is>
      </c>
      <c r="M5655" s="12" t="inlineStr">
        <is>
          <t>16</t>
        </is>
      </c>
      <c r="N5655" s="12" t="n">
        <v>4</v>
      </c>
      <c r="O5655" s="12" t="n">
        <v>1</v>
      </c>
      <c r="P5655" s="12" t="n"/>
      <c r="Q5655" s="12" t="n"/>
      <c r="R5655" s="12" t="n"/>
      <c r="S5655" s="12" t="inlineStr">
        <is>
          <t>Tray / conduit</t>
        </is>
      </c>
      <c r="T5655" s="15" t="n">
        <v>92</v>
      </c>
      <c r="U5655" s="15" t="n">
        <v>10</v>
      </c>
      <c r="V5655" s="15">
        <f>ROUNDUP((T5655+U5655+2*'Read Me'!$B$13)*(1+'Read Me'!$B$12),-1)</f>
        <v/>
      </c>
      <c r="W5655" s="15">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J-I-0012</t>
        </is>
      </c>
      <c r="B5656" s="12" t="inlineStr">
        <is>
          <t>J</t>
        </is>
      </c>
      <c r="C5656" s="12" t="inlineStr">
        <is>
          <t>GT inlet chilling</t>
        </is>
      </c>
      <c r="D5656" s="12" t="inlineStr">
        <is>
          <t>Home run JB-CW pumps (inlet ch-AI02 to the control / marshalling room</t>
        </is>
      </c>
      <c r="E5656" s="12" t="inlineStr"/>
      <c r="F5656" s="12" t="inlineStr">
        <is>
          <t>Inlet-chilling e-house / transformer</t>
        </is>
      </c>
      <c r="G5656" s="12" t="inlineStr">
        <is>
          <t>JB-CW pumps (inlet ch-AI02</t>
        </is>
      </c>
      <c r="H5656" s="12" t="inlineStr">
        <is>
          <t>CW pumps (inlet chilling)</t>
        </is>
      </c>
      <c r="I5656" s="12" t="inlineStr">
        <is>
          <t>Instrumentation</t>
        </is>
      </c>
      <c r="J5656" s="12" t="inlineStr">
        <is>
          <t>Instrumentation PLTC / TC-ER 300 V, #18 twisted shielded pairs, overall shield</t>
        </is>
      </c>
      <c r="K5656" s="12" t="inlineStr">
        <is>
          <t>PLTC|24 pr|18</t>
        </is>
      </c>
      <c r="L5656" s="12" t="inlineStr">
        <is>
          <t>24 pr</t>
        </is>
      </c>
      <c r="M5656" s="12" t="inlineStr">
        <is>
          <t>18</t>
        </is>
      </c>
      <c r="N5656" s="12" t="n">
        <v>1</v>
      </c>
      <c r="O5656" s="12" t="n">
        <v>1</v>
      </c>
      <c r="P5656" s="12" t="n"/>
      <c r="Q5656" s="12" t="n"/>
      <c r="R5656" s="12" t="n"/>
      <c r="S5656" s="12" t="inlineStr">
        <is>
          <t>Tray</t>
        </is>
      </c>
      <c r="T5656" s="15" t="n">
        <v>0</v>
      </c>
      <c r="U5656" s="15" t="n">
        <v>70</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J-I-0013</t>
        </is>
      </c>
      <c r="B5657" s="12" t="inlineStr">
        <is>
          <t>J</t>
        </is>
      </c>
      <c r="C5657" s="12" t="inlineStr">
        <is>
          <t>GT inlet chilling</t>
        </is>
      </c>
      <c r="D5657" s="12" t="inlineStr">
        <is>
          <t>Discrete device to JB JB-CW pumps (inlet ch-DI01: 20 x 1 pr (field cables)</t>
        </is>
      </c>
      <c r="E5657" s="12" t="inlineStr"/>
      <c r="F5657" s="12" t="inlineStr">
        <is>
          <t>CW pumps (inlet chilling)</t>
        </is>
      </c>
      <c r="G5657" s="12" t="inlineStr">
        <is>
          <t>JB-CW pumps (inlet ch-DI01</t>
        </is>
      </c>
      <c r="H5657" s="12" t="inlineStr">
        <is>
          <t>CW pumps (inlet chilling)</t>
        </is>
      </c>
      <c r="I5657" s="12" t="inlineStr">
        <is>
          <t>Instrumentation</t>
        </is>
      </c>
      <c r="J5657" s="12" t="inlineStr">
        <is>
          <t>Instrumentation PLTC / TC-ER 300 V, #18 twisted shielded pairs, overall shield</t>
        </is>
      </c>
      <c r="K5657" s="12" t="inlineStr">
        <is>
          <t>PLTC|1 pr|16</t>
        </is>
      </c>
      <c r="L5657" s="12" t="inlineStr">
        <is>
          <t>1 pr</t>
        </is>
      </c>
      <c r="M5657" s="12" t="inlineStr">
        <is>
          <t>16</t>
        </is>
      </c>
      <c r="N5657" s="12" t="n">
        <v>20</v>
      </c>
      <c r="O5657" s="12" t="n">
        <v>1</v>
      </c>
      <c r="P5657" s="12" t="n"/>
      <c r="Q5657" s="12" t="n"/>
      <c r="R5657" s="12" t="n"/>
      <c r="S5657" s="12" t="inlineStr">
        <is>
          <t>Tray / conduit</t>
        </is>
      </c>
      <c r="T5657" s="15" t="n">
        <v>92</v>
      </c>
      <c r="U5657" s="15" t="n">
        <v>10</v>
      </c>
      <c r="V5657" s="15">
        <f>ROUNDUP((T5657+U5657+2*'Read Me'!$B$13)*(1+'Read Me'!$B$12),-1)</f>
        <v/>
      </c>
      <c r="W5657" s="15">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J-I-0014</t>
        </is>
      </c>
      <c r="B5658" s="12" t="inlineStr">
        <is>
          <t>J</t>
        </is>
      </c>
      <c r="C5658" s="12" t="inlineStr">
        <is>
          <t>GT inlet chilling</t>
        </is>
      </c>
      <c r="D5658" s="12" t="inlineStr">
        <is>
          <t>Home run JB-CW pumps (inlet ch-DI01 to the control / marshalling room</t>
        </is>
      </c>
      <c r="E5658" s="12" t="inlineStr"/>
      <c r="F5658" s="12" t="inlineStr">
        <is>
          <t>Inlet-chilling e-house / transformer</t>
        </is>
      </c>
      <c r="G5658" s="12" t="inlineStr">
        <is>
          <t>JB-CW pumps (inlet ch-DI01</t>
        </is>
      </c>
      <c r="H5658" s="12" t="inlineStr">
        <is>
          <t>CW pumps (inlet chilling)</t>
        </is>
      </c>
      <c r="I5658" s="12" t="inlineStr">
        <is>
          <t>Instrumentation</t>
        </is>
      </c>
      <c r="J5658" s="12" t="inlineStr">
        <is>
          <t>Instrumentation PLTC / TC-ER 300 V, #18 twisted shielded pairs, overall shield</t>
        </is>
      </c>
      <c r="K5658" s="12" t="inlineStr">
        <is>
          <t>PLTC|24 pr|18</t>
        </is>
      </c>
      <c r="L5658" s="12" t="inlineStr">
        <is>
          <t>24 pr</t>
        </is>
      </c>
      <c r="M5658" s="12" t="inlineStr">
        <is>
          <t>18</t>
        </is>
      </c>
      <c r="N5658" s="12" t="n">
        <v>1</v>
      </c>
      <c r="O5658" s="12" t="n">
        <v>1</v>
      </c>
      <c r="P5658" s="12" t="n"/>
      <c r="Q5658" s="12" t="n"/>
      <c r="R5658" s="12" t="n"/>
      <c r="S5658" s="12" t="inlineStr">
        <is>
          <t>Tray</t>
        </is>
      </c>
      <c r="T5658" s="15" t="n">
        <v>0</v>
      </c>
      <c r="U5658" s="15" t="n">
        <v>70</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J-I-0015</t>
        </is>
      </c>
      <c r="B5659" s="12" t="inlineStr">
        <is>
          <t>J</t>
        </is>
      </c>
      <c r="C5659" s="12" t="inlineStr">
        <is>
          <t>GT inlet chilling</t>
        </is>
      </c>
      <c r="D5659" s="12" t="inlineStr">
        <is>
          <t>Discrete device to JB JB-CW pumps (inlet ch-DI02: 4 x 1 pr (field cables)</t>
        </is>
      </c>
      <c r="E5659" s="12" t="inlineStr"/>
      <c r="F5659" s="12" t="inlineStr">
        <is>
          <t>CW pumps (inlet chilling)</t>
        </is>
      </c>
      <c r="G5659" s="12" t="inlineStr">
        <is>
          <t>JB-CW pumps (inlet ch-DI02</t>
        </is>
      </c>
      <c r="H5659" s="12" t="inlineStr">
        <is>
          <t>CW pumps (inlet chilling)</t>
        </is>
      </c>
      <c r="I5659" s="12" t="inlineStr">
        <is>
          <t>Instrumentation</t>
        </is>
      </c>
      <c r="J5659" s="12" t="inlineStr">
        <is>
          <t>Instrumentation PLTC / TC-ER 300 V, #18 twisted shielded pairs, overall shield</t>
        </is>
      </c>
      <c r="K5659" s="12" t="inlineStr">
        <is>
          <t>PLTC|1 pr|16</t>
        </is>
      </c>
      <c r="L5659" s="12" t="inlineStr">
        <is>
          <t>1 pr</t>
        </is>
      </c>
      <c r="M5659" s="12" t="inlineStr">
        <is>
          <t>16</t>
        </is>
      </c>
      <c r="N5659" s="12" t="n">
        <v>4</v>
      </c>
      <c r="O5659" s="12" t="n">
        <v>1</v>
      </c>
      <c r="P5659" s="12" t="n"/>
      <c r="Q5659" s="12" t="n"/>
      <c r="R5659" s="12" t="n"/>
      <c r="S5659" s="12" t="inlineStr">
        <is>
          <t>Tray / conduit</t>
        </is>
      </c>
      <c r="T5659" s="15" t="n">
        <v>92</v>
      </c>
      <c r="U5659" s="15" t="n">
        <v>10</v>
      </c>
      <c r="V5659" s="15">
        <f>ROUNDUP((T5659+U5659+2*'Read Me'!$B$13)*(1+'Read Me'!$B$12),-1)</f>
        <v/>
      </c>
      <c r="W5659" s="15">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J-I-0016</t>
        </is>
      </c>
      <c r="B5660" s="12" t="inlineStr">
        <is>
          <t>J</t>
        </is>
      </c>
      <c r="C5660" s="12" t="inlineStr">
        <is>
          <t>GT inlet chilling</t>
        </is>
      </c>
      <c r="D5660" s="12" t="inlineStr">
        <is>
          <t>Home run JB-CW pumps (inlet ch-DI02 to the control / marshalling room</t>
        </is>
      </c>
      <c r="E5660" s="12" t="inlineStr"/>
      <c r="F5660" s="12" t="inlineStr">
        <is>
          <t>Inlet-chilling e-house / transformer</t>
        </is>
      </c>
      <c r="G5660" s="12" t="inlineStr">
        <is>
          <t>JB-CW pumps (inlet ch-DI02</t>
        </is>
      </c>
      <c r="H5660" s="12" t="inlineStr">
        <is>
          <t>CW pumps (inlet chilling)</t>
        </is>
      </c>
      <c r="I5660" s="12" t="inlineStr">
        <is>
          <t>Instrumentation</t>
        </is>
      </c>
      <c r="J5660" s="12" t="inlineStr">
        <is>
          <t>Instrumentation PLTC / TC-ER 300 V, #18 twisted shielded pairs, overall shield</t>
        </is>
      </c>
      <c r="K5660" s="12" t="inlineStr">
        <is>
          <t>PLTC|24 pr|18</t>
        </is>
      </c>
      <c r="L5660" s="12" t="inlineStr">
        <is>
          <t>24 pr</t>
        </is>
      </c>
      <c r="M5660" s="12" t="inlineStr">
        <is>
          <t>18</t>
        </is>
      </c>
      <c r="N5660" s="12" t="n">
        <v>1</v>
      </c>
      <c r="O5660" s="12" t="n">
        <v>1</v>
      </c>
      <c r="P5660" s="12" t="n"/>
      <c r="Q5660" s="12" t="n"/>
      <c r="R5660" s="12" t="n"/>
      <c r="S5660" s="12" t="inlineStr">
        <is>
          <t>Tray</t>
        </is>
      </c>
      <c r="T5660" s="15" t="n">
        <v>0</v>
      </c>
      <c r="U5660" s="15" t="n">
        <v>70</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J-I-0017</t>
        </is>
      </c>
      <c r="B5661" s="12" t="inlineStr">
        <is>
          <t>J</t>
        </is>
      </c>
      <c r="C5661" s="12" t="inlineStr">
        <is>
          <t>GT inlet chilling</t>
        </is>
      </c>
      <c r="D5661" s="12" t="inlineStr">
        <is>
          <t>Analog instrument to JB JB-Chillers x6 (water-AI01: 20 x 1 pr (field cables)</t>
        </is>
      </c>
      <c r="E5661" s="12" t="inlineStr"/>
      <c r="F5661" s="12" t="inlineStr">
        <is>
          <t>Chillers x6 (water-cooled)</t>
        </is>
      </c>
      <c r="G5661" s="12" t="inlineStr">
        <is>
          <t>JB-Chillers x6 (water-AI01</t>
        </is>
      </c>
      <c r="H5661" s="12" t="inlineStr">
        <is>
          <t>Chillers x6 (water-cooled)</t>
        </is>
      </c>
      <c r="I5661" s="12" t="inlineStr">
        <is>
          <t>Instrumentation</t>
        </is>
      </c>
      <c r="J5661" s="12" t="inlineStr">
        <is>
          <t>Instrumentation PLTC / TC-ER 300 V, #18 twisted shielded pairs, overall shield</t>
        </is>
      </c>
      <c r="K5661" s="12" t="inlineStr">
        <is>
          <t>PLTC|1 pr|16</t>
        </is>
      </c>
      <c r="L5661" s="12" t="inlineStr">
        <is>
          <t>1 pr</t>
        </is>
      </c>
      <c r="M5661" s="12" t="inlineStr">
        <is>
          <t>16</t>
        </is>
      </c>
      <c r="N5661" s="12" t="n">
        <v>20</v>
      </c>
      <c r="O5661" s="12" t="n">
        <v>1</v>
      </c>
      <c r="P5661" s="12" t="n"/>
      <c r="Q5661" s="12" t="n"/>
      <c r="R5661" s="12" t="n"/>
      <c r="S5661" s="12" t="inlineStr">
        <is>
          <t>Tray / conduit</t>
        </is>
      </c>
      <c r="T5661" s="15" t="n">
        <v>190</v>
      </c>
      <c r="U5661" s="15" t="n">
        <v>10</v>
      </c>
      <c r="V5661" s="15">
        <f>ROUNDUP((T5661+U5661+2*'Read Me'!$B$13)*(1+'Read Me'!$B$12),-1)</f>
        <v/>
      </c>
      <c r="W5661" s="15">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J-I-0018</t>
        </is>
      </c>
      <c r="B5662" s="12" t="inlineStr">
        <is>
          <t>J</t>
        </is>
      </c>
      <c r="C5662" s="12" t="inlineStr">
        <is>
          <t>GT inlet chilling</t>
        </is>
      </c>
      <c r="D5662" s="12" t="inlineStr">
        <is>
          <t>Home run JB-Chillers x6 (water-AI01 to the control / marshalling room</t>
        </is>
      </c>
      <c r="E5662" s="12" t="inlineStr"/>
      <c r="F5662" s="12" t="inlineStr">
        <is>
          <t>Inlet-chilling e-house / transformer</t>
        </is>
      </c>
      <c r="G5662" s="12" t="inlineStr">
        <is>
          <t>JB-Chillers x6 (water-AI01</t>
        </is>
      </c>
      <c r="H5662" s="12" t="inlineStr">
        <is>
          <t>Chillers x6 (water-cooled)</t>
        </is>
      </c>
      <c r="I5662" s="12" t="inlineStr">
        <is>
          <t>Instrumentation</t>
        </is>
      </c>
      <c r="J5662" s="12" t="inlineStr">
        <is>
          <t>Instrumentation PLTC / TC-ER 300 V, #18 twisted shielded pairs, overall shield</t>
        </is>
      </c>
      <c r="K5662" s="12" t="inlineStr">
        <is>
          <t>PLTC|24 pr|18</t>
        </is>
      </c>
      <c r="L5662" s="12" t="inlineStr">
        <is>
          <t>24 pr</t>
        </is>
      </c>
      <c r="M5662" s="12" t="inlineStr">
        <is>
          <t>18</t>
        </is>
      </c>
      <c r="N5662" s="12" t="n">
        <v>1</v>
      </c>
      <c r="O5662" s="12" t="n">
        <v>1</v>
      </c>
      <c r="P5662" s="12" t="n"/>
      <c r="Q5662" s="12" t="n"/>
      <c r="R5662" s="12" t="n"/>
      <c r="S5662" s="12" t="inlineStr">
        <is>
          <t>Duct bank</t>
        </is>
      </c>
      <c r="T5662" s="15" t="n">
        <v>10</v>
      </c>
      <c r="U5662" s="15" t="n">
        <v>32</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J-I-0019</t>
        </is>
      </c>
      <c r="B5663" s="12" t="inlineStr">
        <is>
          <t>J</t>
        </is>
      </c>
      <c r="C5663" s="12" t="inlineStr">
        <is>
          <t>GT inlet chilling</t>
        </is>
      </c>
      <c r="D5663" s="12" t="inlineStr">
        <is>
          <t>Analog instrument to JB JB-Chillers x6 (water-AI02: 20 x 1 pr (field cables)</t>
        </is>
      </c>
      <c r="E5663" s="12" t="inlineStr"/>
      <c r="F5663" s="12" t="inlineStr">
        <is>
          <t>Chillers x6 (water-cooled)</t>
        </is>
      </c>
      <c r="G5663" s="12" t="inlineStr">
        <is>
          <t>JB-Chillers x6 (water-AI02</t>
        </is>
      </c>
      <c r="H5663" s="12" t="inlineStr">
        <is>
          <t>Chillers x6 (water-cooled)</t>
        </is>
      </c>
      <c r="I5663" s="12" t="inlineStr">
        <is>
          <t>Instrumentation</t>
        </is>
      </c>
      <c r="J5663" s="12" t="inlineStr">
        <is>
          <t>Instrumentation PLTC / TC-ER 300 V, #18 twisted shielded pairs, overall shield</t>
        </is>
      </c>
      <c r="K5663" s="12" t="inlineStr">
        <is>
          <t>PLTC|1 pr|16</t>
        </is>
      </c>
      <c r="L5663" s="12" t="inlineStr">
        <is>
          <t>1 pr</t>
        </is>
      </c>
      <c r="M5663" s="12" t="inlineStr">
        <is>
          <t>16</t>
        </is>
      </c>
      <c r="N5663" s="12" t="n">
        <v>20</v>
      </c>
      <c r="O5663" s="12" t="n">
        <v>1</v>
      </c>
      <c r="P5663" s="12" t="n"/>
      <c r="Q5663" s="12" t="n"/>
      <c r="R5663" s="12" t="n"/>
      <c r="S5663" s="12" t="inlineStr">
        <is>
          <t>Tray / conduit</t>
        </is>
      </c>
      <c r="T5663" s="15" t="n">
        <v>190</v>
      </c>
      <c r="U5663" s="15" t="n">
        <v>10</v>
      </c>
      <c r="V5663" s="15">
        <f>ROUNDUP((T5663+U5663+2*'Read Me'!$B$13)*(1+'Read Me'!$B$12),-1)</f>
        <v/>
      </c>
      <c r="W5663" s="15">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J-I-0020</t>
        </is>
      </c>
      <c r="B5664" s="12" t="inlineStr">
        <is>
          <t>J</t>
        </is>
      </c>
      <c r="C5664" s="12" t="inlineStr">
        <is>
          <t>GT inlet chilling</t>
        </is>
      </c>
      <c r="D5664" s="12" t="inlineStr">
        <is>
          <t>Home run JB-Chillers x6 (water-AI02 to the control / marshalling room</t>
        </is>
      </c>
      <c r="E5664" s="12" t="inlineStr"/>
      <c r="F5664" s="12" t="inlineStr">
        <is>
          <t>Inlet-chilling e-house / transformer</t>
        </is>
      </c>
      <c r="G5664" s="12" t="inlineStr">
        <is>
          <t>JB-Chillers x6 (water-AI02</t>
        </is>
      </c>
      <c r="H5664" s="12" t="inlineStr">
        <is>
          <t>Chillers x6 (water-cooled)</t>
        </is>
      </c>
      <c r="I5664" s="12" t="inlineStr">
        <is>
          <t>Instrumentation</t>
        </is>
      </c>
      <c r="J5664" s="12" t="inlineStr">
        <is>
          <t>Instrumentation PLTC / TC-ER 300 V, #18 twisted shielded pairs, overall shield</t>
        </is>
      </c>
      <c r="K5664" s="12" t="inlineStr">
        <is>
          <t>PLTC|24 pr|18</t>
        </is>
      </c>
      <c r="L5664" s="12" t="inlineStr">
        <is>
          <t>24 pr</t>
        </is>
      </c>
      <c r="M5664" s="12" t="inlineStr">
        <is>
          <t>18</t>
        </is>
      </c>
      <c r="N5664" s="12" t="n">
        <v>1</v>
      </c>
      <c r="O5664" s="12" t="n">
        <v>1</v>
      </c>
      <c r="P5664" s="12" t="n"/>
      <c r="Q5664" s="12" t="n"/>
      <c r="R5664" s="12" t="n"/>
      <c r="S5664" s="12" t="inlineStr">
        <is>
          <t>Duct bank</t>
        </is>
      </c>
      <c r="T5664" s="15" t="n">
        <v>10</v>
      </c>
      <c r="U5664" s="15" t="n">
        <v>32</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J-I-0021</t>
        </is>
      </c>
      <c r="B5665" s="12" t="inlineStr">
        <is>
          <t>J</t>
        </is>
      </c>
      <c r="C5665" s="12" t="inlineStr">
        <is>
          <t>GT inlet chilling</t>
        </is>
      </c>
      <c r="D5665" s="12" t="inlineStr">
        <is>
          <t>Analog instrument to JB JB-Chillers x6 (water-AI03: 20 x 1 pr (field cables)</t>
        </is>
      </c>
      <c r="E5665" s="12" t="inlineStr"/>
      <c r="F5665" s="12" t="inlineStr">
        <is>
          <t>Chillers x6 (water-cooled)</t>
        </is>
      </c>
      <c r="G5665" s="12" t="inlineStr">
        <is>
          <t>JB-Chillers x6 (water-AI03</t>
        </is>
      </c>
      <c r="H5665" s="12" t="inlineStr">
        <is>
          <t>Chillers x6 (water-cooled)</t>
        </is>
      </c>
      <c r="I5665" s="12" t="inlineStr">
        <is>
          <t>Instrumentation</t>
        </is>
      </c>
      <c r="J5665" s="12" t="inlineStr">
        <is>
          <t>Instrumentation PLTC / TC-ER 300 V, #18 twisted shielded pairs, overall shield</t>
        </is>
      </c>
      <c r="K5665" s="12" t="inlineStr">
        <is>
          <t>PLTC|1 pr|16</t>
        </is>
      </c>
      <c r="L5665" s="12" t="inlineStr">
        <is>
          <t>1 pr</t>
        </is>
      </c>
      <c r="M5665" s="12" t="inlineStr">
        <is>
          <t>16</t>
        </is>
      </c>
      <c r="N5665" s="12" t="n">
        <v>20</v>
      </c>
      <c r="O5665" s="12" t="n">
        <v>1</v>
      </c>
      <c r="P5665" s="12" t="n"/>
      <c r="Q5665" s="12" t="n"/>
      <c r="R5665" s="12" t="n"/>
      <c r="S5665" s="12" t="inlineStr">
        <is>
          <t>Tray / conduit</t>
        </is>
      </c>
      <c r="T5665" s="15" t="n">
        <v>190</v>
      </c>
      <c r="U5665" s="15" t="n">
        <v>10</v>
      </c>
      <c r="V5665" s="15">
        <f>ROUNDUP((T5665+U5665+2*'Read Me'!$B$13)*(1+'Read Me'!$B$12),-1)</f>
        <v/>
      </c>
      <c r="W5665" s="15">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J-I-0022</t>
        </is>
      </c>
      <c r="B5666" s="12" t="inlineStr">
        <is>
          <t>J</t>
        </is>
      </c>
      <c r="C5666" s="12" t="inlineStr">
        <is>
          <t>GT inlet chilling</t>
        </is>
      </c>
      <c r="D5666" s="12" t="inlineStr">
        <is>
          <t>Home run JB-Chillers x6 (water-AI03 to the control / marshalling room</t>
        </is>
      </c>
      <c r="E5666" s="12" t="inlineStr"/>
      <c r="F5666" s="12" t="inlineStr">
        <is>
          <t>Inlet-chilling e-house / transformer</t>
        </is>
      </c>
      <c r="G5666" s="12" t="inlineStr">
        <is>
          <t>JB-Chillers x6 (water-AI03</t>
        </is>
      </c>
      <c r="H5666" s="12" t="inlineStr">
        <is>
          <t>Chillers x6 (water-cooled)</t>
        </is>
      </c>
      <c r="I5666" s="12" t="inlineStr">
        <is>
          <t>Instrumentation</t>
        </is>
      </c>
      <c r="J5666" s="12" t="inlineStr">
        <is>
          <t>Instrumentation PLTC / TC-ER 300 V, #18 twisted shielded pairs, overall shield</t>
        </is>
      </c>
      <c r="K5666" s="12" t="inlineStr">
        <is>
          <t>PLTC|24 pr|18</t>
        </is>
      </c>
      <c r="L5666" s="12" t="inlineStr">
        <is>
          <t>24 pr</t>
        </is>
      </c>
      <c r="M5666" s="12" t="inlineStr">
        <is>
          <t>18</t>
        </is>
      </c>
      <c r="N5666" s="12" t="n">
        <v>1</v>
      </c>
      <c r="O5666" s="12" t="n">
        <v>1</v>
      </c>
      <c r="P5666" s="12" t="n"/>
      <c r="Q5666" s="12" t="n"/>
      <c r="R5666" s="12" t="n"/>
      <c r="S5666" s="12" t="inlineStr">
        <is>
          <t>Duct bank</t>
        </is>
      </c>
      <c r="T5666" s="15" t="n">
        <v>10</v>
      </c>
      <c r="U5666" s="15" t="n">
        <v>32</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J-I-0023</t>
        </is>
      </c>
      <c r="B5667" s="12" t="inlineStr">
        <is>
          <t>J</t>
        </is>
      </c>
      <c r="C5667" s="12" t="inlineStr">
        <is>
          <t>GT inlet chilling</t>
        </is>
      </c>
      <c r="D5667" s="12" t="inlineStr">
        <is>
          <t>Analog instrument to JB JB-Chillers x6 (water-AI04: 20 x 1 pr (field cables)</t>
        </is>
      </c>
      <c r="E5667" s="12" t="inlineStr"/>
      <c r="F5667" s="12" t="inlineStr">
        <is>
          <t>Chillers x6 (water-cooled)</t>
        </is>
      </c>
      <c r="G5667" s="12" t="inlineStr">
        <is>
          <t>JB-Chillers x6 (water-AI04</t>
        </is>
      </c>
      <c r="H5667" s="12" t="inlineStr">
        <is>
          <t>Chillers x6 (water-cooled)</t>
        </is>
      </c>
      <c r="I5667" s="12" t="inlineStr">
        <is>
          <t>Instrumentation</t>
        </is>
      </c>
      <c r="J5667" s="12" t="inlineStr">
        <is>
          <t>Instrumentation PLTC / TC-ER 300 V, #18 twisted shielded pairs, overall shield</t>
        </is>
      </c>
      <c r="K5667" s="12" t="inlineStr">
        <is>
          <t>PLTC|1 pr|16</t>
        </is>
      </c>
      <c r="L5667" s="12" t="inlineStr">
        <is>
          <t>1 pr</t>
        </is>
      </c>
      <c r="M5667" s="12" t="inlineStr">
        <is>
          <t>16</t>
        </is>
      </c>
      <c r="N5667" s="12" t="n">
        <v>20</v>
      </c>
      <c r="O5667" s="12" t="n">
        <v>1</v>
      </c>
      <c r="P5667" s="12" t="n"/>
      <c r="Q5667" s="12" t="n"/>
      <c r="R5667" s="12" t="n"/>
      <c r="S5667" s="12" t="inlineStr">
        <is>
          <t>Tray / conduit</t>
        </is>
      </c>
      <c r="T5667" s="15" t="n">
        <v>190</v>
      </c>
      <c r="U5667" s="15" t="n">
        <v>10</v>
      </c>
      <c r="V5667" s="15">
        <f>ROUNDUP((T5667+U5667+2*'Read Me'!$B$13)*(1+'Read Me'!$B$12),-1)</f>
        <v/>
      </c>
      <c r="W5667" s="15">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J-I-0024</t>
        </is>
      </c>
      <c r="B5668" s="12" t="inlineStr">
        <is>
          <t>J</t>
        </is>
      </c>
      <c r="C5668" s="12" t="inlineStr">
        <is>
          <t>GT inlet chilling</t>
        </is>
      </c>
      <c r="D5668" s="12" t="inlineStr">
        <is>
          <t>Home run JB-Chillers x6 (water-AI04 to the control / marshalling room</t>
        </is>
      </c>
      <c r="E5668" s="12" t="inlineStr"/>
      <c r="F5668" s="12" t="inlineStr">
        <is>
          <t>Inlet-chilling e-house / transformer</t>
        </is>
      </c>
      <c r="G5668" s="12" t="inlineStr">
        <is>
          <t>JB-Chillers x6 (water-AI04</t>
        </is>
      </c>
      <c r="H5668" s="12" t="inlineStr">
        <is>
          <t>Chillers x6 (water-cooled)</t>
        </is>
      </c>
      <c r="I5668" s="12" t="inlineStr">
        <is>
          <t>Instrumentation</t>
        </is>
      </c>
      <c r="J5668" s="12" t="inlineStr">
        <is>
          <t>Instrumentation PLTC / TC-ER 300 V, #18 twisted shielded pairs, overall shield</t>
        </is>
      </c>
      <c r="K5668" s="12" t="inlineStr">
        <is>
          <t>PLTC|24 pr|18</t>
        </is>
      </c>
      <c r="L5668" s="12" t="inlineStr">
        <is>
          <t>24 pr</t>
        </is>
      </c>
      <c r="M5668" s="12" t="inlineStr">
        <is>
          <t>18</t>
        </is>
      </c>
      <c r="N5668" s="12" t="n">
        <v>1</v>
      </c>
      <c r="O5668" s="12" t="n">
        <v>1</v>
      </c>
      <c r="P5668" s="12" t="n"/>
      <c r="Q5668" s="12" t="n"/>
      <c r="R5668" s="12" t="n"/>
      <c r="S5668" s="12" t="inlineStr">
        <is>
          <t>Duct bank</t>
        </is>
      </c>
      <c r="T5668" s="15" t="n">
        <v>10</v>
      </c>
      <c r="U5668" s="15" t="n">
        <v>32</v>
      </c>
      <c r="V5668" s="15">
        <f>ROUNDUP((T5668+U5668+2*'Read Me'!$B$13)*(1+'Read Me'!$B$12),-1)</f>
        <v/>
      </c>
      <c r="W5668" s="15">
        <f>V5668*N5668*O5668</f>
        <v/>
      </c>
      <c r="X5668" s="12">
        <f>IF(LEFT(I5668,2)="MV",2*N5668*IF(L5668="1/C",O5668,1),0)</f>
        <v/>
      </c>
      <c r="Y5668" s="12">
        <f>IF(OR(LEFT(K5668,4)="LVAX",LEFT(K5668,6)="MV15AX",LEFT(K5668,4)="CTAX",LEFT(K5668,2)="W|"),2*N5668*O5668,0)</f>
        <v/>
      </c>
      <c r="Z5668" s="12" t="inlineStr"/>
      <c r="AA5668" s="12">
        <f>N5668*O5668</f>
        <v/>
      </c>
    </row>
    <row r="5669">
      <c r="A5669" s="12" t="inlineStr">
        <is>
          <t>J-I-0025</t>
        </is>
      </c>
      <c r="B5669" s="12" t="inlineStr">
        <is>
          <t>J</t>
        </is>
      </c>
      <c r="C5669" s="12" t="inlineStr">
        <is>
          <t>GT inlet chilling</t>
        </is>
      </c>
      <c r="D5669" s="12" t="inlineStr">
        <is>
          <t>Analog instrument to JB JB-Chillers x6 (water-AI05: 20 x 1 pr (field cables)</t>
        </is>
      </c>
      <c r="E5669" s="12" t="inlineStr"/>
      <c r="F5669" s="12" t="inlineStr">
        <is>
          <t>Chillers x6 (water-cooled)</t>
        </is>
      </c>
      <c r="G5669" s="12" t="inlineStr">
        <is>
          <t>JB-Chillers x6 (water-AI05</t>
        </is>
      </c>
      <c r="H5669" s="12" t="inlineStr">
        <is>
          <t>Chillers x6 (water-cooled)</t>
        </is>
      </c>
      <c r="I5669" s="12" t="inlineStr">
        <is>
          <t>Instrumentation</t>
        </is>
      </c>
      <c r="J5669" s="12" t="inlineStr">
        <is>
          <t>Instrumentation PLTC / TC-ER 300 V, #18 twisted shielded pairs, overall shield</t>
        </is>
      </c>
      <c r="K5669" s="12" t="inlineStr">
        <is>
          <t>PLTC|1 pr|16</t>
        </is>
      </c>
      <c r="L5669" s="12" t="inlineStr">
        <is>
          <t>1 pr</t>
        </is>
      </c>
      <c r="M5669" s="12" t="inlineStr">
        <is>
          <t>16</t>
        </is>
      </c>
      <c r="N5669" s="12" t="n">
        <v>20</v>
      </c>
      <c r="O5669" s="12" t="n">
        <v>1</v>
      </c>
      <c r="P5669" s="12" t="n"/>
      <c r="Q5669" s="12" t="n"/>
      <c r="R5669" s="12" t="n"/>
      <c r="S5669" s="12" t="inlineStr">
        <is>
          <t>Tray / conduit</t>
        </is>
      </c>
      <c r="T5669" s="15" t="n">
        <v>190</v>
      </c>
      <c r="U5669" s="15" t="n">
        <v>10</v>
      </c>
      <c r="V5669" s="15">
        <f>ROUNDUP((T5669+U5669+2*'Read Me'!$B$13)*(1+'Read Me'!$B$12),-1)</f>
        <v/>
      </c>
      <c r="W5669" s="15">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J-I-0026</t>
        </is>
      </c>
      <c r="B5670" s="12" t="inlineStr">
        <is>
          <t>J</t>
        </is>
      </c>
      <c r="C5670" s="12" t="inlineStr">
        <is>
          <t>GT inlet chilling</t>
        </is>
      </c>
      <c r="D5670" s="12" t="inlineStr">
        <is>
          <t>Home run JB-Chillers x6 (water-AI05 to the control / marshalling room</t>
        </is>
      </c>
      <c r="E5670" s="12" t="inlineStr"/>
      <c r="F5670" s="12" t="inlineStr">
        <is>
          <t>Inlet-chilling e-house / transformer</t>
        </is>
      </c>
      <c r="G5670" s="12" t="inlineStr">
        <is>
          <t>JB-Chillers x6 (water-AI05</t>
        </is>
      </c>
      <c r="H5670" s="12" t="inlineStr">
        <is>
          <t>Chillers x6 (water-cooled)</t>
        </is>
      </c>
      <c r="I5670" s="12" t="inlineStr">
        <is>
          <t>Instrumentation</t>
        </is>
      </c>
      <c r="J5670" s="12" t="inlineStr">
        <is>
          <t>Instrumentation PLTC / TC-ER 300 V, #18 twisted shielded pairs, overall shield</t>
        </is>
      </c>
      <c r="K5670" s="12" t="inlineStr">
        <is>
          <t>PLTC|24 pr|18</t>
        </is>
      </c>
      <c r="L5670" s="12" t="inlineStr">
        <is>
          <t>24 pr</t>
        </is>
      </c>
      <c r="M5670" s="12" t="inlineStr">
        <is>
          <t>18</t>
        </is>
      </c>
      <c r="N5670" s="12" t="n">
        <v>1</v>
      </c>
      <c r="O5670" s="12" t="n">
        <v>1</v>
      </c>
      <c r="P5670" s="12" t="n"/>
      <c r="Q5670" s="12" t="n"/>
      <c r="R5670" s="12" t="n"/>
      <c r="S5670" s="12" t="inlineStr">
        <is>
          <t>Duct bank</t>
        </is>
      </c>
      <c r="T5670" s="15" t="n">
        <v>10</v>
      </c>
      <c r="U5670" s="15" t="n">
        <v>32</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J-I-0027</t>
        </is>
      </c>
      <c r="B5671" s="12" t="inlineStr">
        <is>
          <t>J</t>
        </is>
      </c>
      <c r="C5671" s="12" t="inlineStr">
        <is>
          <t>GT inlet chilling</t>
        </is>
      </c>
      <c r="D5671" s="12" t="inlineStr">
        <is>
          <t>Analog instrument to JB JB-Chillers x6 (water-AI06: 20 x 1 pr (field cables)</t>
        </is>
      </c>
      <c r="E5671" s="12" t="inlineStr"/>
      <c r="F5671" s="12" t="inlineStr">
        <is>
          <t>Chillers x6 (water-cooled)</t>
        </is>
      </c>
      <c r="G5671" s="12" t="inlineStr">
        <is>
          <t>JB-Chillers x6 (water-AI06</t>
        </is>
      </c>
      <c r="H5671" s="12" t="inlineStr">
        <is>
          <t>Chillers x6 (water-cooled)</t>
        </is>
      </c>
      <c r="I5671" s="12" t="inlineStr">
        <is>
          <t>Instrumentation</t>
        </is>
      </c>
      <c r="J5671" s="12" t="inlineStr">
        <is>
          <t>Instrumentation PLTC / TC-ER 300 V, #18 twisted shielded pairs, overall shield</t>
        </is>
      </c>
      <c r="K5671" s="12" t="inlineStr">
        <is>
          <t>PLTC|1 pr|16</t>
        </is>
      </c>
      <c r="L5671" s="12" t="inlineStr">
        <is>
          <t>1 pr</t>
        </is>
      </c>
      <c r="M5671" s="12" t="inlineStr">
        <is>
          <t>16</t>
        </is>
      </c>
      <c r="N5671" s="12" t="n">
        <v>20</v>
      </c>
      <c r="O5671" s="12" t="n">
        <v>1</v>
      </c>
      <c r="P5671" s="12" t="n"/>
      <c r="Q5671" s="12" t="n"/>
      <c r="R5671" s="12" t="n"/>
      <c r="S5671" s="12" t="inlineStr">
        <is>
          <t>Tray / conduit</t>
        </is>
      </c>
      <c r="T5671" s="15" t="n">
        <v>190</v>
      </c>
      <c r="U5671" s="15" t="n">
        <v>10</v>
      </c>
      <c r="V5671" s="15">
        <f>ROUNDUP((T5671+U5671+2*'Read Me'!$B$13)*(1+'Read Me'!$B$12),-1)</f>
        <v/>
      </c>
      <c r="W5671" s="15">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J-I-0028</t>
        </is>
      </c>
      <c r="B5672" s="12" t="inlineStr">
        <is>
          <t>J</t>
        </is>
      </c>
      <c r="C5672" s="12" t="inlineStr">
        <is>
          <t>GT inlet chilling</t>
        </is>
      </c>
      <c r="D5672" s="12" t="inlineStr">
        <is>
          <t>Home run JB-Chillers x6 (water-AI06 to the control / marshalling room</t>
        </is>
      </c>
      <c r="E5672" s="12" t="inlineStr"/>
      <c r="F5672" s="12" t="inlineStr">
        <is>
          <t>Inlet-chilling e-house / transformer</t>
        </is>
      </c>
      <c r="G5672" s="12" t="inlineStr">
        <is>
          <t>JB-Chillers x6 (water-AI06</t>
        </is>
      </c>
      <c r="H5672" s="12" t="inlineStr">
        <is>
          <t>Chillers x6 (water-cooled)</t>
        </is>
      </c>
      <c r="I5672" s="12" t="inlineStr">
        <is>
          <t>Instrumentation</t>
        </is>
      </c>
      <c r="J5672" s="12" t="inlineStr">
        <is>
          <t>Instrumentation PLTC / TC-ER 300 V, #18 twisted shielded pairs, overall shield</t>
        </is>
      </c>
      <c r="K5672" s="12" t="inlineStr">
        <is>
          <t>PLTC|24 pr|18</t>
        </is>
      </c>
      <c r="L5672" s="12" t="inlineStr">
        <is>
          <t>24 pr</t>
        </is>
      </c>
      <c r="M5672" s="12" t="inlineStr">
        <is>
          <t>18</t>
        </is>
      </c>
      <c r="N5672" s="12" t="n">
        <v>1</v>
      </c>
      <c r="O5672" s="12" t="n">
        <v>1</v>
      </c>
      <c r="P5672" s="12" t="n"/>
      <c r="Q5672" s="12" t="n"/>
      <c r="R5672" s="12" t="n"/>
      <c r="S5672" s="12" t="inlineStr">
        <is>
          <t>Duct bank</t>
        </is>
      </c>
      <c r="T5672" s="15" t="n">
        <v>10</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J-I-0029</t>
        </is>
      </c>
      <c r="B5673" s="12" t="inlineStr">
        <is>
          <t>J</t>
        </is>
      </c>
      <c r="C5673" s="12" t="inlineStr">
        <is>
          <t>GT inlet chilling</t>
        </is>
      </c>
      <c r="D5673" s="12" t="inlineStr">
        <is>
          <t>Discrete device to JB JB-Chillers x6 (water-DI01: 20 x 1 pr (field cables)</t>
        </is>
      </c>
      <c r="E5673" s="12" t="inlineStr"/>
      <c r="F5673" s="12" t="inlineStr">
        <is>
          <t>Chillers x6 (water-cooled)</t>
        </is>
      </c>
      <c r="G5673" s="12" t="inlineStr">
        <is>
          <t>JB-Chillers x6 (water-DI01</t>
        </is>
      </c>
      <c r="H5673" s="12" t="inlineStr">
        <is>
          <t>Chillers x6 (water-cooled)</t>
        </is>
      </c>
      <c r="I5673" s="12" t="inlineStr">
        <is>
          <t>Instrumentation</t>
        </is>
      </c>
      <c r="J5673" s="12" t="inlineStr">
        <is>
          <t>Instrumentation PLTC / TC-ER 300 V, #18 twisted shielded pairs, overall shield</t>
        </is>
      </c>
      <c r="K5673" s="12" t="inlineStr">
        <is>
          <t>PLTC|1 pr|16</t>
        </is>
      </c>
      <c r="L5673" s="12" t="inlineStr">
        <is>
          <t>1 pr</t>
        </is>
      </c>
      <c r="M5673" s="12" t="inlineStr">
        <is>
          <t>16</t>
        </is>
      </c>
      <c r="N5673" s="12" t="n">
        <v>20</v>
      </c>
      <c r="O5673" s="12" t="n">
        <v>1</v>
      </c>
      <c r="P5673" s="12" t="n"/>
      <c r="Q5673" s="12" t="n"/>
      <c r="R5673" s="12" t="n"/>
      <c r="S5673" s="12" t="inlineStr">
        <is>
          <t>Tray / conduit</t>
        </is>
      </c>
      <c r="T5673" s="15" t="n">
        <v>190</v>
      </c>
      <c r="U5673" s="15" t="n">
        <v>10</v>
      </c>
      <c r="V5673" s="15">
        <f>ROUNDUP((T5673+U5673+2*'Read Me'!$B$13)*(1+'Read Me'!$B$12),-1)</f>
        <v/>
      </c>
      <c r="W5673" s="15">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J-I-0030</t>
        </is>
      </c>
      <c r="B5674" s="12" t="inlineStr">
        <is>
          <t>J</t>
        </is>
      </c>
      <c r="C5674" s="12" t="inlineStr">
        <is>
          <t>GT inlet chilling</t>
        </is>
      </c>
      <c r="D5674" s="12" t="inlineStr">
        <is>
          <t>Home run JB-Chillers x6 (water-DI01 to the control / marshalling room</t>
        </is>
      </c>
      <c r="E5674" s="12" t="inlineStr"/>
      <c r="F5674" s="12" t="inlineStr">
        <is>
          <t>Inlet-chilling e-house / transformer</t>
        </is>
      </c>
      <c r="G5674" s="12" t="inlineStr">
        <is>
          <t>JB-Chillers x6 (water-DI01</t>
        </is>
      </c>
      <c r="H5674" s="12" t="inlineStr">
        <is>
          <t>Chillers x6 (water-cooled)</t>
        </is>
      </c>
      <c r="I5674" s="12" t="inlineStr">
        <is>
          <t>Instrumentation</t>
        </is>
      </c>
      <c r="J5674" s="12" t="inlineStr">
        <is>
          <t>Instrumentation PLTC / TC-ER 300 V, #18 twisted shielded pairs, overall shield</t>
        </is>
      </c>
      <c r="K5674" s="12" t="inlineStr">
        <is>
          <t>PLTC|24 pr|18</t>
        </is>
      </c>
      <c r="L5674" s="12" t="inlineStr">
        <is>
          <t>24 pr</t>
        </is>
      </c>
      <c r="M5674" s="12" t="inlineStr">
        <is>
          <t>18</t>
        </is>
      </c>
      <c r="N5674" s="12" t="n">
        <v>1</v>
      </c>
      <c r="O5674" s="12" t="n">
        <v>1</v>
      </c>
      <c r="P5674" s="12" t="n"/>
      <c r="Q5674" s="12" t="n"/>
      <c r="R5674" s="12" t="n"/>
      <c r="S5674" s="12" t="inlineStr">
        <is>
          <t>Duct bank</t>
        </is>
      </c>
      <c r="T5674" s="15" t="n">
        <v>10</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J-I-0031</t>
        </is>
      </c>
      <c r="B5675" s="12" t="inlineStr">
        <is>
          <t>J</t>
        </is>
      </c>
      <c r="C5675" s="12" t="inlineStr">
        <is>
          <t>GT inlet chilling</t>
        </is>
      </c>
      <c r="D5675" s="12" t="inlineStr">
        <is>
          <t>Discrete device to JB JB-Chillers x6 (water-DI02: 20 x 1 pr (field cables)</t>
        </is>
      </c>
      <c r="E5675" s="12" t="inlineStr"/>
      <c r="F5675" s="12" t="inlineStr">
        <is>
          <t>Chillers x6 (water-cooled)</t>
        </is>
      </c>
      <c r="G5675" s="12" t="inlineStr">
        <is>
          <t>JB-Chillers x6 (water-DI02</t>
        </is>
      </c>
      <c r="H5675" s="12" t="inlineStr">
        <is>
          <t>Chillers x6 (water-cooled)</t>
        </is>
      </c>
      <c r="I5675" s="12" t="inlineStr">
        <is>
          <t>Instrumentation</t>
        </is>
      </c>
      <c r="J5675" s="12" t="inlineStr">
        <is>
          <t>Instrumentation PLTC / TC-ER 300 V, #18 twisted shielded pairs, overall shield</t>
        </is>
      </c>
      <c r="K5675" s="12" t="inlineStr">
        <is>
          <t>PLTC|1 pr|16</t>
        </is>
      </c>
      <c r="L5675" s="12" t="inlineStr">
        <is>
          <t>1 pr</t>
        </is>
      </c>
      <c r="M5675" s="12" t="inlineStr">
        <is>
          <t>16</t>
        </is>
      </c>
      <c r="N5675" s="12" t="n">
        <v>20</v>
      </c>
      <c r="O5675" s="12" t="n">
        <v>1</v>
      </c>
      <c r="P5675" s="12" t="n"/>
      <c r="Q5675" s="12" t="n"/>
      <c r="R5675" s="12" t="n"/>
      <c r="S5675" s="12" t="inlineStr">
        <is>
          <t>Tray / conduit</t>
        </is>
      </c>
      <c r="T5675" s="15" t="n">
        <v>190</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J-I-0032</t>
        </is>
      </c>
      <c r="B5676" s="12" t="inlineStr">
        <is>
          <t>J</t>
        </is>
      </c>
      <c r="C5676" s="12" t="inlineStr">
        <is>
          <t>GT inlet chilling</t>
        </is>
      </c>
      <c r="D5676" s="12" t="inlineStr">
        <is>
          <t>Home run JB-Chillers x6 (water-DI02 to the control / marshalling room</t>
        </is>
      </c>
      <c r="E5676" s="12" t="inlineStr"/>
      <c r="F5676" s="12" t="inlineStr">
        <is>
          <t>Inlet-chilling e-house / transformer</t>
        </is>
      </c>
      <c r="G5676" s="12" t="inlineStr">
        <is>
          <t>JB-Chillers x6 (water-DI02</t>
        </is>
      </c>
      <c r="H5676" s="12" t="inlineStr">
        <is>
          <t>Chillers x6 (water-cooled)</t>
        </is>
      </c>
      <c r="I5676" s="12" t="inlineStr">
        <is>
          <t>Instrumentation</t>
        </is>
      </c>
      <c r="J5676" s="12" t="inlineStr">
        <is>
          <t>Instrumentation PLTC / TC-ER 300 V, #18 twisted shielded pairs, overall shield</t>
        </is>
      </c>
      <c r="K5676" s="12" t="inlineStr">
        <is>
          <t>PLTC|24 pr|18</t>
        </is>
      </c>
      <c r="L5676" s="12" t="inlineStr">
        <is>
          <t>24 pr</t>
        </is>
      </c>
      <c r="M5676" s="12" t="inlineStr">
        <is>
          <t>18</t>
        </is>
      </c>
      <c r="N5676" s="12" t="n">
        <v>1</v>
      </c>
      <c r="O5676" s="12" t="n">
        <v>1</v>
      </c>
      <c r="P5676" s="12" t="n"/>
      <c r="Q5676" s="12" t="n"/>
      <c r="R5676" s="12" t="n"/>
      <c r="S5676" s="12" t="inlineStr">
        <is>
          <t>Duct bank</t>
        </is>
      </c>
      <c r="T5676" s="15" t="n">
        <v>10</v>
      </c>
      <c r="U5676" s="15" t="n">
        <v>32</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J-I-0033</t>
        </is>
      </c>
      <c r="B5677" s="12" t="inlineStr">
        <is>
          <t>J</t>
        </is>
      </c>
      <c r="C5677" s="12" t="inlineStr">
        <is>
          <t>GT inlet chilling</t>
        </is>
      </c>
      <c r="D5677" s="12" t="inlineStr">
        <is>
          <t>Discrete device to JB JB-Chillers x6 (water-DI03: 20 x 1 pr (field cables)</t>
        </is>
      </c>
      <c r="E5677" s="12" t="inlineStr"/>
      <c r="F5677" s="12" t="inlineStr">
        <is>
          <t>Chillers x6 (water-cooled)</t>
        </is>
      </c>
      <c r="G5677" s="12" t="inlineStr">
        <is>
          <t>JB-Chillers x6 (water-DI03</t>
        </is>
      </c>
      <c r="H5677" s="12" t="inlineStr">
        <is>
          <t>Chillers x6 (water-cooled)</t>
        </is>
      </c>
      <c r="I5677" s="12" t="inlineStr">
        <is>
          <t>Instrumentation</t>
        </is>
      </c>
      <c r="J5677" s="12" t="inlineStr">
        <is>
          <t>Instrumentation PLTC / TC-ER 300 V, #18 twisted shielded pairs, overall shield</t>
        </is>
      </c>
      <c r="K5677" s="12" t="inlineStr">
        <is>
          <t>PLTC|1 pr|16</t>
        </is>
      </c>
      <c r="L5677" s="12" t="inlineStr">
        <is>
          <t>1 pr</t>
        </is>
      </c>
      <c r="M5677" s="12" t="inlineStr">
        <is>
          <t>16</t>
        </is>
      </c>
      <c r="N5677" s="12" t="n">
        <v>20</v>
      </c>
      <c r="O5677" s="12" t="n">
        <v>1</v>
      </c>
      <c r="P5677" s="12" t="n"/>
      <c r="Q5677" s="12" t="n"/>
      <c r="R5677" s="12" t="n"/>
      <c r="S5677" s="12" t="inlineStr">
        <is>
          <t>Tray / conduit</t>
        </is>
      </c>
      <c r="T5677" s="15" t="n">
        <v>190</v>
      </c>
      <c r="U5677" s="15" t="n">
        <v>10</v>
      </c>
      <c r="V5677" s="15">
        <f>ROUNDUP((T5677+U5677+2*'Read Me'!$B$13)*(1+'Read Me'!$B$12),-1)</f>
        <v/>
      </c>
      <c r="W5677" s="15">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J-I-0034</t>
        </is>
      </c>
      <c r="B5678" s="12" t="inlineStr">
        <is>
          <t>J</t>
        </is>
      </c>
      <c r="C5678" s="12" t="inlineStr">
        <is>
          <t>GT inlet chilling</t>
        </is>
      </c>
      <c r="D5678" s="12" t="inlineStr">
        <is>
          <t>Home run JB-Chillers x6 (water-DI03 to the control / marshalling room</t>
        </is>
      </c>
      <c r="E5678" s="12" t="inlineStr"/>
      <c r="F5678" s="12" t="inlineStr">
        <is>
          <t>Inlet-chilling e-house / transformer</t>
        </is>
      </c>
      <c r="G5678" s="12" t="inlineStr">
        <is>
          <t>JB-Chillers x6 (water-DI03</t>
        </is>
      </c>
      <c r="H5678" s="12" t="inlineStr">
        <is>
          <t>Chillers x6 (water-cooled)</t>
        </is>
      </c>
      <c r="I5678" s="12" t="inlineStr">
        <is>
          <t>Instrumentation</t>
        </is>
      </c>
      <c r="J5678" s="12" t="inlineStr">
        <is>
          <t>Instrumentation PLTC / TC-ER 300 V, #18 twisted shielded pairs, overall shield</t>
        </is>
      </c>
      <c r="K5678" s="12" t="inlineStr">
        <is>
          <t>PLTC|24 pr|18</t>
        </is>
      </c>
      <c r="L5678" s="12" t="inlineStr">
        <is>
          <t>24 pr</t>
        </is>
      </c>
      <c r="M5678" s="12" t="inlineStr">
        <is>
          <t>18</t>
        </is>
      </c>
      <c r="N5678" s="12" t="n">
        <v>1</v>
      </c>
      <c r="O5678" s="12" t="n">
        <v>1</v>
      </c>
      <c r="P5678" s="12" t="n"/>
      <c r="Q5678" s="12" t="n"/>
      <c r="R5678" s="12" t="n"/>
      <c r="S5678" s="12" t="inlineStr">
        <is>
          <t>Duct bank</t>
        </is>
      </c>
      <c r="T5678" s="15" t="n">
        <v>10</v>
      </c>
      <c r="U5678" s="15" t="n">
        <v>32</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J-I-0035</t>
        </is>
      </c>
      <c r="B5679" s="12" t="inlineStr">
        <is>
          <t>J</t>
        </is>
      </c>
      <c r="C5679" s="12" t="inlineStr">
        <is>
          <t>GT inlet chilling</t>
        </is>
      </c>
      <c r="D5679" s="12" t="inlineStr">
        <is>
          <t>Discrete device to JB JB-Chillers x6 (water-DI04: 20 x 1 pr (field cables)</t>
        </is>
      </c>
      <c r="E5679" s="12" t="inlineStr"/>
      <c r="F5679" s="12" t="inlineStr">
        <is>
          <t>Chillers x6 (water-cooled)</t>
        </is>
      </c>
      <c r="G5679" s="12" t="inlineStr">
        <is>
          <t>JB-Chillers x6 (water-DI04</t>
        </is>
      </c>
      <c r="H5679" s="12" t="inlineStr">
        <is>
          <t>Chillers x6 (water-cooled)</t>
        </is>
      </c>
      <c r="I5679" s="12" t="inlineStr">
        <is>
          <t>Instrumentation</t>
        </is>
      </c>
      <c r="J5679" s="12" t="inlineStr">
        <is>
          <t>Instrumentation PLTC / TC-ER 300 V, #18 twisted shielded pairs, overall shield</t>
        </is>
      </c>
      <c r="K5679" s="12" t="inlineStr">
        <is>
          <t>PLTC|1 pr|16</t>
        </is>
      </c>
      <c r="L5679" s="12" t="inlineStr">
        <is>
          <t>1 pr</t>
        </is>
      </c>
      <c r="M5679" s="12" t="inlineStr">
        <is>
          <t>16</t>
        </is>
      </c>
      <c r="N5679" s="12" t="n">
        <v>20</v>
      </c>
      <c r="O5679" s="12" t="n">
        <v>1</v>
      </c>
      <c r="P5679" s="12" t="n"/>
      <c r="Q5679" s="12" t="n"/>
      <c r="R5679" s="12" t="n"/>
      <c r="S5679" s="12" t="inlineStr">
        <is>
          <t>Tray / conduit</t>
        </is>
      </c>
      <c r="T5679" s="15" t="n">
        <v>190</v>
      </c>
      <c r="U5679" s="15" t="n">
        <v>10</v>
      </c>
      <c r="V5679" s="15">
        <f>ROUNDUP((T5679+U5679+2*'Read Me'!$B$13)*(1+'Read Me'!$B$12),-1)</f>
        <v/>
      </c>
      <c r="W5679" s="15">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J-I-0036</t>
        </is>
      </c>
      <c r="B5680" s="12" t="inlineStr">
        <is>
          <t>J</t>
        </is>
      </c>
      <c r="C5680" s="12" t="inlineStr">
        <is>
          <t>GT inlet chilling</t>
        </is>
      </c>
      <c r="D5680" s="12" t="inlineStr">
        <is>
          <t>Home run JB-Chillers x6 (water-DI04 to the control / marshalling room</t>
        </is>
      </c>
      <c r="E5680" s="12" t="inlineStr"/>
      <c r="F5680" s="12" t="inlineStr">
        <is>
          <t>Inlet-chilling e-house / transformer</t>
        </is>
      </c>
      <c r="G5680" s="12" t="inlineStr">
        <is>
          <t>JB-Chillers x6 (water-DI04</t>
        </is>
      </c>
      <c r="H5680" s="12" t="inlineStr">
        <is>
          <t>Chillers x6 (water-cooled)</t>
        </is>
      </c>
      <c r="I5680" s="12" t="inlineStr">
        <is>
          <t>Instrumentation</t>
        </is>
      </c>
      <c r="J5680" s="12" t="inlineStr">
        <is>
          <t>Instrumentation PLTC / TC-ER 300 V, #18 twisted shielded pairs, overall shield</t>
        </is>
      </c>
      <c r="K5680" s="12" t="inlineStr">
        <is>
          <t>PLTC|24 pr|18</t>
        </is>
      </c>
      <c r="L5680" s="12" t="inlineStr">
        <is>
          <t>24 pr</t>
        </is>
      </c>
      <c r="M5680" s="12" t="inlineStr">
        <is>
          <t>18</t>
        </is>
      </c>
      <c r="N5680" s="12" t="n">
        <v>1</v>
      </c>
      <c r="O5680" s="12" t="n">
        <v>1</v>
      </c>
      <c r="P5680" s="12" t="n"/>
      <c r="Q5680" s="12" t="n"/>
      <c r="R5680" s="12" t="n"/>
      <c r="S5680" s="12" t="inlineStr">
        <is>
          <t>Duct bank</t>
        </is>
      </c>
      <c r="T5680" s="15" t="n">
        <v>10</v>
      </c>
      <c r="U5680" s="15" t="n">
        <v>32</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J-I-0037</t>
        </is>
      </c>
      <c r="B5681" s="12" t="inlineStr">
        <is>
          <t>J</t>
        </is>
      </c>
      <c r="C5681" s="12" t="inlineStr">
        <is>
          <t>GT inlet chilling</t>
        </is>
      </c>
      <c r="D5681" s="12" t="inlineStr">
        <is>
          <t>Discrete device to JB JB-Chillers x6 (water-DI05: 20 x 1 pr (field cables)</t>
        </is>
      </c>
      <c r="E5681" s="12" t="inlineStr"/>
      <c r="F5681" s="12" t="inlineStr">
        <is>
          <t>Chillers x6 (water-cooled)</t>
        </is>
      </c>
      <c r="G5681" s="12" t="inlineStr">
        <is>
          <t>JB-Chillers x6 (water-DI05</t>
        </is>
      </c>
      <c r="H5681" s="12" t="inlineStr">
        <is>
          <t>Chillers x6 (water-cooled)</t>
        </is>
      </c>
      <c r="I5681" s="12" t="inlineStr">
        <is>
          <t>Instrumentation</t>
        </is>
      </c>
      <c r="J5681" s="12" t="inlineStr">
        <is>
          <t>Instrumentation PLTC / TC-ER 300 V, #18 twisted shielded pairs, overall shield</t>
        </is>
      </c>
      <c r="K5681" s="12" t="inlineStr">
        <is>
          <t>PLTC|1 pr|16</t>
        </is>
      </c>
      <c r="L5681" s="12" t="inlineStr">
        <is>
          <t>1 pr</t>
        </is>
      </c>
      <c r="M5681" s="12" t="inlineStr">
        <is>
          <t>16</t>
        </is>
      </c>
      <c r="N5681" s="12" t="n">
        <v>20</v>
      </c>
      <c r="O5681" s="12" t="n">
        <v>1</v>
      </c>
      <c r="P5681" s="12" t="n"/>
      <c r="Q5681" s="12" t="n"/>
      <c r="R5681" s="12" t="n"/>
      <c r="S5681" s="12" t="inlineStr">
        <is>
          <t>Tray / conduit</t>
        </is>
      </c>
      <c r="T5681" s="15" t="n">
        <v>190</v>
      </c>
      <c r="U5681" s="15" t="n">
        <v>10</v>
      </c>
      <c r="V5681" s="15">
        <f>ROUNDUP((T5681+U5681+2*'Read Me'!$B$13)*(1+'Read Me'!$B$12),-1)</f>
        <v/>
      </c>
      <c r="W5681" s="15">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J-I-0038</t>
        </is>
      </c>
      <c r="B5682" s="12" t="inlineStr">
        <is>
          <t>J</t>
        </is>
      </c>
      <c r="C5682" s="12" t="inlineStr">
        <is>
          <t>GT inlet chilling</t>
        </is>
      </c>
      <c r="D5682" s="12" t="inlineStr">
        <is>
          <t>Home run JB-Chillers x6 (water-DI05 to the control / marshalling room</t>
        </is>
      </c>
      <c r="E5682" s="12" t="inlineStr"/>
      <c r="F5682" s="12" t="inlineStr">
        <is>
          <t>Inlet-chilling e-house / transformer</t>
        </is>
      </c>
      <c r="G5682" s="12" t="inlineStr">
        <is>
          <t>JB-Chillers x6 (water-DI05</t>
        </is>
      </c>
      <c r="H5682" s="12" t="inlineStr">
        <is>
          <t>Chillers x6 (water-cooled)</t>
        </is>
      </c>
      <c r="I5682" s="12" t="inlineStr">
        <is>
          <t>Instrumentation</t>
        </is>
      </c>
      <c r="J5682" s="12" t="inlineStr">
        <is>
          <t>Instrumentation PLTC / TC-ER 300 V, #18 twisted shielded pairs, overall shield</t>
        </is>
      </c>
      <c r="K5682" s="12" t="inlineStr">
        <is>
          <t>PLTC|24 pr|18</t>
        </is>
      </c>
      <c r="L5682" s="12" t="inlineStr">
        <is>
          <t>24 pr</t>
        </is>
      </c>
      <c r="M5682" s="12" t="inlineStr">
        <is>
          <t>18</t>
        </is>
      </c>
      <c r="N5682" s="12" t="n">
        <v>1</v>
      </c>
      <c r="O5682" s="12" t="n">
        <v>1</v>
      </c>
      <c r="P5682" s="12" t="n"/>
      <c r="Q5682" s="12" t="n"/>
      <c r="R5682" s="12" t="n"/>
      <c r="S5682" s="12" t="inlineStr">
        <is>
          <t>Duct bank</t>
        </is>
      </c>
      <c r="T5682" s="15" t="n">
        <v>10</v>
      </c>
      <c r="U5682" s="15" t="n">
        <v>32</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J-I-0039</t>
        </is>
      </c>
      <c r="B5683" s="12" t="inlineStr">
        <is>
          <t>J</t>
        </is>
      </c>
      <c r="C5683" s="12" t="inlineStr">
        <is>
          <t>GT inlet chilling</t>
        </is>
      </c>
      <c r="D5683" s="12" t="inlineStr">
        <is>
          <t>Discrete device to JB JB-Chillers x6 (water-DI06: 20 x 1 pr (field cables)</t>
        </is>
      </c>
      <c r="E5683" s="12" t="inlineStr"/>
      <c r="F5683" s="12" t="inlineStr">
        <is>
          <t>Chillers x6 (water-cooled)</t>
        </is>
      </c>
      <c r="G5683" s="12" t="inlineStr">
        <is>
          <t>JB-Chillers x6 (water-DI06</t>
        </is>
      </c>
      <c r="H5683" s="12" t="inlineStr">
        <is>
          <t>Chillers x6 (water-cooled)</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5" t="n">
        <v>190</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J-I-0040</t>
        </is>
      </c>
      <c r="B5684" s="12" t="inlineStr">
        <is>
          <t>J</t>
        </is>
      </c>
      <c r="C5684" s="12" t="inlineStr">
        <is>
          <t>GT inlet chilling</t>
        </is>
      </c>
      <c r="D5684" s="12" t="inlineStr">
        <is>
          <t>Home run JB-Chillers x6 (water-DI06 to the control / marshalling room</t>
        </is>
      </c>
      <c r="E5684" s="12" t="inlineStr"/>
      <c r="F5684" s="12" t="inlineStr">
        <is>
          <t>Inlet-chilling e-house / transformer</t>
        </is>
      </c>
      <c r="G5684" s="12" t="inlineStr">
        <is>
          <t>JB-Chillers x6 (water-DI06</t>
        </is>
      </c>
      <c r="H5684" s="12" t="inlineStr">
        <is>
          <t>Chillers x6 (water-cooled)</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Duct bank</t>
        </is>
      </c>
      <c r="T5684" s="15" t="n">
        <v>10</v>
      </c>
      <c r="U5684" s="15" t="n">
        <v>32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J-I-0041</t>
        </is>
      </c>
      <c r="B5685" s="12" t="inlineStr">
        <is>
          <t>J</t>
        </is>
      </c>
      <c r="C5685" s="12" t="inlineStr">
        <is>
          <t>GT inlet chilling</t>
        </is>
      </c>
      <c r="D5685" s="12" t="inlineStr">
        <is>
          <t>Instrumentation</t>
        </is>
      </c>
      <c r="E5685" s="12" t="inlineStr"/>
      <c r="F5685" s="12" t="inlineStr">
        <is>
          <t>Inlet-chilling e-house / transformer</t>
        </is>
      </c>
      <c r="G5685" s="12" t="inlineStr"/>
      <c r="H5685" s="12" t="inlineStr">
        <is>
          <t>Inlet-chilling e-house / transformer</t>
        </is>
      </c>
      <c r="I5685" s="12" t="inlineStr">
        <is>
          <t>Instrumentation</t>
        </is>
      </c>
      <c r="J5685" s="12" t="inlineStr">
        <is>
          <t>Instrumentation PLTC / TC-ER 300 V, #18 twisted shielded pairs, overall shield</t>
        </is>
      </c>
      <c r="K5685" s="12" t="inlineStr">
        <is>
          <t>PLTC|4 pr|18</t>
        </is>
      </c>
      <c r="L5685" s="12" t="inlineStr">
        <is>
          <t>4 pr</t>
        </is>
      </c>
      <c r="M5685" s="12" t="inlineStr">
        <is>
          <t>18</t>
        </is>
      </c>
      <c r="N5685" s="12" t="n">
        <v>1</v>
      </c>
      <c r="O5685" s="12" t="n">
        <v>1</v>
      </c>
      <c r="P5685" s="12" t="n"/>
      <c r="Q5685" s="12" t="n"/>
      <c r="R5685" s="12" t="n"/>
      <c r="S5685" s="12" t="inlineStr">
        <is>
          <t>Tray</t>
        </is>
      </c>
      <c r="T5685" s="15" t="n">
        <v>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J-I-0042</t>
        </is>
      </c>
      <c r="B5686" s="12" t="inlineStr">
        <is>
          <t>J</t>
        </is>
      </c>
      <c r="C5686" s="12" t="inlineStr">
        <is>
          <t>GT inlet chilling</t>
        </is>
      </c>
      <c r="D5686" s="12" t="inlineStr">
        <is>
          <t>Analog instrument to JB JB-Inlet-chilling tow-AI01: 12 x 1 pr (field cables)</t>
        </is>
      </c>
      <c r="E5686" s="12" t="inlineStr"/>
      <c r="F5686" s="12" t="inlineStr">
        <is>
          <t>Inlet-chilling tower (12 cells): chiller heat rejection</t>
        </is>
      </c>
      <c r="G5686" s="12" t="inlineStr">
        <is>
          <t>JB-Inlet-chilling tow-AI01</t>
        </is>
      </c>
      <c r="H5686" s="12" t="inlineStr">
        <is>
          <t>Inlet-chilling tower (12 cells): chiller heat rejection</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12</v>
      </c>
      <c r="O5686" s="12" t="n">
        <v>1</v>
      </c>
      <c r="P5686" s="12" t="n"/>
      <c r="Q5686" s="12" t="n"/>
      <c r="R5686" s="12" t="n"/>
      <c r="S5686" s="12" t="inlineStr">
        <is>
          <t>Tray / conduit</t>
        </is>
      </c>
      <c r="T5686" s="15" t="n">
        <v>205</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J-I-0043</t>
        </is>
      </c>
      <c r="B5687" s="12" t="inlineStr">
        <is>
          <t>J</t>
        </is>
      </c>
      <c r="C5687" s="12" t="inlineStr">
        <is>
          <t>GT inlet chilling</t>
        </is>
      </c>
      <c r="D5687" s="12" t="inlineStr">
        <is>
          <t>Home run JB-Inlet-chilling tow-AI01 to the control / marshalling room</t>
        </is>
      </c>
      <c r="E5687" s="12" t="inlineStr"/>
      <c r="F5687" s="12" t="inlineStr">
        <is>
          <t>Inlet-chilling e-house / transformer</t>
        </is>
      </c>
      <c r="G5687" s="12" t="inlineStr">
        <is>
          <t>JB-Inlet-chilling tow-AI01</t>
        </is>
      </c>
      <c r="H5687" s="12" t="inlineStr">
        <is>
          <t>Inlet-chilling tower (12 cells): chiller heat rejection</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478</v>
      </c>
      <c r="U5687" s="15" t="n">
        <v>38</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J-I-0044</t>
        </is>
      </c>
      <c r="B5688" s="12" t="inlineStr">
        <is>
          <t>J</t>
        </is>
      </c>
      <c r="C5688" s="12" t="inlineStr">
        <is>
          <t>GT inlet chilling</t>
        </is>
      </c>
      <c r="D5688" s="12" t="inlineStr">
        <is>
          <t>Discrete device to JB JB-Inlet-chilling tow-DI01: 20 x 1 pr (field cables)</t>
        </is>
      </c>
      <c r="E5688" s="12" t="inlineStr"/>
      <c r="F5688" s="12" t="inlineStr">
        <is>
          <t>Inlet-chilling tower (12 cells): chiller heat rejection</t>
        </is>
      </c>
      <c r="G5688" s="12" t="inlineStr">
        <is>
          <t>JB-Inlet-chilling tow-DI01</t>
        </is>
      </c>
      <c r="H5688" s="12" t="inlineStr">
        <is>
          <t>Inlet-chilling tower (12 cells): chiller heat rejection</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205</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J-I-0045</t>
        </is>
      </c>
      <c r="B5689" s="12" t="inlineStr">
        <is>
          <t>J</t>
        </is>
      </c>
      <c r="C5689" s="12" t="inlineStr">
        <is>
          <t>GT inlet chilling</t>
        </is>
      </c>
      <c r="D5689" s="12" t="inlineStr">
        <is>
          <t>Home run JB-Inlet-chilling tow-DI01 to the control / marshalling room</t>
        </is>
      </c>
      <c r="E5689" s="12" t="inlineStr"/>
      <c r="F5689" s="12" t="inlineStr">
        <is>
          <t>Inlet-chilling e-house / transformer</t>
        </is>
      </c>
      <c r="G5689" s="12" t="inlineStr">
        <is>
          <t>JB-Inlet-chilling tow-DI01</t>
        </is>
      </c>
      <c r="H5689" s="12" t="inlineStr">
        <is>
          <t>Inlet-chilling tower (12 cells): chiller heat rejection</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478</v>
      </c>
      <c r="U5689" s="15" t="n">
        <v>38</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J-I-0046</t>
        </is>
      </c>
      <c r="B5690" s="12" t="inlineStr">
        <is>
          <t>J</t>
        </is>
      </c>
      <c r="C5690" s="12" t="inlineStr">
        <is>
          <t>GT inlet chilling</t>
        </is>
      </c>
      <c r="D5690" s="12" t="inlineStr">
        <is>
          <t>Discrete device to JB JB-Inlet-chilling tow-DI02: 4 x 1 pr (field cables)</t>
        </is>
      </c>
      <c r="E5690" s="12" t="inlineStr"/>
      <c r="F5690" s="12" t="inlineStr">
        <is>
          <t>Inlet-chilling tower (12 cells): chiller heat rejection</t>
        </is>
      </c>
      <c r="G5690" s="12" t="inlineStr">
        <is>
          <t>JB-Inlet-chilling tow-DI02</t>
        </is>
      </c>
      <c r="H5690" s="12" t="inlineStr">
        <is>
          <t>Inlet-chilling tower (12 cells): chiller heat rejection</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4</v>
      </c>
      <c r="O5690" s="12" t="n">
        <v>1</v>
      </c>
      <c r="P5690" s="12" t="n"/>
      <c r="Q5690" s="12" t="n"/>
      <c r="R5690" s="12" t="n"/>
      <c r="S5690" s="12" t="inlineStr">
        <is>
          <t>Tray / conduit</t>
        </is>
      </c>
      <c r="T5690" s="15" t="n">
        <v>205</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J-I-0047</t>
        </is>
      </c>
      <c r="B5691" s="12" t="inlineStr">
        <is>
          <t>J</t>
        </is>
      </c>
      <c r="C5691" s="12" t="inlineStr">
        <is>
          <t>GT inlet chilling</t>
        </is>
      </c>
      <c r="D5691" s="12" t="inlineStr">
        <is>
          <t>Home run JB-Inlet-chilling tow-DI02 to the control / marshalling room</t>
        </is>
      </c>
      <c r="E5691" s="12" t="inlineStr"/>
      <c r="F5691" s="12" t="inlineStr">
        <is>
          <t>Inlet-chilling e-house / transformer</t>
        </is>
      </c>
      <c r="G5691" s="12" t="inlineStr">
        <is>
          <t>JB-Inlet-chilling tow-DI02</t>
        </is>
      </c>
      <c r="H5691" s="12" t="inlineStr">
        <is>
          <t>Inlet-chilling tower (12 cells): chiller heat rejection</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478</v>
      </c>
      <c r="U5691" s="15" t="n">
        <v>38</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J-P-0001</t>
        </is>
      </c>
      <c r="B5692" s="12" t="inlineStr">
        <is>
          <t>J</t>
        </is>
      </c>
      <c r="C5692" s="12" t="inlineStr">
        <is>
          <t>GT inlet chilling</t>
        </is>
      </c>
      <c r="D5692" s="12" t="inlineStr">
        <is>
          <t>Motor 1 of 4, 150 kW</t>
        </is>
      </c>
      <c r="E5692" s="12" t="inlineStr"/>
      <c r="F5692" s="12" t="inlineStr">
        <is>
          <t>Inlet-chilling e-house / transformer</t>
        </is>
      </c>
      <c r="G5692" s="12" t="inlineStr"/>
      <c r="H5692" s="12" t="inlineStr">
        <is>
          <t>CHW pumps</t>
        </is>
      </c>
      <c r="I5692" s="12" t="inlineStr">
        <is>
          <t>LV 600 V</t>
        </is>
      </c>
      <c r="J5692" s="12" t="inlineStr">
        <is>
          <t>Type TC-ER 600 V 3/C Cu XHHW-2 + ground, PVC jacket</t>
        </is>
      </c>
      <c r="K5692" s="12" t="inlineStr">
        <is>
          <t>LV|3/C+G|350</t>
        </is>
      </c>
      <c r="L5692" s="12" t="inlineStr">
        <is>
          <t>3/C+G</t>
        </is>
      </c>
      <c r="M5692" s="12" t="inlineStr">
        <is>
          <t>350 kcmil</t>
        </is>
      </c>
      <c r="N5692" s="12" t="n">
        <v>1</v>
      </c>
      <c r="O5692" s="12" t="n">
        <v>1</v>
      </c>
      <c r="P5692" s="12" t="n">
        <v>480</v>
      </c>
      <c r="Q5692" s="12" t="n">
        <v>150</v>
      </c>
      <c r="R5692" s="12" t="n">
        <v>212.3</v>
      </c>
      <c r="S5692" s="12" t="inlineStr">
        <is>
          <t>Duct bank</t>
        </is>
      </c>
      <c r="T5692" s="15" t="n">
        <v>579</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is>
          <t>VD 1.9 %</t>
        </is>
      </c>
      <c r="AA5692" s="12">
        <f>N5692*O5692</f>
        <v/>
      </c>
    </row>
    <row r="5693">
      <c r="A5693" s="12" t="inlineStr">
        <is>
          <t>J-P-0002</t>
        </is>
      </c>
      <c r="B5693" s="12" t="inlineStr">
        <is>
          <t>J</t>
        </is>
      </c>
      <c r="C5693" s="12" t="inlineStr">
        <is>
          <t>GT inlet chilling</t>
        </is>
      </c>
      <c r="D5693" s="12" t="inlineStr">
        <is>
          <t>Motor 2 of 4, 150 kW</t>
        </is>
      </c>
      <c r="E5693" s="12" t="inlineStr"/>
      <c r="F5693" s="12" t="inlineStr">
        <is>
          <t>Inlet-chilling e-house / transformer</t>
        </is>
      </c>
      <c r="G5693" s="12" t="inlineStr"/>
      <c r="H5693" s="12" t="inlineStr">
        <is>
          <t>CHW pumps</t>
        </is>
      </c>
      <c r="I5693" s="12" t="inlineStr">
        <is>
          <t>LV 600 V</t>
        </is>
      </c>
      <c r="J5693" s="12" t="inlineStr">
        <is>
          <t>Type TC-ER 600 V 3/C Cu XHHW-2 + ground, PVC jacket</t>
        </is>
      </c>
      <c r="K5693" s="12" t="inlineStr">
        <is>
          <t>LV|3/C+G|350</t>
        </is>
      </c>
      <c r="L5693" s="12" t="inlineStr">
        <is>
          <t>3/C+G</t>
        </is>
      </c>
      <c r="M5693" s="12" t="inlineStr">
        <is>
          <t>350 kcmil</t>
        </is>
      </c>
      <c r="N5693" s="12" t="n">
        <v>1</v>
      </c>
      <c r="O5693" s="12" t="n">
        <v>1</v>
      </c>
      <c r="P5693" s="12" t="n">
        <v>480</v>
      </c>
      <c r="Q5693" s="12" t="n">
        <v>150</v>
      </c>
      <c r="R5693" s="12" t="n">
        <v>212.3</v>
      </c>
      <c r="S5693" s="12" t="inlineStr">
        <is>
          <t>Duct bank</t>
        </is>
      </c>
      <c r="T5693" s="15" t="n">
        <v>579</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is>
          <t>VD 1.9 %</t>
        </is>
      </c>
      <c r="AA5693" s="12">
        <f>N5693*O5693</f>
        <v/>
      </c>
    </row>
    <row r="5694">
      <c r="A5694" s="12" t="inlineStr">
        <is>
          <t>J-P-0003</t>
        </is>
      </c>
      <c r="B5694" s="12" t="inlineStr">
        <is>
          <t>J</t>
        </is>
      </c>
      <c r="C5694" s="12" t="inlineStr">
        <is>
          <t>GT inlet chilling</t>
        </is>
      </c>
      <c r="D5694" s="12" t="inlineStr">
        <is>
          <t>Motor 3 of 4, 150 kW</t>
        </is>
      </c>
      <c r="E5694" s="12" t="inlineStr"/>
      <c r="F5694" s="12" t="inlineStr">
        <is>
          <t>Inlet-chilling e-house / transformer</t>
        </is>
      </c>
      <c r="G5694" s="12" t="inlineStr"/>
      <c r="H5694" s="12" t="inlineStr">
        <is>
          <t>CHW pumps</t>
        </is>
      </c>
      <c r="I5694" s="12" t="inlineStr">
        <is>
          <t>LV 600 V</t>
        </is>
      </c>
      <c r="J5694" s="12" t="inlineStr">
        <is>
          <t>Type TC-ER 600 V 3/C Cu XHHW-2 + ground, PVC jacket</t>
        </is>
      </c>
      <c r="K5694" s="12" t="inlineStr">
        <is>
          <t>LV|3/C+G|350</t>
        </is>
      </c>
      <c r="L5694" s="12" t="inlineStr">
        <is>
          <t>3/C+G</t>
        </is>
      </c>
      <c r="M5694" s="12" t="inlineStr">
        <is>
          <t>350 kcmil</t>
        </is>
      </c>
      <c r="N5694" s="12" t="n">
        <v>1</v>
      </c>
      <c r="O5694" s="12" t="n">
        <v>1</v>
      </c>
      <c r="P5694" s="12" t="n">
        <v>480</v>
      </c>
      <c r="Q5694" s="12" t="n">
        <v>150</v>
      </c>
      <c r="R5694" s="12" t="n">
        <v>212.3</v>
      </c>
      <c r="S5694" s="12" t="inlineStr">
        <is>
          <t>Duct bank</t>
        </is>
      </c>
      <c r="T5694" s="15" t="n">
        <v>579</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is>
          <t>VD 1.9 %</t>
        </is>
      </c>
      <c r="AA5694" s="12">
        <f>N5694*O5694</f>
        <v/>
      </c>
    </row>
    <row r="5695">
      <c r="A5695" s="12" t="inlineStr">
        <is>
          <t>J-P-0004</t>
        </is>
      </c>
      <c r="B5695" s="12" t="inlineStr">
        <is>
          <t>J</t>
        </is>
      </c>
      <c r="C5695" s="12" t="inlineStr">
        <is>
          <t>GT inlet chilling</t>
        </is>
      </c>
      <c r="D5695" s="12" t="inlineStr">
        <is>
          <t>Motor 4 of 4, 150 kW</t>
        </is>
      </c>
      <c r="E5695" s="12" t="inlineStr"/>
      <c r="F5695" s="12" t="inlineStr">
        <is>
          <t>Inlet-chilling e-house / transformer</t>
        </is>
      </c>
      <c r="G5695" s="12" t="inlineStr"/>
      <c r="H5695" s="12" t="inlineStr">
        <is>
          <t>CHW pumps</t>
        </is>
      </c>
      <c r="I5695" s="12" t="inlineStr">
        <is>
          <t>LV 600 V</t>
        </is>
      </c>
      <c r="J5695" s="12" t="inlineStr">
        <is>
          <t>Type TC-ER 600 V 3/C Cu XHHW-2 + ground, PVC jacket</t>
        </is>
      </c>
      <c r="K5695" s="12" t="inlineStr">
        <is>
          <t>LV|3/C+G|350</t>
        </is>
      </c>
      <c r="L5695" s="12" t="inlineStr">
        <is>
          <t>3/C+G</t>
        </is>
      </c>
      <c r="M5695" s="12" t="inlineStr">
        <is>
          <t>350 kcmil</t>
        </is>
      </c>
      <c r="N5695" s="12" t="n">
        <v>1</v>
      </c>
      <c r="O5695" s="12" t="n">
        <v>1</v>
      </c>
      <c r="P5695" s="12" t="n">
        <v>480</v>
      </c>
      <c r="Q5695" s="12" t="n">
        <v>150</v>
      </c>
      <c r="R5695" s="12" t="n">
        <v>212.3</v>
      </c>
      <c r="S5695" s="12" t="inlineStr">
        <is>
          <t>Duct bank</t>
        </is>
      </c>
      <c r="T5695" s="15" t="n">
        <v>579</v>
      </c>
      <c r="U5695" s="15" t="n">
        <v>32</v>
      </c>
      <c r="V5695" s="15">
        <f>ROUNDUP((T5695+U5695+2*'Read Me'!$B$13)*(1+'Read Me'!$B$12),-1)</f>
        <v/>
      </c>
      <c r="W5695" s="15">
        <f>V5695*N5695*O5695</f>
        <v/>
      </c>
      <c r="X5695" s="12">
        <f>IF(LEFT(I5695,2)="MV",2*N5695*IF(L5695="1/C",O5695,1),0)</f>
        <v/>
      </c>
      <c r="Y5695" s="12">
        <f>IF(OR(LEFT(K5695,4)="LVAX",LEFT(K5695,6)="MV15AX",LEFT(K5695,4)="CTAX",LEFT(K5695,2)="W|"),2*N5695*O5695,0)</f>
        <v/>
      </c>
      <c r="Z5695" s="12" t="inlineStr">
        <is>
          <t>VD 1.9 %</t>
        </is>
      </c>
      <c r="AA5695" s="12">
        <f>N5695*O5695</f>
        <v/>
      </c>
    </row>
    <row r="5696">
      <c r="A5696" s="12" t="inlineStr">
        <is>
          <t>J-P-0005</t>
        </is>
      </c>
      <c r="B5696" s="12" t="inlineStr">
        <is>
          <t>J</t>
        </is>
      </c>
      <c r="C5696" s="12" t="inlineStr">
        <is>
          <t>GT inlet chilling</t>
        </is>
      </c>
      <c r="D5696" s="12" t="inlineStr">
        <is>
          <t>LV power feeder</t>
        </is>
      </c>
      <c r="E5696" s="12" t="inlineStr"/>
      <c r="F5696" s="12" t="inlineStr">
        <is>
          <t>Inlet-chilling e-house / transformer</t>
        </is>
      </c>
      <c r="G5696" s="12" t="inlineStr"/>
      <c r="H5696" s="12" t="inlineStr">
        <is>
          <t>CONDITIONAL: TES chilled-water tank</t>
        </is>
      </c>
      <c r="I5696" s="12" t="inlineStr">
        <is>
          <t>LV 600 V</t>
        </is>
      </c>
      <c r="J5696" s="12" t="inlineStr">
        <is>
          <t>Type TC-ER 600 V 3/C Cu XHHW-2 + ground, PVC jacket</t>
        </is>
      </c>
      <c r="K5696" s="12" t="inlineStr">
        <is>
          <t>LV|3/C+G|8</t>
        </is>
      </c>
      <c r="L5696" s="12" t="inlineStr">
        <is>
          <t>3/C+G</t>
        </is>
      </c>
      <c r="M5696" s="12" t="inlineStr">
        <is>
          <t>8</t>
        </is>
      </c>
      <c r="N5696" s="12" t="n">
        <v>1</v>
      </c>
      <c r="O5696" s="12" t="n">
        <v>1</v>
      </c>
      <c r="P5696" s="12" t="n">
        <v>480</v>
      </c>
      <c r="Q5696" s="12" t="n">
        <v>10</v>
      </c>
      <c r="R5696" s="12" t="n">
        <v>14.2</v>
      </c>
      <c r="S5696" s="12" t="inlineStr">
        <is>
          <t>Duct bank</t>
        </is>
      </c>
      <c r="T5696" s="15" t="n">
        <v>271</v>
      </c>
      <c r="U5696" s="15" t="n">
        <v>217</v>
      </c>
      <c r="V5696" s="15">
        <f>ROUNDUP((T5696+U5696+2*'Read Me'!$B$13)*(1+'Read Me'!$B$12),-1)</f>
        <v/>
      </c>
      <c r="W5696" s="15">
        <f>V5696*N5696*O5696</f>
        <v/>
      </c>
      <c r="X5696" s="12">
        <f>IF(LEFT(I5696,2)="MV",2*N5696*IF(L5696="1/C",O5696,1),0)</f>
        <v/>
      </c>
      <c r="Y5696" s="12">
        <f>IF(OR(LEFT(K5696,4)="LVAX",LEFT(K5696,6)="MV15AX",LEFT(K5696,4)="CTAX",LEFT(K5696,2)="W|"),2*N5696*O5696,0)</f>
        <v/>
      </c>
      <c r="Z5696" s="12" t="inlineStr">
        <is>
          <t>VD 2.1 %</t>
        </is>
      </c>
      <c r="AA5696" s="12">
        <f>N5696*O5696</f>
        <v/>
      </c>
    </row>
    <row r="5697">
      <c r="A5697" s="12" t="inlineStr">
        <is>
          <t>J-P-0006</t>
        </is>
      </c>
      <c r="B5697" s="12" t="inlineStr">
        <is>
          <t>J</t>
        </is>
      </c>
      <c r="C5697" s="12" t="inlineStr">
        <is>
          <t>GT inlet chilling</t>
        </is>
      </c>
      <c r="D5697" s="12" t="inlineStr">
        <is>
          <t>Motor 1 of 6, 7 kW</t>
        </is>
      </c>
      <c r="E5697" s="12" t="inlineStr"/>
      <c r="F5697" s="12" t="inlineStr">
        <is>
          <t>Inlet-chilling e-house / transformer</t>
        </is>
      </c>
      <c r="G5697" s="12" t="inlineStr"/>
      <c r="H5697" s="12" t="inlineStr">
        <is>
          <t>Chillers x6 (water-cooled)</t>
        </is>
      </c>
      <c r="I5697" s="12" t="inlineStr">
        <is>
          <t>LV 600 V</t>
        </is>
      </c>
      <c r="J5697" s="12" t="inlineStr">
        <is>
          <t>Type TC-ER 600 V 3/C Cu XHHW-2 + ground, PVC jacket</t>
        </is>
      </c>
      <c r="K5697" s="12" t="inlineStr">
        <is>
          <t>LV|3/C+G|10</t>
        </is>
      </c>
      <c r="L5697" s="12" t="inlineStr">
        <is>
          <t>3/C+G</t>
        </is>
      </c>
      <c r="M5697" s="12" t="inlineStr">
        <is>
          <t>10</t>
        </is>
      </c>
      <c r="N5697" s="12" t="n">
        <v>1</v>
      </c>
      <c r="O5697" s="12" t="n">
        <v>1</v>
      </c>
      <c r="P5697" s="12" t="n">
        <v>480</v>
      </c>
      <c r="Q5697" s="12" t="n">
        <v>7</v>
      </c>
      <c r="R5697" s="12" t="n">
        <v>9.9</v>
      </c>
      <c r="S5697" s="12" t="inlineStr">
        <is>
          <t>Duct bank</t>
        </is>
      </c>
      <c r="T5697" s="15" t="n">
        <v>10</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is>
          <t>VD 0.2 %</t>
        </is>
      </c>
      <c r="AA5697" s="12">
        <f>N5697*O5697</f>
        <v/>
      </c>
    </row>
    <row r="5698">
      <c r="A5698" s="12" t="inlineStr">
        <is>
          <t>J-P-0007</t>
        </is>
      </c>
      <c r="B5698" s="12" t="inlineStr">
        <is>
          <t>J</t>
        </is>
      </c>
      <c r="C5698" s="12" t="inlineStr">
        <is>
          <t>GT inlet chilling</t>
        </is>
      </c>
      <c r="D5698" s="12" t="inlineStr">
        <is>
          <t>Motor 2 of 6, 7 kW</t>
        </is>
      </c>
      <c r="E5698" s="12" t="inlineStr"/>
      <c r="F5698" s="12" t="inlineStr">
        <is>
          <t>Inlet-chilling e-house / transformer</t>
        </is>
      </c>
      <c r="G5698" s="12" t="inlineStr"/>
      <c r="H5698" s="12" t="inlineStr">
        <is>
          <t>Chillers x6 (water-cooled)</t>
        </is>
      </c>
      <c r="I5698" s="12" t="inlineStr">
        <is>
          <t>LV 600 V</t>
        </is>
      </c>
      <c r="J5698" s="12" t="inlineStr">
        <is>
          <t>Type TC-ER 600 V 3/C Cu XHHW-2 + ground, PVC jacket</t>
        </is>
      </c>
      <c r="K5698" s="12" t="inlineStr">
        <is>
          <t>LV|3/C+G|10</t>
        </is>
      </c>
      <c r="L5698" s="12" t="inlineStr">
        <is>
          <t>3/C+G</t>
        </is>
      </c>
      <c r="M5698" s="12" t="inlineStr">
        <is>
          <t>10</t>
        </is>
      </c>
      <c r="N5698" s="12" t="n">
        <v>1</v>
      </c>
      <c r="O5698" s="12" t="n">
        <v>1</v>
      </c>
      <c r="P5698" s="12" t="n">
        <v>480</v>
      </c>
      <c r="Q5698" s="12" t="n">
        <v>7</v>
      </c>
      <c r="R5698" s="12" t="n">
        <v>9.9</v>
      </c>
      <c r="S5698" s="12" t="inlineStr">
        <is>
          <t>Duct bank</t>
        </is>
      </c>
      <c r="T5698" s="15" t="n">
        <v>10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is>
          <t>VD 0.2 %</t>
        </is>
      </c>
      <c r="AA5698" s="12">
        <f>N5698*O5698</f>
        <v/>
      </c>
    </row>
    <row r="5699">
      <c r="A5699" s="12" t="inlineStr">
        <is>
          <t>J-P-0008</t>
        </is>
      </c>
      <c r="B5699" s="12" t="inlineStr">
        <is>
          <t>J</t>
        </is>
      </c>
      <c r="C5699" s="12" t="inlineStr">
        <is>
          <t>GT inlet chilling</t>
        </is>
      </c>
      <c r="D5699" s="12" t="inlineStr">
        <is>
          <t>Motor 3 of 6, 7 kW</t>
        </is>
      </c>
      <c r="E5699" s="12" t="inlineStr"/>
      <c r="F5699" s="12" t="inlineStr">
        <is>
          <t>Inlet-chilling e-house / transformer</t>
        </is>
      </c>
      <c r="G5699" s="12" t="inlineStr"/>
      <c r="H5699" s="12" t="inlineStr">
        <is>
          <t>Chillers x6 (water-cooled)</t>
        </is>
      </c>
      <c r="I5699" s="12" t="inlineStr">
        <is>
          <t>LV 600 V</t>
        </is>
      </c>
      <c r="J5699" s="12" t="inlineStr">
        <is>
          <t>Type TC-ER 600 V 3/C Cu XHHW-2 + ground, PVC jacket</t>
        </is>
      </c>
      <c r="K5699" s="12" t="inlineStr">
        <is>
          <t>LV|3/C+G|10</t>
        </is>
      </c>
      <c r="L5699" s="12" t="inlineStr">
        <is>
          <t>3/C+G</t>
        </is>
      </c>
      <c r="M5699" s="12" t="inlineStr">
        <is>
          <t>10</t>
        </is>
      </c>
      <c r="N5699" s="12" t="n">
        <v>1</v>
      </c>
      <c r="O5699" s="12" t="n">
        <v>1</v>
      </c>
      <c r="P5699" s="12" t="n">
        <v>480</v>
      </c>
      <c r="Q5699" s="12" t="n">
        <v>7</v>
      </c>
      <c r="R5699" s="12" t="n">
        <v>9.9</v>
      </c>
      <c r="S5699" s="12" t="inlineStr">
        <is>
          <t>Duct bank</t>
        </is>
      </c>
      <c r="T5699" s="15" t="n">
        <v>10</v>
      </c>
      <c r="U5699" s="15" t="n">
        <v>32</v>
      </c>
      <c r="V5699" s="15">
        <f>ROUNDUP((T5699+U5699+2*'Read Me'!$B$13)*(1+'Read Me'!$B$12),-1)</f>
        <v/>
      </c>
      <c r="W5699" s="15">
        <f>V5699*N5699*O5699</f>
        <v/>
      </c>
      <c r="X5699" s="12">
        <f>IF(LEFT(I5699,2)="MV",2*N5699*IF(L5699="1/C",O5699,1),0)</f>
        <v/>
      </c>
      <c r="Y5699" s="12">
        <f>IF(OR(LEFT(K5699,4)="LVAX",LEFT(K5699,6)="MV15AX",LEFT(K5699,4)="CTAX",LEFT(K5699,2)="W|"),2*N5699*O5699,0)</f>
        <v/>
      </c>
      <c r="Z5699" s="12" t="inlineStr">
        <is>
          <t>VD 0.2 %</t>
        </is>
      </c>
      <c r="AA5699" s="12">
        <f>N5699*O5699</f>
        <v/>
      </c>
    </row>
    <row r="5700">
      <c r="A5700" s="12" t="inlineStr">
        <is>
          <t>J-P-0009</t>
        </is>
      </c>
      <c r="B5700" s="12" t="inlineStr">
        <is>
          <t>J</t>
        </is>
      </c>
      <c r="C5700" s="12" t="inlineStr">
        <is>
          <t>GT inlet chilling</t>
        </is>
      </c>
      <c r="D5700" s="12" t="inlineStr">
        <is>
          <t>Motor 4 of 6, 7 kW</t>
        </is>
      </c>
      <c r="E5700" s="12" t="inlineStr"/>
      <c r="F5700" s="12" t="inlineStr">
        <is>
          <t>Inlet-chilling e-house / transformer</t>
        </is>
      </c>
      <c r="G5700" s="12" t="inlineStr"/>
      <c r="H5700" s="12" t="inlineStr">
        <is>
          <t>Chillers x6 (water-cooled)</t>
        </is>
      </c>
      <c r="I5700" s="12" t="inlineStr">
        <is>
          <t>LV 600 V</t>
        </is>
      </c>
      <c r="J5700" s="12" t="inlineStr">
        <is>
          <t>Type TC-ER 600 V 3/C Cu XHHW-2 + ground, PVC jacket</t>
        </is>
      </c>
      <c r="K5700" s="12" t="inlineStr">
        <is>
          <t>LV|3/C+G|10</t>
        </is>
      </c>
      <c r="L5700" s="12" t="inlineStr">
        <is>
          <t>3/C+G</t>
        </is>
      </c>
      <c r="M5700" s="12" t="inlineStr">
        <is>
          <t>10</t>
        </is>
      </c>
      <c r="N5700" s="12" t="n">
        <v>1</v>
      </c>
      <c r="O5700" s="12" t="n">
        <v>1</v>
      </c>
      <c r="P5700" s="12" t="n">
        <v>480</v>
      </c>
      <c r="Q5700" s="12" t="n">
        <v>7</v>
      </c>
      <c r="R5700" s="12" t="n">
        <v>9.9</v>
      </c>
      <c r="S5700" s="12" t="inlineStr">
        <is>
          <t>Duct bank</t>
        </is>
      </c>
      <c r="T5700" s="15" t="n">
        <v>10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is>
          <t>VD 0.2 %</t>
        </is>
      </c>
      <c r="AA5700" s="12">
        <f>N5700*O5700</f>
        <v/>
      </c>
    </row>
    <row r="5701">
      <c r="A5701" s="12" t="inlineStr">
        <is>
          <t>J-P-0010</t>
        </is>
      </c>
      <c r="B5701" s="12" t="inlineStr">
        <is>
          <t>J</t>
        </is>
      </c>
      <c r="C5701" s="12" t="inlineStr">
        <is>
          <t>GT inlet chilling</t>
        </is>
      </c>
      <c r="D5701" s="12" t="inlineStr">
        <is>
          <t>Motor 5 of 6, 7 kW</t>
        </is>
      </c>
      <c r="E5701" s="12" t="inlineStr"/>
      <c r="F5701" s="12" t="inlineStr">
        <is>
          <t>Inlet-chilling e-house / transformer</t>
        </is>
      </c>
      <c r="G5701" s="12" t="inlineStr"/>
      <c r="H5701" s="12" t="inlineStr">
        <is>
          <t>Chillers x6 (water-cooled)</t>
        </is>
      </c>
      <c r="I5701" s="12" t="inlineStr">
        <is>
          <t>LV 600 V</t>
        </is>
      </c>
      <c r="J5701" s="12" t="inlineStr">
        <is>
          <t>Type TC-ER 600 V 3/C Cu XHHW-2 + ground, PVC jacket</t>
        </is>
      </c>
      <c r="K5701" s="12" t="inlineStr">
        <is>
          <t>LV|3/C+G|10</t>
        </is>
      </c>
      <c r="L5701" s="12" t="inlineStr">
        <is>
          <t>3/C+G</t>
        </is>
      </c>
      <c r="M5701" s="12" t="inlineStr">
        <is>
          <t>10</t>
        </is>
      </c>
      <c r="N5701" s="12" t="n">
        <v>1</v>
      </c>
      <c r="O5701" s="12" t="n">
        <v>1</v>
      </c>
      <c r="P5701" s="12" t="n">
        <v>480</v>
      </c>
      <c r="Q5701" s="12" t="n">
        <v>7</v>
      </c>
      <c r="R5701" s="12" t="n">
        <v>9.9</v>
      </c>
      <c r="S5701" s="12" t="inlineStr">
        <is>
          <t>Duct bank</t>
        </is>
      </c>
      <c r="T5701" s="15" t="n">
        <v>10</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is>
          <t>VD 0.2 %</t>
        </is>
      </c>
      <c r="AA5701" s="12">
        <f>N5701*O5701</f>
        <v/>
      </c>
    </row>
    <row r="5702">
      <c r="A5702" s="12" t="inlineStr">
        <is>
          <t>J-P-0011</t>
        </is>
      </c>
      <c r="B5702" s="12" t="inlineStr">
        <is>
          <t>J</t>
        </is>
      </c>
      <c r="C5702" s="12" t="inlineStr">
        <is>
          <t>GT inlet chilling</t>
        </is>
      </c>
      <c r="D5702" s="12" t="inlineStr">
        <is>
          <t>Motor 6 of 6, 7 kW</t>
        </is>
      </c>
      <c r="E5702" s="12" t="inlineStr"/>
      <c r="F5702" s="12" t="inlineStr">
        <is>
          <t>Inlet-chilling e-house / transformer</t>
        </is>
      </c>
      <c r="G5702" s="12" t="inlineStr"/>
      <c r="H5702" s="12" t="inlineStr">
        <is>
          <t>Chillers x6 (water-cooled)</t>
        </is>
      </c>
      <c r="I5702" s="12" t="inlineStr">
        <is>
          <t>LV 600 V</t>
        </is>
      </c>
      <c r="J5702" s="12" t="inlineStr">
        <is>
          <t>Type TC-ER 600 V 3/C Cu XHHW-2 + ground, PVC jacket</t>
        </is>
      </c>
      <c r="K5702" s="12" t="inlineStr">
        <is>
          <t>LV|3/C+G|10</t>
        </is>
      </c>
      <c r="L5702" s="12" t="inlineStr">
        <is>
          <t>3/C+G</t>
        </is>
      </c>
      <c r="M5702" s="12" t="inlineStr">
        <is>
          <t>10</t>
        </is>
      </c>
      <c r="N5702" s="12" t="n">
        <v>1</v>
      </c>
      <c r="O5702" s="12" t="n">
        <v>1</v>
      </c>
      <c r="P5702" s="12" t="n">
        <v>480</v>
      </c>
      <c r="Q5702" s="12" t="n">
        <v>7</v>
      </c>
      <c r="R5702" s="12" t="n">
        <v>9.9</v>
      </c>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0.2 %</t>
        </is>
      </c>
      <c r="AA5702" s="12">
        <f>N5702*O5702</f>
        <v/>
      </c>
    </row>
    <row r="5703">
      <c r="A5703" s="12" t="inlineStr">
        <is>
          <t>J-P-0012</t>
        </is>
      </c>
      <c r="B5703" s="12" t="inlineStr">
        <is>
          <t>J</t>
        </is>
      </c>
      <c r="C5703" s="12" t="inlineStr">
        <is>
          <t>GT inlet chilling</t>
        </is>
      </c>
      <c r="D5703" s="12" t="inlineStr">
        <is>
          <t>Motor 1 of 12, 75 kW (VFD output)</t>
        </is>
      </c>
      <c r="E5703" s="12" t="inlineStr"/>
      <c r="F5703" s="12" t="inlineStr">
        <is>
          <t>Inlet-chilling e-house / transformer</t>
        </is>
      </c>
      <c r="G5703" s="12" t="inlineStr"/>
      <c r="H5703" s="12" t="inlineStr">
        <is>
          <t>Inlet-chilling tower (12 cells): chiller heat rejection</t>
        </is>
      </c>
      <c r="I5703" s="12" t="inlineStr">
        <is>
          <t>LV 600 V</t>
        </is>
      </c>
      <c r="J5703" s="12" t="inlineStr">
        <is>
          <t>VFD cable 600 V 3/C Cu XHHW-2, 3 symmetrical grounds, overall Cu tape shield, TC-ER</t>
        </is>
      </c>
      <c r="K5703" s="12" t="inlineStr">
        <is>
          <t>VFD|3/C+3G|2/0</t>
        </is>
      </c>
      <c r="L5703" s="12" t="inlineStr">
        <is>
          <t>3/C+3G</t>
        </is>
      </c>
      <c r="M5703" s="12" t="inlineStr">
        <is>
          <t>2/0</t>
        </is>
      </c>
      <c r="N5703" s="12" t="n">
        <v>1</v>
      </c>
      <c r="O5703" s="12" t="n">
        <v>1</v>
      </c>
      <c r="P5703" s="12" t="n">
        <v>480</v>
      </c>
      <c r="Q5703" s="12" t="n">
        <v>75</v>
      </c>
      <c r="R5703" s="12" t="n">
        <v>106</v>
      </c>
      <c r="S5703" s="12" t="inlineStr">
        <is>
          <t>Duct bank</t>
        </is>
      </c>
      <c r="T5703" s="15" t="n">
        <v>683</v>
      </c>
      <c r="U5703" s="15" t="n">
        <v>38</v>
      </c>
      <c r="V5703" s="15">
        <f>ROUNDUP((T5703+U5703+2*'Read Me'!$B$13)*(1+'Read Me'!$B$12),-1)</f>
        <v/>
      </c>
      <c r="W5703" s="15">
        <f>V5703*N5703*O5703</f>
        <v/>
      </c>
      <c r="X5703" s="12">
        <f>IF(LEFT(I5703,2)="MV",2*N5703*IF(L5703="1/C",O5703,1),0)</f>
        <v/>
      </c>
      <c r="Y5703" s="12">
        <f>IF(OR(LEFT(K5703,4)="LVAX",LEFT(K5703,6)="MV15AX",LEFT(K5703,4)="CTAX",LEFT(K5703,2)="W|"),2*N5703*O5703,0)</f>
        <v/>
      </c>
      <c r="Z5703" s="12" t="inlineStr">
        <is>
          <t>VD 2.9 %</t>
        </is>
      </c>
      <c r="AA5703" s="12">
        <f>N5703*O5703</f>
        <v/>
      </c>
    </row>
    <row r="5704">
      <c r="A5704" s="12" t="inlineStr">
        <is>
          <t>J-P-0013</t>
        </is>
      </c>
      <c r="B5704" s="12" t="inlineStr">
        <is>
          <t>J</t>
        </is>
      </c>
      <c r="C5704" s="12" t="inlineStr">
        <is>
          <t>GT inlet chilling</t>
        </is>
      </c>
      <c r="D5704" s="12" t="inlineStr">
        <is>
          <t>Motor 2 of 12, 75 kW (VFD output)</t>
        </is>
      </c>
      <c r="E5704" s="12" t="inlineStr"/>
      <c r="F5704" s="12" t="inlineStr">
        <is>
          <t>Inlet-chilling e-house / transformer</t>
        </is>
      </c>
      <c r="G5704" s="12" t="inlineStr"/>
      <c r="H5704" s="12" t="inlineStr">
        <is>
          <t>Inlet-chilling tower (12 cells): chiller heat rejection</t>
        </is>
      </c>
      <c r="I5704" s="12" t="inlineStr">
        <is>
          <t>LV 600 V</t>
        </is>
      </c>
      <c r="J5704" s="12" t="inlineStr">
        <is>
          <t>VFD cable 600 V 3/C Cu XHHW-2, 3 symmetrical grounds, overall Cu tape shield, TC-ER</t>
        </is>
      </c>
      <c r="K5704" s="12" t="inlineStr">
        <is>
          <t>VFD|3/C+3G|2/0</t>
        </is>
      </c>
      <c r="L5704" s="12" t="inlineStr">
        <is>
          <t>3/C+3G</t>
        </is>
      </c>
      <c r="M5704" s="12" t="inlineStr">
        <is>
          <t>2/0</t>
        </is>
      </c>
      <c r="N5704" s="12" t="n">
        <v>1</v>
      </c>
      <c r="O5704" s="12" t="n">
        <v>1</v>
      </c>
      <c r="P5704" s="12" t="n">
        <v>480</v>
      </c>
      <c r="Q5704" s="12" t="n">
        <v>75</v>
      </c>
      <c r="R5704" s="12" t="n">
        <v>106</v>
      </c>
      <c r="S5704" s="12" t="inlineStr">
        <is>
          <t>Duct bank</t>
        </is>
      </c>
      <c r="T5704" s="15" t="n">
        <v>683</v>
      </c>
      <c r="U5704" s="15" t="n">
        <v>38</v>
      </c>
      <c r="V5704" s="15">
        <f>ROUNDUP((T5704+U5704+2*'Read Me'!$B$13)*(1+'Read Me'!$B$12),-1)</f>
        <v/>
      </c>
      <c r="W5704" s="15">
        <f>V5704*N5704*O5704</f>
        <v/>
      </c>
      <c r="X5704" s="12">
        <f>IF(LEFT(I5704,2)="MV",2*N5704*IF(L5704="1/C",O5704,1),0)</f>
        <v/>
      </c>
      <c r="Y5704" s="12">
        <f>IF(OR(LEFT(K5704,4)="LVAX",LEFT(K5704,6)="MV15AX",LEFT(K5704,4)="CTAX",LEFT(K5704,2)="W|"),2*N5704*O5704,0)</f>
        <v/>
      </c>
      <c r="Z5704" s="12" t="inlineStr">
        <is>
          <t>VD 2.9 %</t>
        </is>
      </c>
      <c r="AA5704" s="12">
        <f>N5704*O5704</f>
        <v/>
      </c>
    </row>
    <row r="5705">
      <c r="A5705" s="12" t="inlineStr">
        <is>
          <t>J-P-0014</t>
        </is>
      </c>
      <c r="B5705" s="12" t="inlineStr">
        <is>
          <t>J</t>
        </is>
      </c>
      <c r="C5705" s="12" t="inlineStr">
        <is>
          <t>GT inlet chilling</t>
        </is>
      </c>
      <c r="D5705" s="12" t="inlineStr">
        <is>
          <t>Motor 3 of 12, 75 kW (VFD output)</t>
        </is>
      </c>
      <c r="E5705" s="12" t="inlineStr"/>
      <c r="F5705" s="12" t="inlineStr">
        <is>
          <t>Inlet-chilling e-house / transformer</t>
        </is>
      </c>
      <c r="G5705" s="12" t="inlineStr"/>
      <c r="H5705" s="12" t="inlineStr">
        <is>
          <t>Inlet-chilling tower (12 cells): chiller heat rejection</t>
        </is>
      </c>
      <c r="I5705" s="12" t="inlineStr">
        <is>
          <t>LV 600 V</t>
        </is>
      </c>
      <c r="J5705" s="12" t="inlineStr">
        <is>
          <t>VFD cable 600 V 3/C Cu XHHW-2, 3 symmetrical grounds, overall Cu tape shield, TC-ER</t>
        </is>
      </c>
      <c r="K5705" s="12" t="inlineStr">
        <is>
          <t>VFD|3/C+3G|2/0</t>
        </is>
      </c>
      <c r="L5705" s="12" t="inlineStr">
        <is>
          <t>3/C+3G</t>
        </is>
      </c>
      <c r="M5705" s="12" t="inlineStr">
        <is>
          <t>2/0</t>
        </is>
      </c>
      <c r="N5705" s="12" t="n">
        <v>1</v>
      </c>
      <c r="O5705" s="12" t="n">
        <v>1</v>
      </c>
      <c r="P5705" s="12" t="n">
        <v>480</v>
      </c>
      <c r="Q5705" s="12" t="n">
        <v>75</v>
      </c>
      <c r="R5705" s="12" t="n">
        <v>106</v>
      </c>
      <c r="S5705" s="12" t="inlineStr">
        <is>
          <t>Duct bank</t>
        </is>
      </c>
      <c r="T5705" s="15" t="n">
        <v>683</v>
      </c>
      <c r="U5705" s="15" t="n">
        <v>38</v>
      </c>
      <c r="V5705" s="15">
        <f>ROUNDUP((T5705+U5705+2*'Read Me'!$B$13)*(1+'Read Me'!$B$12),-1)</f>
        <v/>
      </c>
      <c r="W5705" s="15">
        <f>V5705*N5705*O5705</f>
        <v/>
      </c>
      <c r="X5705" s="12">
        <f>IF(LEFT(I5705,2)="MV",2*N5705*IF(L5705="1/C",O5705,1),0)</f>
        <v/>
      </c>
      <c r="Y5705" s="12">
        <f>IF(OR(LEFT(K5705,4)="LVAX",LEFT(K5705,6)="MV15AX",LEFT(K5705,4)="CTAX",LEFT(K5705,2)="W|"),2*N5705*O5705,0)</f>
        <v/>
      </c>
      <c r="Z5705" s="12" t="inlineStr">
        <is>
          <t>VD 2.9 %</t>
        </is>
      </c>
      <c r="AA5705" s="12">
        <f>N5705*O5705</f>
        <v/>
      </c>
    </row>
    <row r="5706">
      <c r="A5706" s="12" t="inlineStr">
        <is>
          <t>J-P-0015</t>
        </is>
      </c>
      <c r="B5706" s="12" t="inlineStr">
        <is>
          <t>J</t>
        </is>
      </c>
      <c r="C5706" s="12" t="inlineStr">
        <is>
          <t>GT inlet chilling</t>
        </is>
      </c>
      <c r="D5706" s="12" t="inlineStr">
        <is>
          <t>Motor 4 of 12, 75 kW (VFD output)</t>
        </is>
      </c>
      <c r="E5706" s="12" t="inlineStr"/>
      <c r="F5706" s="12" t="inlineStr">
        <is>
          <t>Inlet-chilling e-house / transformer</t>
        </is>
      </c>
      <c r="G5706" s="12" t="inlineStr"/>
      <c r="H5706" s="12" t="inlineStr">
        <is>
          <t>Inlet-chilling tower (12 cells): chiller heat rejection</t>
        </is>
      </c>
      <c r="I5706" s="12" t="inlineStr">
        <is>
          <t>LV 600 V</t>
        </is>
      </c>
      <c r="J5706" s="12" t="inlineStr">
        <is>
          <t>VFD cable 600 V 3/C Cu XHHW-2, 3 symmetrical grounds, overall Cu tape shield, TC-ER</t>
        </is>
      </c>
      <c r="K5706" s="12" t="inlineStr">
        <is>
          <t>VFD|3/C+3G|2/0</t>
        </is>
      </c>
      <c r="L5706" s="12" t="inlineStr">
        <is>
          <t>3/C+3G</t>
        </is>
      </c>
      <c r="M5706" s="12" t="inlineStr">
        <is>
          <t>2/0</t>
        </is>
      </c>
      <c r="N5706" s="12" t="n">
        <v>1</v>
      </c>
      <c r="O5706" s="12" t="n">
        <v>1</v>
      </c>
      <c r="P5706" s="12" t="n">
        <v>480</v>
      </c>
      <c r="Q5706" s="12" t="n">
        <v>75</v>
      </c>
      <c r="R5706" s="12" t="n">
        <v>106</v>
      </c>
      <c r="S5706" s="12" t="inlineStr">
        <is>
          <t>Duct bank</t>
        </is>
      </c>
      <c r="T5706" s="15" t="n">
        <v>683</v>
      </c>
      <c r="U5706" s="15" t="n">
        <v>38</v>
      </c>
      <c r="V5706" s="15">
        <f>ROUNDUP((T5706+U5706+2*'Read Me'!$B$13)*(1+'Read Me'!$B$12),-1)</f>
        <v/>
      </c>
      <c r="W5706" s="15">
        <f>V5706*N5706*O5706</f>
        <v/>
      </c>
      <c r="X5706" s="12">
        <f>IF(LEFT(I5706,2)="MV",2*N5706*IF(L5706="1/C",O5706,1),0)</f>
        <v/>
      </c>
      <c r="Y5706" s="12">
        <f>IF(OR(LEFT(K5706,4)="LVAX",LEFT(K5706,6)="MV15AX",LEFT(K5706,4)="CTAX",LEFT(K5706,2)="W|"),2*N5706*O5706,0)</f>
        <v/>
      </c>
      <c r="Z5706" s="12" t="inlineStr">
        <is>
          <t>VD 2.9 %</t>
        </is>
      </c>
      <c r="AA5706" s="12">
        <f>N5706*O5706</f>
        <v/>
      </c>
    </row>
    <row r="5707">
      <c r="A5707" s="12" t="inlineStr">
        <is>
          <t>J-P-0016</t>
        </is>
      </c>
      <c r="B5707" s="12" t="inlineStr">
        <is>
          <t>J</t>
        </is>
      </c>
      <c r="C5707" s="12" t="inlineStr">
        <is>
          <t>GT inlet chilling</t>
        </is>
      </c>
      <c r="D5707" s="12" t="inlineStr">
        <is>
          <t>Motor 5 of 12, 75 kW (VFD output)</t>
        </is>
      </c>
      <c r="E5707" s="12" t="inlineStr"/>
      <c r="F5707" s="12" t="inlineStr">
        <is>
          <t>Inlet-chilling e-house / transformer</t>
        </is>
      </c>
      <c r="G5707" s="12" t="inlineStr"/>
      <c r="H5707" s="12" t="inlineStr">
        <is>
          <t>Inlet-chilling tower (12 cells): chiller heat rejection</t>
        </is>
      </c>
      <c r="I5707" s="12" t="inlineStr">
        <is>
          <t>LV 600 V</t>
        </is>
      </c>
      <c r="J5707" s="12" t="inlineStr">
        <is>
          <t>VFD cable 600 V 3/C Cu XHHW-2, 3 symmetrical grounds, overall Cu tape shield, TC-ER</t>
        </is>
      </c>
      <c r="K5707" s="12" t="inlineStr">
        <is>
          <t>VFD|3/C+3G|2/0</t>
        </is>
      </c>
      <c r="L5707" s="12" t="inlineStr">
        <is>
          <t>3/C+3G</t>
        </is>
      </c>
      <c r="M5707" s="12" t="inlineStr">
        <is>
          <t>2/0</t>
        </is>
      </c>
      <c r="N5707" s="12" t="n">
        <v>1</v>
      </c>
      <c r="O5707" s="12" t="n">
        <v>1</v>
      </c>
      <c r="P5707" s="12" t="n">
        <v>480</v>
      </c>
      <c r="Q5707" s="12" t="n">
        <v>75</v>
      </c>
      <c r="R5707" s="12" t="n">
        <v>106</v>
      </c>
      <c r="S5707" s="12" t="inlineStr">
        <is>
          <t>Duct bank</t>
        </is>
      </c>
      <c r="T5707" s="15" t="n">
        <v>683</v>
      </c>
      <c r="U5707" s="15" t="n">
        <v>38</v>
      </c>
      <c r="V5707" s="15">
        <f>ROUNDUP((T5707+U5707+2*'Read Me'!$B$13)*(1+'Read Me'!$B$12),-1)</f>
        <v/>
      </c>
      <c r="W5707" s="15">
        <f>V5707*N5707*O5707</f>
        <v/>
      </c>
      <c r="X5707" s="12">
        <f>IF(LEFT(I5707,2)="MV",2*N5707*IF(L5707="1/C",O5707,1),0)</f>
        <v/>
      </c>
      <c r="Y5707" s="12">
        <f>IF(OR(LEFT(K5707,4)="LVAX",LEFT(K5707,6)="MV15AX",LEFT(K5707,4)="CTAX",LEFT(K5707,2)="W|"),2*N5707*O5707,0)</f>
        <v/>
      </c>
      <c r="Z5707" s="12" t="inlineStr">
        <is>
          <t>VD 2.9 %</t>
        </is>
      </c>
      <c r="AA5707" s="12">
        <f>N5707*O5707</f>
        <v/>
      </c>
    </row>
    <row r="5708">
      <c r="A5708" s="12" t="inlineStr">
        <is>
          <t>J-P-0017</t>
        </is>
      </c>
      <c r="B5708" s="12" t="inlineStr">
        <is>
          <t>J</t>
        </is>
      </c>
      <c r="C5708" s="12" t="inlineStr">
        <is>
          <t>GT inlet chilling</t>
        </is>
      </c>
      <c r="D5708" s="12" t="inlineStr">
        <is>
          <t>Motor 6 of 12, 75 kW (VFD output)</t>
        </is>
      </c>
      <c r="E5708" s="12" t="inlineStr"/>
      <c r="F5708" s="12" t="inlineStr">
        <is>
          <t>Inlet-chilling e-house / transformer</t>
        </is>
      </c>
      <c r="G5708" s="12" t="inlineStr"/>
      <c r="H5708" s="12" t="inlineStr">
        <is>
          <t>Inlet-chilling tower (12 cells): chiller heat rejection</t>
        </is>
      </c>
      <c r="I5708" s="12" t="inlineStr">
        <is>
          <t>LV 600 V</t>
        </is>
      </c>
      <c r="J5708" s="12" t="inlineStr">
        <is>
          <t>VFD cable 600 V 3/C Cu XHHW-2, 3 symmetrical grounds, overall Cu tape shield, TC-ER</t>
        </is>
      </c>
      <c r="K5708" s="12" t="inlineStr">
        <is>
          <t>VFD|3/C+3G|2/0</t>
        </is>
      </c>
      <c r="L5708" s="12" t="inlineStr">
        <is>
          <t>3/C+3G</t>
        </is>
      </c>
      <c r="M5708" s="12" t="inlineStr">
        <is>
          <t>2/0</t>
        </is>
      </c>
      <c r="N5708" s="12" t="n">
        <v>1</v>
      </c>
      <c r="O5708" s="12" t="n">
        <v>1</v>
      </c>
      <c r="P5708" s="12" t="n">
        <v>480</v>
      </c>
      <c r="Q5708" s="12" t="n">
        <v>75</v>
      </c>
      <c r="R5708" s="12" t="n">
        <v>106</v>
      </c>
      <c r="S5708" s="12" t="inlineStr">
        <is>
          <t>Duct bank</t>
        </is>
      </c>
      <c r="T5708" s="15" t="n">
        <v>683</v>
      </c>
      <c r="U5708" s="15" t="n">
        <v>38</v>
      </c>
      <c r="V5708" s="15">
        <f>ROUNDUP((T5708+U5708+2*'Read Me'!$B$13)*(1+'Read Me'!$B$12),-1)</f>
        <v/>
      </c>
      <c r="W5708" s="15">
        <f>V5708*N5708*O5708</f>
        <v/>
      </c>
      <c r="X5708" s="12">
        <f>IF(LEFT(I5708,2)="MV",2*N5708*IF(L5708="1/C",O5708,1),0)</f>
        <v/>
      </c>
      <c r="Y5708" s="12">
        <f>IF(OR(LEFT(K5708,4)="LVAX",LEFT(K5708,6)="MV15AX",LEFT(K5708,4)="CTAX",LEFT(K5708,2)="W|"),2*N5708*O5708,0)</f>
        <v/>
      </c>
      <c r="Z5708" s="12" t="inlineStr">
        <is>
          <t>VD 2.9 %</t>
        </is>
      </c>
      <c r="AA5708" s="12">
        <f>N5708*O5708</f>
        <v/>
      </c>
    </row>
    <row r="5709">
      <c r="A5709" s="12" t="inlineStr">
        <is>
          <t>J-P-0018</t>
        </is>
      </c>
      <c r="B5709" s="12" t="inlineStr">
        <is>
          <t>J</t>
        </is>
      </c>
      <c r="C5709" s="12" t="inlineStr">
        <is>
          <t>GT inlet chilling</t>
        </is>
      </c>
      <c r="D5709" s="12" t="inlineStr">
        <is>
          <t>Motor 7 of 12, 75 kW (VFD output)</t>
        </is>
      </c>
      <c r="E5709" s="12" t="inlineStr"/>
      <c r="F5709" s="12" t="inlineStr">
        <is>
          <t>Inlet-chilling e-house / transformer</t>
        </is>
      </c>
      <c r="G5709" s="12" t="inlineStr"/>
      <c r="H5709" s="12" t="inlineStr">
        <is>
          <t>Inlet-chilling tower (12 cells): chiller heat rejection</t>
        </is>
      </c>
      <c r="I5709" s="12" t="inlineStr">
        <is>
          <t>LV 600 V</t>
        </is>
      </c>
      <c r="J5709" s="12" t="inlineStr">
        <is>
          <t>VFD cable 600 V 3/C Cu XHHW-2, 3 symmetrical grounds, overall Cu tape shield, TC-ER</t>
        </is>
      </c>
      <c r="K5709" s="12" t="inlineStr">
        <is>
          <t>VFD|3/C+3G|2/0</t>
        </is>
      </c>
      <c r="L5709" s="12" t="inlineStr">
        <is>
          <t>3/C+3G</t>
        </is>
      </c>
      <c r="M5709" s="12" t="inlineStr">
        <is>
          <t>2/0</t>
        </is>
      </c>
      <c r="N5709" s="12" t="n">
        <v>1</v>
      </c>
      <c r="O5709" s="12" t="n">
        <v>1</v>
      </c>
      <c r="P5709" s="12" t="n">
        <v>480</v>
      </c>
      <c r="Q5709" s="12" t="n">
        <v>75</v>
      </c>
      <c r="R5709" s="12" t="n">
        <v>106</v>
      </c>
      <c r="S5709" s="12" t="inlineStr">
        <is>
          <t>Duct bank</t>
        </is>
      </c>
      <c r="T5709" s="15" t="n">
        <v>683</v>
      </c>
      <c r="U5709" s="15" t="n">
        <v>38</v>
      </c>
      <c r="V5709" s="15">
        <f>ROUNDUP((T5709+U5709+2*'Read Me'!$B$13)*(1+'Read Me'!$B$12),-1)</f>
        <v/>
      </c>
      <c r="W5709" s="15">
        <f>V5709*N5709*O5709</f>
        <v/>
      </c>
      <c r="X5709" s="12">
        <f>IF(LEFT(I5709,2)="MV",2*N5709*IF(L5709="1/C",O5709,1),0)</f>
        <v/>
      </c>
      <c r="Y5709" s="12">
        <f>IF(OR(LEFT(K5709,4)="LVAX",LEFT(K5709,6)="MV15AX",LEFT(K5709,4)="CTAX",LEFT(K5709,2)="W|"),2*N5709*O5709,0)</f>
        <v/>
      </c>
      <c r="Z5709" s="12" t="inlineStr">
        <is>
          <t>VD 2.9 %</t>
        </is>
      </c>
      <c r="AA5709" s="12">
        <f>N5709*O5709</f>
        <v/>
      </c>
    </row>
    <row r="5710">
      <c r="A5710" s="12" t="inlineStr">
        <is>
          <t>J-P-0019</t>
        </is>
      </c>
      <c r="B5710" s="12" t="inlineStr">
        <is>
          <t>J</t>
        </is>
      </c>
      <c r="C5710" s="12" t="inlineStr">
        <is>
          <t>GT inlet chilling</t>
        </is>
      </c>
      <c r="D5710" s="12" t="inlineStr">
        <is>
          <t>Motor 8 of 12, 75 kW (VFD output)</t>
        </is>
      </c>
      <c r="E5710" s="12" t="inlineStr"/>
      <c r="F5710" s="12" t="inlineStr">
        <is>
          <t>Inlet-chilling e-house / transformer</t>
        </is>
      </c>
      <c r="G5710" s="12" t="inlineStr"/>
      <c r="H5710" s="12" t="inlineStr">
        <is>
          <t>Inlet-chilling tower (12 cells): chiller heat rejection</t>
        </is>
      </c>
      <c r="I5710" s="12" t="inlineStr">
        <is>
          <t>LV 600 V</t>
        </is>
      </c>
      <c r="J5710" s="12" t="inlineStr">
        <is>
          <t>VFD cable 600 V 3/C Cu XHHW-2, 3 symmetrical grounds, overall Cu tape shield, TC-ER</t>
        </is>
      </c>
      <c r="K5710" s="12" t="inlineStr">
        <is>
          <t>VFD|3/C+3G|2/0</t>
        </is>
      </c>
      <c r="L5710" s="12" t="inlineStr">
        <is>
          <t>3/C+3G</t>
        </is>
      </c>
      <c r="M5710" s="12" t="inlineStr">
        <is>
          <t>2/0</t>
        </is>
      </c>
      <c r="N5710" s="12" t="n">
        <v>1</v>
      </c>
      <c r="O5710" s="12" t="n">
        <v>1</v>
      </c>
      <c r="P5710" s="12" t="n">
        <v>480</v>
      </c>
      <c r="Q5710" s="12" t="n">
        <v>75</v>
      </c>
      <c r="R5710" s="12" t="n">
        <v>106</v>
      </c>
      <c r="S5710" s="12" t="inlineStr">
        <is>
          <t>Duct bank</t>
        </is>
      </c>
      <c r="T5710" s="15" t="n">
        <v>683</v>
      </c>
      <c r="U5710" s="15" t="n">
        <v>38</v>
      </c>
      <c r="V5710" s="15">
        <f>ROUNDUP((T5710+U5710+2*'Read Me'!$B$13)*(1+'Read Me'!$B$12),-1)</f>
        <v/>
      </c>
      <c r="W5710" s="15">
        <f>V5710*N5710*O5710</f>
        <v/>
      </c>
      <c r="X5710" s="12">
        <f>IF(LEFT(I5710,2)="MV",2*N5710*IF(L5710="1/C",O5710,1),0)</f>
        <v/>
      </c>
      <c r="Y5710" s="12">
        <f>IF(OR(LEFT(K5710,4)="LVAX",LEFT(K5710,6)="MV15AX",LEFT(K5710,4)="CTAX",LEFT(K5710,2)="W|"),2*N5710*O5710,0)</f>
        <v/>
      </c>
      <c r="Z5710" s="12" t="inlineStr">
        <is>
          <t>VD 2.9 %</t>
        </is>
      </c>
      <c r="AA5710" s="12">
        <f>N5710*O5710</f>
        <v/>
      </c>
    </row>
    <row r="5711">
      <c r="A5711" s="12" t="inlineStr">
        <is>
          <t>J-P-0020</t>
        </is>
      </c>
      <c r="B5711" s="12" t="inlineStr">
        <is>
          <t>J</t>
        </is>
      </c>
      <c r="C5711" s="12" t="inlineStr">
        <is>
          <t>GT inlet chilling</t>
        </is>
      </c>
      <c r="D5711" s="12" t="inlineStr">
        <is>
          <t>Motor 9 of 12, 75 kW (VFD output)</t>
        </is>
      </c>
      <c r="E5711" s="12" t="inlineStr"/>
      <c r="F5711" s="12" t="inlineStr">
        <is>
          <t>Inlet-chilling e-house / transformer</t>
        </is>
      </c>
      <c r="G5711" s="12" t="inlineStr"/>
      <c r="H5711" s="12" t="inlineStr">
        <is>
          <t>Inlet-chilling tower (12 cells): chiller heat rejection</t>
        </is>
      </c>
      <c r="I5711" s="12" t="inlineStr">
        <is>
          <t>LV 600 V</t>
        </is>
      </c>
      <c r="J5711" s="12" t="inlineStr">
        <is>
          <t>VFD cable 600 V 3/C Cu XHHW-2, 3 symmetrical grounds, overall Cu tape shield, TC-ER</t>
        </is>
      </c>
      <c r="K5711" s="12" t="inlineStr">
        <is>
          <t>VFD|3/C+3G|2/0</t>
        </is>
      </c>
      <c r="L5711" s="12" t="inlineStr">
        <is>
          <t>3/C+3G</t>
        </is>
      </c>
      <c r="M5711" s="12" t="inlineStr">
        <is>
          <t>2/0</t>
        </is>
      </c>
      <c r="N5711" s="12" t="n">
        <v>1</v>
      </c>
      <c r="O5711" s="12" t="n">
        <v>1</v>
      </c>
      <c r="P5711" s="12" t="n">
        <v>480</v>
      </c>
      <c r="Q5711" s="12" t="n">
        <v>75</v>
      </c>
      <c r="R5711" s="12" t="n">
        <v>106</v>
      </c>
      <c r="S5711" s="12" t="inlineStr">
        <is>
          <t>Duct bank</t>
        </is>
      </c>
      <c r="T5711" s="15" t="n">
        <v>683</v>
      </c>
      <c r="U5711" s="15" t="n">
        <v>38</v>
      </c>
      <c r="V5711" s="15">
        <f>ROUNDUP((T5711+U5711+2*'Read Me'!$B$13)*(1+'Read Me'!$B$12),-1)</f>
        <v/>
      </c>
      <c r="W5711" s="15">
        <f>V5711*N5711*O5711</f>
        <v/>
      </c>
      <c r="X5711" s="12">
        <f>IF(LEFT(I5711,2)="MV",2*N5711*IF(L5711="1/C",O5711,1),0)</f>
        <v/>
      </c>
      <c r="Y5711" s="12">
        <f>IF(OR(LEFT(K5711,4)="LVAX",LEFT(K5711,6)="MV15AX",LEFT(K5711,4)="CTAX",LEFT(K5711,2)="W|"),2*N5711*O5711,0)</f>
        <v/>
      </c>
      <c r="Z5711" s="12" t="inlineStr">
        <is>
          <t>VD 2.9 %</t>
        </is>
      </c>
      <c r="AA5711" s="12">
        <f>N5711*O5711</f>
        <v/>
      </c>
    </row>
    <row r="5712">
      <c r="A5712" s="12" t="inlineStr">
        <is>
          <t>J-P-0021</t>
        </is>
      </c>
      <c r="B5712" s="12" t="inlineStr">
        <is>
          <t>J</t>
        </is>
      </c>
      <c r="C5712" s="12" t="inlineStr">
        <is>
          <t>GT inlet chilling</t>
        </is>
      </c>
      <c r="D5712" s="12" t="inlineStr">
        <is>
          <t>Motor 10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J-P-0022</t>
        </is>
      </c>
      <c r="B5713" s="12" t="inlineStr">
        <is>
          <t>J</t>
        </is>
      </c>
      <c r="C5713" s="12" t="inlineStr">
        <is>
          <t>GT inlet chilling</t>
        </is>
      </c>
      <c r="D5713" s="12" t="inlineStr">
        <is>
          <t>Motor 11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J-P-0023</t>
        </is>
      </c>
      <c r="B5714" s="12" t="inlineStr">
        <is>
          <t>J</t>
        </is>
      </c>
      <c r="C5714" s="12" t="inlineStr">
        <is>
          <t>GT inlet chilling</t>
        </is>
      </c>
      <c r="D5714" s="12" t="inlineStr">
        <is>
          <t>Motor 12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J-P-0024</t>
        </is>
      </c>
      <c r="B5715" s="12" t="inlineStr">
        <is>
          <t>J</t>
        </is>
      </c>
      <c r="C5715" s="12" t="inlineStr">
        <is>
          <t>GT inlet chilling</t>
        </is>
      </c>
      <c r="D5715" s="12" t="inlineStr">
        <is>
          <t>Area / platform lighting circuit 1 (12 fixtures)</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Type TC-ER 600 V 3/C Cu XHHW-2 + ground, PVC jacket</t>
        </is>
      </c>
      <c r="K5715" s="12" t="inlineStr">
        <is>
          <t>LV|3/C+G|10</t>
        </is>
      </c>
      <c r="L5715" s="12" t="inlineStr">
        <is>
          <t>3/C+G</t>
        </is>
      </c>
      <c r="M5715" s="12" t="inlineStr">
        <is>
          <t>10</t>
        </is>
      </c>
      <c r="N5715" s="12" t="n">
        <v>1</v>
      </c>
      <c r="O5715" s="12" t="n">
        <v>1</v>
      </c>
      <c r="P5715" s="12" t="n">
        <v>480</v>
      </c>
      <c r="Q5715" s="12" t="n">
        <v>3</v>
      </c>
      <c r="R5715" s="12" t="n">
        <v>5</v>
      </c>
      <c r="S5715" s="12" t="inlineStr">
        <is>
          <t>Duct bank</t>
        </is>
      </c>
      <c r="T5715" s="15" t="n">
        <v>778</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fixture-to-fixture run included</t>
        </is>
      </c>
      <c r="AA5715" s="12">
        <f>N5715*O5715</f>
        <v/>
      </c>
    </row>
    <row r="5716">
      <c r="A5716" s="12" t="inlineStr">
        <is>
          <t>J-MV-0001</t>
        </is>
      </c>
      <c r="B5716" s="12" t="inlineStr">
        <is>
          <t>J</t>
        </is>
      </c>
      <c r="C5716" s="12" t="inlineStr">
        <is>
          <t>GT inlet chilling</t>
        </is>
      </c>
      <c r="D5716" s="12" t="inlineStr">
        <is>
          <t>Inlet-chilling e-house / transformer</t>
        </is>
      </c>
      <c r="E5716" s="12" t="inlineStr">
        <is>
          <t>SWGR-13.8-1</t>
        </is>
      </c>
      <c r="F5716" s="12" t="inlineStr">
        <is>
          <t>R1 SWGR-13.8-1 (11 x 36 in cubicles, 15 kV metal-clad)</t>
        </is>
      </c>
      <c r="G5716" s="12" t="inlineStr"/>
      <c r="H5716" s="12" t="inlineStr">
        <is>
          <t>Inlet-chilling e-house / transformer</t>
        </is>
      </c>
      <c r="I5716" s="12" t="inlineStr">
        <is>
          <t>MV 15 kV</t>
        </is>
      </c>
      <c r="J5716" s="12" t="inlineStr">
        <is>
          <t>MV-105 15 kV 1/C Cu, EPR 133%, Cu tape shield, PVC jacket (triplexed)</t>
        </is>
      </c>
      <c r="K5716" s="12" t="inlineStr">
        <is>
          <t>MV15|1/C|1000</t>
        </is>
      </c>
      <c r="L5716" s="12" t="inlineStr">
        <is>
          <t>1/C</t>
        </is>
      </c>
      <c r="M5716" s="12" t="inlineStr">
        <is>
          <t>1000 kcmil</t>
        </is>
      </c>
      <c r="N5716" s="12" t="n">
        <v>1</v>
      </c>
      <c r="O5716" s="12" t="n">
        <v>3</v>
      </c>
      <c r="P5716" s="12" t="n">
        <v>13800</v>
      </c>
      <c r="Q5716" s="12" t="n">
        <v>12000</v>
      </c>
      <c r="R5716" s="12" t="n">
        <v>502</v>
      </c>
      <c r="S5716" s="12" t="inlineStr">
        <is>
          <t>Duct bank</t>
        </is>
      </c>
      <c r="T5716" s="15" t="n">
        <v>629</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c r="AA5716" s="12">
        <f>N5716*O5716</f>
        <v/>
      </c>
    </row>
    <row r="5717">
      <c r="A5717" s="12" t="inlineStr">
        <is>
          <t>J-MV-0002</t>
        </is>
      </c>
      <c r="B5717" s="12" t="inlineStr">
        <is>
          <t>J</t>
        </is>
      </c>
      <c r="C5717" s="12" t="inlineStr">
        <is>
          <t>GT inlet chilling</t>
        </is>
      </c>
      <c r="D5717" s="12" t="inlineStr">
        <is>
          <t>Inlet-chilling CW pump 1</t>
        </is>
      </c>
      <c r="E5717" s="12" t="inlineStr"/>
      <c r="F5717" s="12" t="inlineStr">
        <is>
          <t>Inlet-chilling e-house / transformer</t>
        </is>
      </c>
      <c r="G5717" s="12" t="inlineStr"/>
      <c r="H5717" s="12" t="inlineStr">
        <is>
          <t>CW pumps (inlet chilling)</t>
        </is>
      </c>
      <c r="I5717" s="12" t="inlineStr">
        <is>
          <t>MV 5 kV</t>
        </is>
      </c>
      <c r="J5717" s="12" t="inlineStr">
        <is>
          <t>MV-105 5 kV 3/C Cu, EPR 133%, tape shield, gnd, PVC jacket</t>
        </is>
      </c>
      <c r="K5717" s="12" t="inlineStr">
        <is>
          <t>MV5|3/C|2</t>
        </is>
      </c>
      <c r="L5717" s="12" t="inlineStr">
        <is>
          <t>3/C</t>
        </is>
      </c>
      <c r="M5717" s="12" t="inlineStr">
        <is>
          <t>2</t>
        </is>
      </c>
      <c r="N5717" s="12" t="n">
        <v>1</v>
      </c>
      <c r="O5717" s="12" t="n">
        <v>1</v>
      </c>
      <c r="P5717" s="12" t="n">
        <v>4160</v>
      </c>
      <c r="Q5717" s="12" t="n">
        <v>450</v>
      </c>
      <c r="R5717" s="12" t="n">
        <v>69</v>
      </c>
      <c r="S5717" s="12" t="inlineStr">
        <is>
          <t>Tray</t>
        </is>
      </c>
      <c r="T5717" s="15" t="n">
        <v>0</v>
      </c>
      <c r="U5717" s="15" t="n">
        <v>70</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J-MV-0003</t>
        </is>
      </c>
      <c r="B5718" s="12" t="inlineStr">
        <is>
          <t>J</t>
        </is>
      </c>
      <c r="C5718" s="12" t="inlineStr">
        <is>
          <t>GT inlet chilling</t>
        </is>
      </c>
      <c r="D5718" s="12" t="inlineStr">
        <is>
          <t>Inlet-chilling CW pump 2</t>
        </is>
      </c>
      <c r="E5718" s="12" t="inlineStr"/>
      <c r="F5718" s="12" t="inlineStr">
        <is>
          <t>Inlet-chilling e-house / transformer</t>
        </is>
      </c>
      <c r="G5718" s="12" t="inlineStr"/>
      <c r="H5718" s="12" t="inlineStr">
        <is>
          <t>CW pumps (inlet chilling)</t>
        </is>
      </c>
      <c r="I5718" s="12" t="inlineStr">
        <is>
          <t>MV 5 kV</t>
        </is>
      </c>
      <c r="J5718" s="12" t="inlineStr">
        <is>
          <t>MV-105 5 kV 3/C Cu, EPR 133%, tape shield, gnd, PVC jacket</t>
        </is>
      </c>
      <c r="K5718" s="12" t="inlineStr">
        <is>
          <t>MV5|3/C|2</t>
        </is>
      </c>
      <c r="L5718" s="12" t="inlineStr">
        <is>
          <t>3/C</t>
        </is>
      </c>
      <c r="M5718" s="12" t="inlineStr">
        <is>
          <t>2</t>
        </is>
      </c>
      <c r="N5718" s="12" t="n">
        <v>1</v>
      </c>
      <c r="O5718" s="12" t="n">
        <v>1</v>
      </c>
      <c r="P5718" s="12" t="n">
        <v>4160</v>
      </c>
      <c r="Q5718" s="12" t="n">
        <v>450</v>
      </c>
      <c r="R5718" s="12" t="n">
        <v>69</v>
      </c>
      <c r="S5718" s="12" t="inlineStr">
        <is>
          <t>Tray</t>
        </is>
      </c>
      <c r="T5718" s="15" t="n">
        <v>0</v>
      </c>
      <c r="U5718" s="15" t="n">
        <v>70</v>
      </c>
      <c r="V5718" s="15">
        <f>ROUNDUP((T5718+U5718+2*'Read Me'!$B$13)*(1+'Read Me'!$B$12),-1)</f>
        <v/>
      </c>
      <c r="W5718" s="15">
        <f>V5718*N5718*O5718</f>
        <v/>
      </c>
      <c r="X5718" s="12">
        <f>IF(LEFT(I5718,2)="MV",2*N5718*IF(L5718="1/C",O5718,1),0)</f>
        <v/>
      </c>
      <c r="Y5718" s="12">
        <f>IF(OR(LEFT(K5718,4)="LVAX",LEFT(K5718,6)="MV15AX",LEFT(K5718,4)="CTAX",LEFT(K5718,2)="W|"),2*N5718*O5718,0)</f>
        <v/>
      </c>
      <c r="Z5718" s="12" t="inlineStr"/>
      <c r="AA5718" s="12">
        <f>N5718*O5718</f>
        <v/>
      </c>
    </row>
    <row r="5719">
      <c r="A5719" s="12" t="inlineStr">
        <is>
          <t>J-MV-0004</t>
        </is>
      </c>
      <c r="B5719" s="12" t="inlineStr">
        <is>
          <t>J</t>
        </is>
      </c>
      <c r="C5719" s="12" t="inlineStr">
        <is>
          <t>GT inlet chilling</t>
        </is>
      </c>
      <c r="D5719" s="12" t="inlineStr">
        <is>
          <t>Inlet-chilling CW pump 3</t>
        </is>
      </c>
      <c r="E5719" s="12" t="inlineStr"/>
      <c r="F5719" s="12" t="inlineStr">
        <is>
          <t>Inlet-chilling e-house / transformer</t>
        </is>
      </c>
      <c r="G5719" s="12" t="inlineStr"/>
      <c r="H5719" s="12" t="inlineStr">
        <is>
          <t>CW pumps (inlet chilling)</t>
        </is>
      </c>
      <c r="I5719" s="12" t="inlineStr">
        <is>
          <t>MV 5 kV</t>
        </is>
      </c>
      <c r="J5719" s="12" t="inlineStr">
        <is>
          <t>MV-105 5 kV 3/C Cu, EPR 133%, tape shield, gnd, PVC jacket</t>
        </is>
      </c>
      <c r="K5719" s="12" t="inlineStr">
        <is>
          <t>MV5|3/C|2</t>
        </is>
      </c>
      <c r="L5719" s="12" t="inlineStr">
        <is>
          <t>3/C</t>
        </is>
      </c>
      <c r="M5719" s="12" t="inlineStr">
        <is>
          <t>2</t>
        </is>
      </c>
      <c r="N5719" s="12" t="n">
        <v>1</v>
      </c>
      <c r="O5719" s="12" t="n">
        <v>1</v>
      </c>
      <c r="P5719" s="12" t="n">
        <v>4160</v>
      </c>
      <c r="Q5719" s="12" t="n">
        <v>450</v>
      </c>
      <c r="R5719" s="12" t="n">
        <v>69</v>
      </c>
      <c r="S5719" s="12" t="inlineStr">
        <is>
          <t>Tray</t>
        </is>
      </c>
      <c r="T5719" s="15" t="n">
        <v>0</v>
      </c>
      <c r="U5719" s="15" t="n">
        <v>70</v>
      </c>
      <c r="V5719" s="15">
        <f>ROUNDUP((T5719+U5719+2*'Read Me'!$B$13)*(1+'Read Me'!$B$12),-1)</f>
        <v/>
      </c>
      <c r="W5719" s="15">
        <f>V5719*N5719*O5719</f>
        <v/>
      </c>
      <c r="X5719" s="12">
        <f>IF(LEFT(I5719,2)="MV",2*N5719*IF(L5719="1/C",O5719,1),0)</f>
        <v/>
      </c>
      <c r="Y5719" s="12">
        <f>IF(OR(LEFT(K5719,4)="LVAX",LEFT(K5719,6)="MV15AX",LEFT(K5719,4)="CTAX",LEFT(K5719,2)="W|"),2*N5719*O5719,0)</f>
        <v/>
      </c>
      <c r="Z5719" s="12" t="inlineStr"/>
      <c r="AA5719" s="12">
        <f>N5719*O5719</f>
        <v/>
      </c>
    </row>
    <row r="5720">
      <c r="A5720" s="12" t="inlineStr">
        <is>
          <t>J-MV-0005</t>
        </is>
      </c>
      <c r="B5720" s="12" t="inlineStr">
        <is>
          <t>J</t>
        </is>
      </c>
      <c r="C5720" s="12" t="inlineStr">
        <is>
          <t>GT inlet chilling</t>
        </is>
      </c>
      <c r="D5720" s="12" t="inlineStr">
        <is>
          <t>Inlet-chilling CW pump 4</t>
        </is>
      </c>
      <c r="E5720" s="12" t="inlineStr"/>
      <c r="F5720" s="12" t="inlineStr">
        <is>
          <t>Inlet-chilling e-house / transformer</t>
        </is>
      </c>
      <c r="G5720" s="12" t="inlineStr"/>
      <c r="H5720" s="12" t="inlineStr">
        <is>
          <t>CW pumps (inlet chilling)</t>
        </is>
      </c>
      <c r="I5720" s="12" t="inlineStr">
        <is>
          <t>MV 5 kV</t>
        </is>
      </c>
      <c r="J5720" s="12" t="inlineStr">
        <is>
          <t>MV-105 5 kV 3/C Cu, EPR 133%, tape shield, gnd, PVC jacket</t>
        </is>
      </c>
      <c r="K5720" s="12" t="inlineStr">
        <is>
          <t>MV5|3/C|2</t>
        </is>
      </c>
      <c r="L5720" s="12" t="inlineStr">
        <is>
          <t>3/C</t>
        </is>
      </c>
      <c r="M5720" s="12" t="inlineStr">
        <is>
          <t>2</t>
        </is>
      </c>
      <c r="N5720" s="12" t="n">
        <v>1</v>
      </c>
      <c r="O5720" s="12" t="n">
        <v>1</v>
      </c>
      <c r="P5720" s="12" t="n">
        <v>4160</v>
      </c>
      <c r="Q5720" s="12" t="n">
        <v>450</v>
      </c>
      <c r="R5720" s="12" t="n">
        <v>69</v>
      </c>
      <c r="S5720" s="12" t="inlineStr">
        <is>
          <t>Tray</t>
        </is>
      </c>
      <c r="T5720" s="15" t="n">
        <v>0</v>
      </c>
      <c r="U5720" s="15" t="n">
        <v>70</v>
      </c>
      <c r="V5720" s="15">
        <f>ROUNDUP((T5720+U5720+2*'Read Me'!$B$13)*(1+'Read Me'!$B$12),-1)</f>
        <v/>
      </c>
      <c r="W5720" s="15">
        <f>V5720*N5720*O5720</f>
        <v/>
      </c>
      <c r="X5720" s="12">
        <f>IF(LEFT(I5720,2)="MV",2*N5720*IF(L5720="1/C",O5720,1),0)</f>
        <v/>
      </c>
      <c r="Y5720" s="12">
        <f>IF(OR(LEFT(K5720,4)="LVAX",LEFT(K5720,6)="MV15AX",LEFT(K5720,4)="CTAX",LEFT(K5720,2)="W|"),2*N5720*O5720,0)</f>
        <v/>
      </c>
      <c r="Z5720" s="12" t="inlineStr"/>
      <c r="AA5720" s="12">
        <f>N5720*O5720</f>
        <v/>
      </c>
    </row>
    <row r="5721">
      <c r="A5721" s="12" t="inlineStr">
        <is>
          <t>J-MV-0006</t>
        </is>
      </c>
      <c r="B5721" s="12" t="inlineStr">
        <is>
          <t>J</t>
        </is>
      </c>
      <c r="C5721" s="12" t="inlineStr">
        <is>
          <t>GT inlet chilling</t>
        </is>
      </c>
      <c r="D5721" s="12" t="inlineStr">
        <is>
          <t>Water-cooled chiller CH-1</t>
        </is>
      </c>
      <c r="E5721" s="12" t="inlineStr"/>
      <c r="F5721" s="12" t="inlineStr">
        <is>
          <t>Inlet-chilling e-house / transformer</t>
        </is>
      </c>
      <c r="G5721" s="12" t="inlineStr"/>
      <c r="H5721" s="12" t="inlineStr">
        <is>
          <t>Chillers x6 (water-cooled)</t>
        </is>
      </c>
      <c r="I5721" s="12" t="inlineStr">
        <is>
          <t>MV 5 kV</t>
        </is>
      </c>
      <c r="J5721" s="12" t="inlineStr">
        <is>
          <t>MV-105 5 kV 3/C Cu, EPR 133%, tape shield, gnd, PVC jacket</t>
        </is>
      </c>
      <c r="K5721" s="12" t="inlineStr">
        <is>
          <t>MV5|3/C|250</t>
        </is>
      </c>
      <c r="L5721" s="12" t="inlineStr">
        <is>
          <t>3/C</t>
        </is>
      </c>
      <c r="M5721" s="12" t="inlineStr">
        <is>
          <t>250 kcmil</t>
        </is>
      </c>
      <c r="N5721" s="12" t="n">
        <v>1</v>
      </c>
      <c r="O5721" s="12" t="n">
        <v>1</v>
      </c>
      <c r="P5721" s="12" t="n">
        <v>4160</v>
      </c>
      <c r="Q5721" s="12" t="n">
        <v>1500</v>
      </c>
      <c r="R5721" s="12" t="n">
        <v>231</v>
      </c>
      <c r="S5721" s="12" t="inlineStr">
        <is>
          <t>Duct bank</t>
        </is>
      </c>
      <c r="T5721" s="15" t="n">
        <v>10</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J-MV-0007</t>
        </is>
      </c>
      <c r="B5722" s="12" t="inlineStr">
        <is>
          <t>J</t>
        </is>
      </c>
      <c r="C5722" s="12" t="inlineStr">
        <is>
          <t>GT inlet chilling</t>
        </is>
      </c>
      <c r="D5722" s="12" t="inlineStr">
        <is>
          <t>Water-cooled chiller CH-2</t>
        </is>
      </c>
      <c r="E5722" s="12" t="inlineStr"/>
      <c r="F5722" s="12" t="inlineStr">
        <is>
          <t>Inlet-chilling e-house / transformer</t>
        </is>
      </c>
      <c r="G5722" s="12" t="inlineStr"/>
      <c r="H5722" s="12" t="inlineStr">
        <is>
          <t>Chillers x6 (water-cooled)</t>
        </is>
      </c>
      <c r="I5722" s="12" t="inlineStr">
        <is>
          <t>MV 5 kV</t>
        </is>
      </c>
      <c r="J5722" s="12" t="inlineStr">
        <is>
          <t>MV-105 5 kV 3/C Cu, EPR 133%, tape shield, gnd, PVC jacket</t>
        </is>
      </c>
      <c r="K5722" s="12" t="inlineStr">
        <is>
          <t>MV5|3/C|250</t>
        </is>
      </c>
      <c r="L5722" s="12" t="inlineStr">
        <is>
          <t>3/C</t>
        </is>
      </c>
      <c r="M5722" s="12" t="inlineStr">
        <is>
          <t>250 kcmil</t>
        </is>
      </c>
      <c r="N5722" s="12" t="n">
        <v>1</v>
      </c>
      <c r="O5722" s="12" t="n">
        <v>1</v>
      </c>
      <c r="P5722" s="12" t="n">
        <v>4160</v>
      </c>
      <c r="Q5722" s="12" t="n">
        <v>1500</v>
      </c>
      <c r="R5722" s="12" t="n">
        <v>231</v>
      </c>
      <c r="S5722" s="12" t="inlineStr">
        <is>
          <t>Duct bank</t>
        </is>
      </c>
      <c r="T5722" s="15" t="n">
        <v>10</v>
      </c>
      <c r="U5722" s="15" t="n">
        <v>32</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J-MV-0008</t>
        </is>
      </c>
      <c r="B5723" s="12" t="inlineStr">
        <is>
          <t>J</t>
        </is>
      </c>
      <c r="C5723" s="12" t="inlineStr">
        <is>
          <t>GT inlet chilling</t>
        </is>
      </c>
      <c r="D5723" s="12" t="inlineStr">
        <is>
          <t>Water-cooled chiller CH-3</t>
        </is>
      </c>
      <c r="E5723" s="12" t="inlineStr"/>
      <c r="F5723" s="12" t="inlineStr">
        <is>
          <t>Inlet-chilling e-house / transformer</t>
        </is>
      </c>
      <c r="G5723" s="12" t="inlineStr"/>
      <c r="H5723" s="12" t="inlineStr">
        <is>
          <t>Chillers x6 (water-cooled)</t>
        </is>
      </c>
      <c r="I5723" s="12" t="inlineStr">
        <is>
          <t>MV 5 kV</t>
        </is>
      </c>
      <c r="J5723" s="12" t="inlineStr">
        <is>
          <t>MV-105 5 kV 3/C Cu, EPR 133%, tape shield, gnd, PVC jacket</t>
        </is>
      </c>
      <c r="K5723" s="12" t="inlineStr">
        <is>
          <t>MV5|3/C|250</t>
        </is>
      </c>
      <c r="L5723" s="12" t="inlineStr">
        <is>
          <t>3/C</t>
        </is>
      </c>
      <c r="M5723" s="12" t="inlineStr">
        <is>
          <t>250 kcmil</t>
        </is>
      </c>
      <c r="N5723" s="12" t="n">
        <v>1</v>
      </c>
      <c r="O5723" s="12" t="n">
        <v>1</v>
      </c>
      <c r="P5723" s="12" t="n">
        <v>4160</v>
      </c>
      <c r="Q5723" s="12" t="n">
        <v>1500</v>
      </c>
      <c r="R5723" s="12" t="n">
        <v>231</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c r="AA5723" s="12">
        <f>N5723*O5723</f>
        <v/>
      </c>
    </row>
    <row r="5724">
      <c r="A5724" s="12" t="inlineStr">
        <is>
          <t>J-MV-0009</t>
        </is>
      </c>
      <c r="B5724" s="12" t="inlineStr">
        <is>
          <t>J</t>
        </is>
      </c>
      <c r="C5724" s="12" t="inlineStr">
        <is>
          <t>GT inlet chilling</t>
        </is>
      </c>
      <c r="D5724" s="12" t="inlineStr">
        <is>
          <t>Water-cooled chiller CH-4</t>
        </is>
      </c>
      <c r="E5724" s="12" t="inlineStr"/>
      <c r="F5724" s="12" t="inlineStr">
        <is>
          <t>Inlet-chilling e-house / transformer</t>
        </is>
      </c>
      <c r="G5724" s="12" t="inlineStr"/>
      <c r="H5724" s="12" t="inlineStr">
        <is>
          <t>Chillers x6 (water-cooled)</t>
        </is>
      </c>
      <c r="I5724" s="12" t="inlineStr">
        <is>
          <t>MV 5 kV</t>
        </is>
      </c>
      <c r="J5724" s="12" t="inlineStr">
        <is>
          <t>MV-105 5 kV 3/C Cu, EPR 133%, tape shield, gnd, PVC jacket</t>
        </is>
      </c>
      <c r="K5724" s="12" t="inlineStr">
        <is>
          <t>MV5|3/C|250</t>
        </is>
      </c>
      <c r="L5724" s="12" t="inlineStr">
        <is>
          <t>3/C</t>
        </is>
      </c>
      <c r="M5724" s="12" t="inlineStr">
        <is>
          <t>250 kcmil</t>
        </is>
      </c>
      <c r="N5724" s="12" t="n">
        <v>1</v>
      </c>
      <c r="O5724" s="12" t="n">
        <v>1</v>
      </c>
      <c r="P5724" s="12" t="n">
        <v>4160</v>
      </c>
      <c r="Q5724" s="12" t="n">
        <v>1500</v>
      </c>
      <c r="R5724" s="12" t="n">
        <v>231</v>
      </c>
      <c r="S5724" s="12" t="inlineStr">
        <is>
          <t>Duct bank</t>
        </is>
      </c>
      <c r="T5724" s="15" t="n">
        <v>10</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J-MV-0010</t>
        </is>
      </c>
      <c r="B5725" s="12" t="inlineStr">
        <is>
          <t>J</t>
        </is>
      </c>
      <c r="C5725" s="12" t="inlineStr">
        <is>
          <t>GT inlet chilling</t>
        </is>
      </c>
      <c r="D5725" s="12" t="inlineStr">
        <is>
          <t>Water-cooled chiller CH-5</t>
        </is>
      </c>
      <c r="E5725" s="12" t="inlineStr"/>
      <c r="F5725" s="12" t="inlineStr">
        <is>
          <t>Inlet-chilling e-house / transformer</t>
        </is>
      </c>
      <c r="G5725" s="12" t="inlineStr"/>
      <c r="H5725" s="12" t="inlineStr">
        <is>
          <t>Chillers x6 (water-cooled)</t>
        </is>
      </c>
      <c r="I5725" s="12" t="inlineStr">
        <is>
          <t>MV 5 kV</t>
        </is>
      </c>
      <c r="J5725" s="12" t="inlineStr">
        <is>
          <t>MV-105 5 kV 3/C Cu, EPR 133%, tape shield, gnd, PVC jacket</t>
        </is>
      </c>
      <c r="K5725" s="12" t="inlineStr">
        <is>
          <t>MV5|3/C|250</t>
        </is>
      </c>
      <c r="L5725" s="12" t="inlineStr">
        <is>
          <t>3/C</t>
        </is>
      </c>
      <c r="M5725" s="12" t="inlineStr">
        <is>
          <t>250 kcmil</t>
        </is>
      </c>
      <c r="N5725" s="12" t="n">
        <v>1</v>
      </c>
      <c r="O5725" s="12" t="n">
        <v>1</v>
      </c>
      <c r="P5725" s="12" t="n">
        <v>4160</v>
      </c>
      <c r="Q5725" s="12" t="n">
        <v>1500</v>
      </c>
      <c r="R5725" s="12" t="n">
        <v>231</v>
      </c>
      <c r="S5725" s="12" t="inlineStr">
        <is>
          <t>Duct bank</t>
        </is>
      </c>
      <c r="T5725" s="15" t="n">
        <v>10</v>
      </c>
      <c r="U5725" s="15" t="n">
        <v>32</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J-MV-0011</t>
        </is>
      </c>
      <c r="B5726" s="12" t="inlineStr">
        <is>
          <t>J</t>
        </is>
      </c>
      <c r="C5726" s="12" t="inlineStr">
        <is>
          <t>GT inlet chilling</t>
        </is>
      </c>
      <c r="D5726" s="12" t="inlineStr">
        <is>
          <t>Water-cooled chiller CH-6</t>
        </is>
      </c>
      <c r="E5726" s="12" t="inlineStr"/>
      <c r="F5726" s="12" t="inlineStr">
        <is>
          <t>Inlet-chilling e-house / transformer</t>
        </is>
      </c>
      <c r="G5726" s="12" t="inlineStr"/>
      <c r="H5726" s="12" t="inlineStr">
        <is>
          <t>Chillers x6 (water-cooled)</t>
        </is>
      </c>
      <c r="I5726" s="12" t="inlineStr">
        <is>
          <t>MV 5 kV</t>
        </is>
      </c>
      <c r="J5726" s="12" t="inlineStr">
        <is>
          <t>MV-105 5 kV 3/C Cu, EPR 133%, tape shield, gnd, PVC jacket</t>
        </is>
      </c>
      <c r="K5726" s="12" t="inlineStr">
        <is>
          <t>MV5|3/C|250</t>
        </is>
      </c>
      <c r="L5726" s="12" t="inlineStr">
        <is>
          <t>3/C</t>
        </is>
      </c>
      <c r="M5726" s="12" t="inlineStr">
        <is>
          <t>250 kcmil</t>
        </is>
      </c>
      <c r="N5726" s="12" t="n">
        <v>1</v>
      </c>
      <c r="O5726" s="12" t="n">
        <v>1</v>
      </c>
      <c r="P5726" s="12" t="n">
        <v>4160</v>
      </c>
      <c r="Q5726" s="12" t="n">
        <v>1500</v>
      </c>
      <c r="R5726" s="12" t="n">
        <v>231</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K-L-0001</t>
        </is>
      </c>
      <c r="B5727" s="12" t="inlineStr">
        <is>
          <t>K</t>
        </is>
      </c>
      <c r="C5727" s="12" t="inlineStr">
        <is>
          <t>Fuel supply (adjacent market)</t>
        </is>
      </c>
      <c r="D5727" s="12" t="inlineStr">
        <is>
          <t>Lighting, receptacles and small power branch circuits (allowance)</t>
        </is>
      </c>
      <c r="E5727" s="12" t="inlineStr"/>
      <c r="F5727" s="12" t="inlineStr">
        <is>
          <t>H2 20: 13.8 kV e-house</t>
        </is>
      </c>
      <c r="G5727" s="12" t="inlineStr"/>
      <c r="H5727" s="12" t="inlineStr">
        <is>
          <t>H2 20: 13.8 kV e-house</t>
        </is>
      </c>
      <c r="I5727" s="12" t="inlineStr">
        <is>
          <t>Building wire</t>
        </is>
      </c>
      <c r="J5727" s="12" t="inlineStr">
        <is>
          <t>SIMpull THHN/THWN-2 600 V 1/C Cu (lighting, receptacles, small power)</t>
        </is>
      </c>
      <c r="K5727" s="12" t="inlineStr">
        <is>
          <t>THHN|1/C|12</t>
        </is>
      </c>
      <c r="L5727" s="12" t="inlineStr">
        <is>
          <t>1/C</t>
        </is>
      </c>
      <c r="M5727" s="12" t="inlineStr">
        <is>
          <t>12</t>
        </is>
      </c>
      <c r="N5727" s="12" t="n">
        <v>1</v>
      </c>
      <c r="O5727" s="12" t="n">
        <v>1</v>
      </c>
      <c r="P5727" s="12" t="n">
        <v>277</v>
      </c>
      <c r="Q5727" s="12" t="n"/>
      <c r="R5727" s="12" t="n"/>
      <c r="S5727" s="12" t="inlineStr">
        <is>
          <t>Conduit</t>
        </is>
      </c>
      <c r="T5727" s="15" t="n">
        <v>1536</v>
      </c>
      <c r="U5727" s="15" t="n">
        <v>0</v>
      </c>
      <c r="V5727" s="15">
        <f>ROUNDUP((T5727+U5727+2*'Read Me'!$B$13)*(1+'Read Me'!$B$12),-1)</f>
        <v/>
      </c>
      <c r="W5727" s="15">
        <f>V5727*N5727*O5727</f>
        <v/>
      </c>
      <c r="X5727" s="12">
        <f>IF(LEFT(I5727,2)="MV",2*N5727*IF(L5727="1/C",O5727,1),0)</f>
        <v/>
      </c>
      <c r="Y5727" s="12">
        <f>IF(OR(LEFT(K5727,4)="LVAX",LEFT(K5727,6)="MV15AX",LEFT(K5727,4)="CTAX",LEFT(K5727,2)="W|"),2*N5727*O5727,0)</f>
        <v/>
      </c>
      <c r="Z5727" s="12" t="inlineStr">
        <is>
          <t>allowance: 1.6 ft of conductor per ft2 of floor</t>
        </is>
      </c>
      <c r="AA5727" s="12">
        <f>N5727*O5727</f>
        <v/>
      </c>
    </row>
    <row r="5728">
      <c r="A5728" s="12" t="inlineStr">
        <is>
          <t>K-L-0002</t>
        </is>
      </c>
      <c r="B5728" s="12" t="inlineStr">
        <is>
          <t>K</t>
        </is>
      </c>
      <c r="C5728" s="12" t="inlineStr">
        <is>
          <t>Fuel supply (adjacent market)</t>
        </is>
      </c>
      <c r="D5728" s="12" t="inlineStr">
        <is>
          <t>Lighting, receptacles and small power branch circuits (allowance)</t>
        </is>
      </c>
      <c r="E5728" s="12" t="inlineStr"/>
      <c r="F5728" s="12" t="inlineStr">
        <is>
          <t>LNG 17: LNG e-house (13.8 kV / 480 V)</t>
        </is>
      </c>
      <c r="G5728" s="12" t="inlineStr"/>
      <c r="H5728" s="12" t="inlineStr">
        <is>
          <t>LNG 17: LNG e-house (13.8 kV / 480 V)</t>
        </is>
      </c>
      <c r="I5728" s="12" t="inlineStr">
        <is>
          <t>Building wire</t>
        </is>
      </c>
      <c r="J5728" s="12" t="inlineStr">
        <is>
          <t>SIMpull THHN/THWN-2 600 V 1/C Cu (lighting, receptacles, small power)</t>
        </is>
      </c>
      <c r="K5728" s="12" t="inlineStr">
        <is>
          <t>THHN|1/C|12</t>
        </is>
      </c>
      <c r="L5728" s="12" t="inlineStr">
        <is>
          <t>1/C</t>
        </is>
      </c>
      <c r="M5728" s="12" t="inlineStr">
        <is>
          <t>12</t>
        </is>
      </c>
      <c r="N5728" s="12" t="n">
        <v>1</v>
      </c>
      <c r="O5728" s="12" t="n">
        <v>1</v>
      </c>
      <c r="P5728" s="12" t="n">
        <v>277</v>
      </c>
      <c r="Q5728" s="12" t="n"/>
      <c r="R5728" s="12" t="n"/>
      <c r="S5728" s="12" t="inlineStr">
        <is>
          <t>Conduit</t>
        </is>
      </c>
      <c r="T5728" s="15" t="n">
        <v>896</v>
      </c>
      <c r="U5728" s="15" t="n">
        <v>0</v>
      </c>
      <c r="V5728" s="15">
        <f>ROUNDUP((T5728+U5728+2*'Read Me'!$B$13)*(1+'Read Me'!$B$12),-1)</f>
        <v/>
      </c>
      <c r="W5728" s="15">
        <f>V5728*N5728*O5728</f>
        <v/>
      </c>
      <c r="X5728" s="12">
        <f>IF(LEFT(I5728,2)="MV",2*N5728*IF(L5728="1/C",O5728,1),0)</f>
        <v/>
      </c>
      <c r="Y5728" s="12">
        <f>IF(OR(LEFT(K5728,4)="LVAX",LEFT(K5728,6)="MV15AX",LEFT(K5728,4)="CTAX",LEFT(K5728,2)="W|"),2*N5728*O5728,0)</f>
        <v/>
      </c>
      <c r="Z5728" s="12" t="inlineStr">
        <is>
          <t>allowance: 1.6 ft of conductor per ft2 of floor</t>
        </is>
      </c>
      <c r="AA5728" s="12">
        <f>N5728*O5728</f>
        <v/>
      </c>
    </row>
    <row r="5729">
      <c r="A5729" s="12" t="inlineStr">
        <is>
          <t>K-L-0003</t>
        </is>
      </c>
      <c r="B5729" s="12" t="inlineStr">
        <is>
          <t>K</t>
        </is>
      </c>
      <c r="C5729" s="12" t="inlineStr">
        <is>
          <t>Fuel supply (adjacent market)</t>
        </is>
      </c>
      <c r="D5729" s="12" t="inlineStr">
        <is>
          <t>Lighting, receptacles and small power branch circuits (allowance)</t>
        </is>
      </c>
      <c r="E5729" s="12" t="inlineStr"/>
      <c r="F5729" s="12" t="inlineStr">
        <is>
          <t>M&amp;R 6: regulation / flow control building</t>
        </is>
      </c>
      <c r="G5729" s="12" t="inlineStr"/>
      <c r="H5729" s="12" t="inlineStr">
        <is>
          <t>M&amp;R 6: regulation / flow control building</t>
        </is>
      </c>
      <c r="I5729" s="12" t="inlineStr">
        <is>
          <t>Building wire</t>
        </is>
      </c>
      <c r="J5729" s="12" t="inlineStr">
        <is>
          <t>SIMpull THHN/THWN-2 600 V 1/C Cu (lighting, receptacles, small power)</t>
        </is>
      </c>
      <c r="K5729" s="12" t="inlineStr">
        <is>
          <t>THHN|1/C|12</t>
        </is>
      </c>
      <c r="L5729" s="12" t="inlineStr">
        <is>
          <t>1/C</t>
        </is>
      </c>
      <c r="M5729" s="12" t="inlineStr">
        <is>
          <t>12</t>
        </is>
      </c>
      <c r="N5729" s="12" t="n">
        <v>1</v>
      </c>
      <c r="O5729" s="12" t="n">
        <v>1</v>
      </c>
      <c r="P5729" s="12" t="n">
        <v>277</v>
      </c>
      <c r="Q5729" s="12" t="n"/>
      <c r="R5729" s="12" t="n"/>
      <c r="S5729" s="12" t="inlineStr">
        <is>
          <t>Conduit</t>
        </is>
      </c>
      <c r="T5729" s="15" t="n">
        <v>1440</v>
      </c>
      <c r="U5729" s="15" t="n">
        <v>0</v>
      </c>
      <c r="V5729" s="15">
        <f>ROUNDUP((T5729+U5729+2*'Read Me'!$B$13)*(1+'Read Me'!$B$12),-1)</f>
        <v/>
      </c>
      <c r="W5729" s="15">
        <f>V5729*N5729*O5729</f>
        <v/>
      </c>
      <c r="X5729" s="12">
        <f>IF(LEFT(I5729,2)="MV",2*N5729*IF(L5729="1/C",O5729,1),0)</f>
        <v/>
      </c>
      <c r="Y5729" s="12">
        <f>IF(OR(LEFT(K5729,4)="LVAX",LEFT(K5729,6)="MV15AX",LEFT(K5729,4)="CTAX",LEFT(K5729,2)="W|"),2*N5729*O5729,0)</f>
        <v/>
      </c>
      <c r="Z5729" s="12" t="inlineStr">
        <is>
          <t>allowance: 1.6 ft of conductor per ft2 of floor</t>
        </is>
      </c>
      <c r="AA5729" s="12">
        <f>N5729*O5729</f>
        <v/>
      </c>
    </row>
    <row r="5730">
      <c r="A5730" s="12" t="inlineStr">
        <is>
          <t>K-L-0004</t>
        </is>
      </c>
      <c r="B5730" s="12" t="inlineStr">
        <is>
          <t>K</t>
        </is>
      </c>
      <c r="C5730" s="12" t="inlineStr">
        <is>
          <t>Fuel supply (adjacent market)</t>
        </is>
      </c>
      <c r="D5730" s="12" t="inlineStr">
        <is>
          <t>Lighting, receptacles and small power branch circuits (allowance)</t>
        </is>
      </c>
      <c r="E5730" s="12" t="inlineStr"/>
      <c r="F5730" s="12" t="inlineStr">
        <is>
          <t>M&amp;R 7: gas quality + measurement building</t>
        </is>
      </c>
      <c r="G5730" s="12" t="inlineStr"/>
      <c r="H5730" s="12" t="inlineStr">
        <is>
          <t>M&amp;R 7: gas quality + measurement building</t>
        </is>
      </c>
      <c r="I5730" s="12" t="inlineStr">
        <is>
          <t>Building wire</t>
        </is>
      </c>
      <c r="J5730" s="12" t="inlineStr">
        <is>
          <t>SIMpull THHN/THWN-2 600 V 1/C Cu (lighting, receptacles, small power)</t>
        </is>
      </c>
      <c r="K5730" s="12" t="inlineStr">
        <is>
          <t>THHN|1/C|12</t>
        </is>
      </c>
      <c r="L5730" s="12" t="inlineStr">
        <is>
          <t>1/C</t>
        </is>
      </c>
      <c r="M5730" s="12" t="inlineStr">
        <is>
          <t>12</t>
        </is>
      </c>
      <c r="N5730" s="12" t="n">
        <v>1</v>
      </c>
      <c r="O5730" s="12" t="n">
        <v>1</v>
      </c>
      <c r="P5730" s="12" t="n">
        <v>277</v>
      </c>
      <c r="Q5730" s="12" t="n"/>
      <c r="R5730" s="12" t="n"/>
      <c r="S5730" s="12" t="inlineStr">
        <is>
          <t>Conduit</t>
        </is>
      </c>
      <c r="T5730" s="15" t="n">
        <v>205</v>
      </c>
      <c r="U5730" s="15" t="n">
        <v>0</v>
      </c>
      <c r="V5730" s="15">
        <f>ROUNDUP((T5730+U5730+2*'Read Me'!$B$13)*(1+'Read Me'!$B$12),-1)</f>
        <v/>
      </c>
      <c r="W5730" s="15">
        <f>V5730*N5730*O5730</f>
        <v/>
      </c>
      <c r="X5730" s="12">
        <f>IF(LEFT(I5730,2)="MV",2*N5730*IF(L5730="1/C",O5730,1),0)</f>
        <v/>
      </c>
      <c r="Y5730" s="12">
        <f>IF(OR(LEFT(K5730,4)="LVAX",LEFT(K5730,6)="MV15AX",LEFT(K5730,4)="CTAX",LEFT(K5730,2)="W|"),2*N5730*O5730,0)</f>
        <v/>
      </c>
      <c r="Z5730" s="12" t="inlineStr">
        <is>
          <t>allowance: 1.6 ft of conductor per ft2 of floor</t>
        </is>
      </c>
      <c r="AA5730" s="12">
        <f>N5730*O5730</f>
        <v/>
      </c>
    </row>
    <row r="5731">
      <c r="A5731" s="12" t="inlineStr">
        <is>
          <t>K-C-0001</t>
        </is>
      </c>
      <c r="B5731" s="12" t="inlineStr">
        <is>
          <t>K</t>
        </is>
      </c>
      <c r="C5731" s="12" t="inlineStr">
        <is>
          <t>Fuel supply (adjacent market)</t>
        </is>
      </c>
      <c r="D5731" s="12" t="inlineStr">
        <is>
          <t>Motor 1 of 1: control / local station</t>
        </is>
      </c>
      <c r="E5731" s="12" t="inlineStr"/>
      <c r="F5731" s="12" t="inlineStr">
        <is>
          <t>H2 20: 13.8 kV e-house</t>
        </is>
      </c>
      <c r="G5731" s="12" t="inlineStr">
        <is>
          <t>T-H2</t>
        </is>
      </c>
      <c r="H5731" s="12" t="inlineStr">
        <is>
          <t>H2 19: T-H2 230/13.8 kV (about 40 MVA)</t>
        </is>
      </c>
      <c r="I5731" s="12" t="inlineStr">
        <is>
          <t>Control</t>
        </is>
      </c>
      <c r="J5731" s="12" t="inlineStr">
        <is>
          <t>ARMOR-X MC-HL 600 V control, Cu #14 AWG (Class I Div 2)</t>
        </is>
      </c>
      <c r="K5731" s="12" t="inlineStr">
        <is>
          <t>CTAX|7/C|14</t>
        </is>
      </c>
      <c r="L5731" s="12" t="inlineStr">
        <is>
          <t>7/C</t>
        </is>
      </c>
      <c r="M5731" s="12" t="inlineStr">
        <is>
          <t>14</t>
        </is>
      </c>
      <c r="N5731" s="12" t="n">
        <v>1</v>
      </c>
      <c r="O5731" s="12" t="n">
        <v>1</v>
      </c>
      <c r="P5731" s="12" t="n"/>
      <c r="Q5731" s="12" t="n"/>
      <c r="R5731" s="12" t="n"/>
      <c r="S5731" s="12" t="inlineStr">
        <is>
          <t>Duct bank</t>
        </is>
      </c>
      <c r="T5731" s="15" t="n">
        <v>35</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K-C-0002</t>
        </is>
      </c>
      <c r="B5732" s="12" t="inlineStr">
        <is>
          <t>K</t>
        </is>
      </c>
      <c r="C5732" s="12" t="inlineStr">
        <is>
          <t>Fuel supply (adjacent market)</t>
        </is>
      </c>
      <c r="D5732" s="12" t="inlineStr">
        <is>
          <t>Solenoid to JB JB-T-H2-SOL01: 2 x 2/C (field cables)</t>
        </is>
      </c>
      <c r="E5732" s="12" t="inlineStr">
        <is>
          <t>T-H2</t>
        </is>
      </c>
      <c r="F5732" s="12" t="inlineStr">
        <is>
          <t>H2 19: T-H2 230/13.8 kV (about 40 MVA)</t>
        </is>
      </c>
      <c r="G5732" s="12" t="inlineStr">
        <is>
          <t>JB-T-H2-SOL01</t>
        </is>
      </c>
      <c r="H5732" s="12" t="inlineStr">
        <is>
          <t>H2 19: T-H2 230/13.8 kV (about 40 MVA)</t>
        </is>
      </c>
      <c r="I5732" s="12" t="inlineStr">
        <is>
          <t>Control</t>
        </is>
      </c>
      <c r="J5732" s="12" t="inlineStr">
        <is>
          <t>ARMOR-X MC-HL 600 V control, Cu #14 AWG (Class I Div 2)</t>
        </is>
      </c>
      <c r="K5732" s="12" t="inlineStr">
        <is>
          <t>CTAX|2/C|14</t>
        </is>
      </c>
      <c r="L5732" s="12" t="inlineStr">
        <is>
          <t>2/C</t>
        </is>
      </c>
      <c r="M5732" s="12" t="inlineStr">
        <is>
          <t>14</t>
        </is>
      </c>
      <c r="N5732" s="12" t="n">
        <v>2</v>
      </c>
      <c r="O5732" s="12" t="n">
        <v>1</v>
      </c>
      <c r="P5732" s="12" t="n"/>
      <c r="Q5732" s="12" t="n"/>
      <c r="R5732" s="12" t="n"/>
      <c r="S5732" s="12" t="inlineStr">
        <is>
          <t>Tray / conduit</t>
        </is>
      </c>
      <c r="T5732" s="15" t="n">
        <v>80</v>
      </c>
      <c r="U5732" s="15" t="n">
        <v>10</v>
      </c>
      <c r="V5732" s="15">
        <f>ROUNDUP((T5732+U5732+2*'Read Me'!$B$13)*(1+'Read Me'!$B$12),-1)</f>
        <v/>
      </c>
      <c r="W5732" s="15">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K-C-0003</t>
        </is>
      </c>
      <c r="B5733" s="12" t="inlineStr">
        <is>
          <t>K</t>
        </is>
      </c>
      <c r="C5733" s="12" t="inlineStr">
        <is>
          <t>Fuel supply (adjacent market)</t>
        </is>
      </c>
      <c r="D5733" s="12" t="inlineStr">
        <is>
          <t>Home run JB-T-H2-SOL01 to the control / marshalling room</t>
        </is>
      </c>
      <c r="E5733" s="12" t="inlineStr"/>
      <c r="F5733" s="12" t="inlineStr">
        <is>
          <t>H2 20: 13.8 kV e-house</t>
        </is>
      </c>
      <c r="G5733" s="12" t="inlineStr">
        <is>
          <t>JB-T-H2-SOL01</t>
        </is>
      </c>
      <c r="H5733" s="12" t="inlineStr">
        <is>
          <t>H2 19: T-H2 230/13.8 kV (about 40 MVA)</t>
        </is>
      </c>
      <c r="I5733" s="12" t="inlineStr">
        <is>
          <t>Control</t>
        </is>
      </c>
      <c r="J5733" s="12" t="inlineStr">
        <is>
          <t>ARMOR-X MC-HL 600 V control, Cu #14 AWG (Class I Div 2)</t>
        </is>
      </c>
      <c r="K5733" s="12" t="inlineStr">
        <is>
          <t>CTAX|25/C|14</t>
        </is>
      </c>
      <c r="L5733" s="12" t="inlineStr">
        <is>
          <t>25/C</t>
        </is>
      </c>
      <c r="M5733" s="12" t="inlineStr">
        <is>
          <t>14</t>
        </is>
      </c>
      <c r="N5733" s="12" t="n">
        <v>1</v>
      </c>
      <c r="O5733" s="12" t="n">
        <v>1</v>
      </c>
      <c r="P5733" s="12" t="n"/>
      <c r="Q5733" s="12" t="n"/>
      <c r="R5733" s="12" t="n"/>
      <c r="S5733" s="12" t="inlineStr">
        <is>
          <t>Duct bank</t>
        </is>
      </c>
      <c r="T5733" s="15" t="n">
        <v>35</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K-C-0004</t>
        </is>
      </c>
      <c r="B5734" s="12" t="inlineStr">
        <is>
          <t>K</t>
        </is>
      </c>
      <c r="C5734" s="12" t="inlineStr">
        <is>
          <t>Fuel supply (adjacent market)</t>
        </is>
      </c>
      <c r="D5734" s="12" t="inlineStr">
        <is>
          <t>Motor 1 of 1: control / local station</t>
        </is>
      </c>
      <c r="E5734" s="12" t="inlineStr"/>
      <c r="F5734" s="12" t="inlineStr">
        <is>
          <t>H2 20: 13.8 kV e-house</t>
        </is>
      </c>
      <c r="G5734" s="12" t="inlineStr"/>
      <c r="H5734" s="12" t="inlineStr">
        <is>
          <t>H2 20: 13.8 kV e-house</t>
        </is>
      </c>
      <c r="I5734" s="12" t="inlineStr">
        <is>
          <t>Control</t>
        </is>
      </c>
      <c r="J5734" s="12" t="inlineStr">
        <is>
          <t>ARMOR-X MC-HL 600 V control, Cu #14 AWG (Class I Div 2)</t>
        </is>
      </c>
      <c r="K5734" s="12" t="inlineStr">
        <is>
          <t>CTAX|7/C|14</t>
        </is>
      </c>
      <c r="L5734" s="12" t="inlineStr">
        <is>
          <t>7/C</t>
        </is>
      </c>
      <c r="M5734" s="12" t="inlineStr">
        <is>
          <t>14</t>
        </is>
      </c>
      <c r="N5734" s="12" t="n">
        <v>1</v>
      </c>
      <c r="O5734" s="12" t="n">
        <v>1</v>
      </c>
      <c r="P5734" s="12" t="n"/>
      <c r="Q5734" s="12" t="n"/>
      <c r="R5734" s="12" t="n"/>
      <c r="S5734" s="12" t="inlineStr">
        <is>
          <t>Tray</t>
        </is>
      </c>
      <c r="T5734" s="15" t="n">
        <v>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K-C-0005</t>
        </is>
      </c>
      <c r="B5735" s="12" t="inlineStr">
        <is>
          <t>K</t>
        </is>
      </c>
      <c r="C5735" s="12" t="inlineStr">
        <is>
          <t>Fuel supply (adjacent market)</t>
        </is>
      </c>
      <c r="D5735" s="12" t="inlineStr">
        <is>
          <t>Solenoid to JB JB-H2 20: 13.8 kV e-h-SOL01: 2 x 2/C (field cables)</t>
        </is>
      </c>
      <c r="E5735" s="12" t="inlineStr"/>
      <c r="F5735" s="12" t="inlineStr">
        <is>
          <t>H2 20: 13.8 kV e-house</t>
        </is>
      </c>
      <c r="G5735" s="12" t="inlineStr">
        <is>
          <t>JB-H2 20: 13.8 kV e-h-SOL01</t>
        </is>
      </c>
      <c r="H5735" s="12" t="inlineStr">
        <is>
          <t>H2 20: 13.8 kV e-house</t>
        </is>
      </c>
      <c r="I5735" s="12" t="inlineStr">
        <is>
          <t>Control</t>
        </is>
      </c>
      <c r="J5735" s="12" t="inlineStr">
        <is>
          <t>ARMOR-X MC-HL 600 V control, Cu #14 AWG (Class I Div 2)</t>
        </is>
      </c>
      <c r="K5735" s="12" t="inlineStr">
        <is>
          <t>CTAX|2/C|14</t>
        </is>
      </c>
      <c r="L5735" s="12" t="inlineStr">
        <is>
          <t>2/C</t>
        </is>
      </c>
      <c r="M5735" s="12" t="inlineStr">
        <is>
          <t>14</t>
        </is>
      </c>
      <c r="N5735" s="12" t="n">
        <v>2</v>
      </c>
      <c r="O5735" s="12" t="n">
        <v>1</v>
      </c>
      <c r="P5735" s="12" t="n"/>
      <c r="Q5735" s="12" t="n"/>
      <c r="R5735" s="12" t="n"/>
      <c r="S5735" s="12" t="inlineStr">
        <is>
          <t>Tray / conduit</t>
        </is>
      </c>
      <c r="T5735" s="15" t="n">
        <v>69</v>
      </c>
      <c r="U5735" s="15" t="n">
        <v>10</v>
      </c>
      <c r="V5735" s="15">
        <f>ROUNDUP((T5735+U5735+2*'Read Me'!$B$13)*(1+'Read Me'!$B$12),-1)</f>
        <v/>
      </c>
      <c r="W5735" s="15">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K-C-0006</t>
        </is>
      </c>
      <c r="B5736" s="12" t="inlineStr">
        <is>
          <t>K</t>
        </is>
      </c>
      <c r="C5736" s="12" t="inlineStr">
        <is>
          <t>Fuel supply (adjacent market)</t>
        </is>
      </c>
      <c r="D5736" s="12" t="inlineStr">
        <is>
          <t>Home run JB-H2 20: 13.8 kV e-h-SOL01 to the control / marshalling room</t>
        </is>
      </c>
      <c r="E5736" s="12" t="inlineStr"/>
      <c r="F5736" s="12" t="inlineStr">
        <is>
          <t>H2 20: 13.8 kV e-house</t>
        </is>
      </c>
      <c r="G5736" s="12" t="inlineStr">
        <is>
          <t>JB-H2 20: 13.8 kV e-h-SOL01</t>
        </is>
      </c>
      <c r="H5736" s="12" t="inlineStr">
        <is>
          <t>H2 20: 13.8 kV e-house</t>
        </is>
      </c>
      <c r="I5736" s="12" t="inlineStr">
        <is>
          <t>Control</t>
        </is>
      </c>
      <c r="J5736" s="12" t="inlineStr">
        <is>
          <t>ARMOR-X MC-HL 600 V control, Cu #14 AWG (Class I Div 2)</t>
        </is>
      </c>
      <c r="K5736" s="12" t="inlineStr">
        <is>
          <t>CTAX|25/C|14</t>
        </is>
      </c>
      <c r="L5736" s="12" t="inlineStr">
        <is>
          <t>25/C</t>
        </is>
      </c>
      <c r="M5736" s="12" t="inlineStr">
        <is>
          <t>14</t>
        </is>
      </c>
      <c r="N5736" s="12" t="n">
        <v>1</v>
      </c>
      <c r="O5736" s="12" t="n">
        <v>1</v>
      </c>
      <c r="P5736" s="12" t="n"/>
      <c r="Q5736" s="12" t="n"/>
      <c r="R5736" s="12" t="n"/>
      <c r="S5736" s="12" t="inlineStr">
        <is>
          <t>Tray</t>
        </is>
      </c>
      <c r="T5736" s="15" t="n">
        <v>0</v>
      </c>
      <c r="U5736" s="15" t="n">
        <v>32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K-C-0007</t>
        </is>
      </c>
      <c r="B5737" s="12" t="inlineStr">
        <is>
          <t>K</t>
        </is>
      </c>
      <c r="C5737" s="12" t="inlineStr">
        <is>
          <t>Fuel supply (adjacent market)</t>
        </is>
      </c>
      <c r="D5737" s="12" t="inlineStr">
        <is>
          <t>Motor 1 of 1: control / local station</t>
        </is>
      </c>
      <c r="E5737" s="12" t="inlineStr"/>
      <c r="F5737" s="12" t="inlineStr">
        <is>
          <t>H2 20: 13.8 kV e-house</t>
        </is>
      </c>
      <c r="G5737" s="12" t="inlineStr"/>
      <c r="H5737" s="12" t="inlineStr">
        <is>
          <t>H2 21: rectifier transformer 1 (7 MVA)</t>
        </is>
      </c>
      <c r="I5737" s="12" t="inlineStr">
        <is>
          <t>Control</t>
        </is>
      </c>
      <c r="J5737" s="12" t="inlineStr">
        <is>
          <t>ARMOR-X MC-HL 600 V control, Cu #14 AWG (Class I Div 2)</t>
        </is>
      </c>
      <c r="K5737" s="12" t="inlineStr">
        <is>
          <t>CTAX|7/C|14</t>
        </is>
      </c>
      <c r="L5737" s="12" t="inlineStr">
        <is>
          <t>7/C</t>
        </is>
      </c>
      <c r="M5737" s="12" t="inlineStr">
        <is>
          <t>14</t>
        </is>
      </c>
      <c r="N5737" s="12" t="n">
        <v>1</v>
      </c>
      <c r="O5737" s="12" t="n">
        <v>1</v>
      </c>
      <c r="P5737" s="12" t="n"/>
      <c r="Q5737" s="12" t="n"/>
      <c r="R5737" s="12" t="n"/>
      <c r="S5737" s="12" t="inlineStr">
        <is>
          <t>Duct bank</t>
        </is>
      </c>
      <c r="T5737" s="15" t="n">
        <v>356</v>
      </c>
      <c r="U5737" s="15" t="n">
        <v>48</v>
      </c>
      <c r="V5737" s="15">
        <f>ROUNDUP((T5737+U5737+2*'Read Me'!$B$13)*(1+'Read Me'!$B$12),-1)</f>
        <v/>
      </c>
      <c r="W5737" s="15">
        <f>V5737*N5737*O5737</f>
        <v/>
      </c>
      <c r="X5737" s="12">
        <f>IF(LEFT(I5737,2)="MV",2*N5737*IF(L5737="1/C",O5737,1),0)</f>
        <v/>
      </c>
      <c r="Y5737" s="12">
        <f>IF(OR(LEFT(K5737,4)="LVAX",LEFT(K5737,6)="MV15AX",LEFT(K5737,4)="CTAX",LEFT(K5737,2)="W|"),2*N5737*O5737,0)</f>
        <v/>
      </c>
      <c r="Z5737" s="12" t="inlineStr"/>
      <c r="AA5737" s="12">
        <f>N5737*O5737</f>
        <v/>
      </c>
    </row>
    <row r="5738">
      <c r="A5738" s="12" t="inlineStr">
        <is>
          <t>K-C-0008</t>
        </is>
      </c>
      <c r="B5738" s="12" t="inlineStr">
        <is>
          <t>K</t>
        </is>
      </c>
      <c r="C5738" s="12" t="inlineStr">
        <is>
          <t>Fuel supply (adjacent market)</t>
        </is>
      </c>
      <c r="D5738" s="12" t="inlineStr">
        <is>
          <t>Solenoid to JB JB-H2 21: rectifier t-SOL01: 2 x 2/C (field cables)</t>
        </is>
      </c>
      <c r="E5738" s="12" t="inlineStr"/>
      <c r="F5738" s="12" t="inlineStr">
        <is>
          <t>H2 21: rectifier transformer 1 (7 MVA)</t>
        </is>
      </c>
      <c r="G5738" s="12" t="inlineStr">
        <is>
          <t>JB-H2 21: rectifier t-SOL01</t>
        </is>
      </c>
      <c r="H5738" s="12" t="inlineStr">
        <is>
          <t>H2 21: rectifier transformer 1 (7 MVA)</t>
        </is>
      </c>
      <c r="I5738" s="12" t="inlineStr">
        <is>
          <t>Control</t>
        </is>
      </c>
      <c r="J5738" s="12" t="inlineStr">
        <is>
          <t>ARMOR-X MC-HL 600 V control, Cu #14 AWG (Class I Div 2)</t>
        </is>
      </c>
      <c r="K5738" s="12" t="inlineStr">
        <is>
          <t>CTAX|2/C|14</t>
        </is>
      </c>
      <c r="L5738" s="12" t="inlineStr">
        <is>
          <t>2/C</t>
        </is>
      </c>
      <c r="M5738" s="12" t="inlineStr">
        <is>
          <t>14</t>
        </is>
      </c>
      <c r="N5738" s="12" t="n">
        <v>2</v>
      </c>
      <c r="O5738" s="12" t="n">
        <v>1</v>
      </c>
      <c r="P5738" s="12" t="n"/>
      <c r="Q5738" s="12" t="n"/>
      <c r="R5738" s="12" t="n"/>
      <c r="S5738" s="12" t="inlineStr">
        <is>
          <t>Tray / conduit</t>
        </is>
      </c>
      <c r="T5738" s="15" t="n">
        <v>41</v>
      </c>
      <c r="U5738" s="15" t="n">
        <v>10</v>
      </c>
      <c r="V5738" s="15">
        <f>ROUNDUP((T5738+U5738+2*'Read Me'!$B$13)*(1+'Read Me'!$B$12),-1)</f>
        <v/>
      </c>
      <c r="W5738" s="15">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K-C-0009</t>
        </is>
      </c>
      <c r="B5739" s="12" t="inlineStr">
        <is>
          <t>K</t>
        </is>
      </c>
      <c r="C5739" s="12" t="inlineStr">
        <is>
          <t>Fuel supply (adjacent market)</t>
        </is>
      </c>
      <c r="D5739" s="12" t="inlineStr">
        <is>
          <t>Home run JB-H2 21: rectifier t-SOL01 to the control / marshalling room</t>
        </is>
      </c>
      <c r="E5739" s="12" t="inlineStr"/>
      <c r="F5739" s="12" t="inlineStr">
        <is>
          <t>H2 20: 13.8 kV e-house</t>
        </is>
      </c>
      <c r="G5739" s="12" t="inlineStr">
        <is>
          <t>JB-H2 21: rectifier t-SOL01</t>
        </is>
      </c>
      <c r="H5739" s="12" t="inlineStr">
        <is>
          <t>H2 21: rectifier transformer 1 (7 MVA)</t>
        </is>
      </c>
      <c r="I5739" s="12" t="inlineStr">
        <is>
          <t>Control</t>
        </is>
      </c>
      <c r="J5739" s="12" t="inlineStr">
        <is>
          <t>ARMOR-X MC-HL 600 V control, Cu #14 AWG (Class I Div 2)</t>
        </is>
      </c>
      <c r="K5739" s="12" t="inlineStr">
        <is>
          <t>CTAX|25/C|14</t>
        </is>
      </c>
      <c r="L5739" s="12" t="inlineStr">
        <is>
          <t>25/C</t>
        </is>
      </c>
      <c r="M5739" s="12" t="inlineStr">
        <is>
          <t>14</t>
        </is>
      </c>
      <c r="N5739" s="12" t="n">
        <v>1</v>
      </c>
      <c r="O5739" s="12" t="n">
        <v>1</v>
      </c>
      <c r="P5739" s="12" t="n"/>
      <c r="Q5739" s="12" t="n"/>
      <c r="R5739" s="12" t="n"/>
      <c r="S5739" s="12" t="inlineStr">
        <is>
          <t>Duct bank</t>
        </is>
      </c>
      <c r="T5739" s="15" t="n">
        <v>356</v>
      </c>
      <c r="U5739" s="15" t="n">
        <v>48</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K-C-0010</t>
        </is>
      </c>
      <c r="B5740" s="12" t="inlineStr">
        <is>
          <t>K</t>
        </is>
      </c>
      <c r="C5740" s="12" t="inlineStr">
        <is>
          <t>Fuel supply (adjacent market)</t>
        </is>
      </c>
      <c r="D5740" s="12" t="inlineStr">
        <is>
          <t>Control</t>
        </is>
      </c>
      <c r="E5740" s="12" t="inlineStr"/>
      <c r="F5740" s="12" t="inlineStr">
        <is>
          <t>H2 20: 13.8 kV e-house</t>
        </is>
      </c>
      <c r="G5740" s="12" t="inlineStr"/>
      <c r="H5740" s="12" t="inlineStr">
        <is>
          <t>H2 21: rectifier transformer 1 (7 MVA)</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356</v>
      </c>
      <c r="U5740" s="15" t="n">
        <v>48</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K-C-0011</t>
        </is>
      </c>
      <c r="B5741" s="12" t="inlineStr">
        <is>
          <t>K</t>
        </is>
      </c>
      <c r="C5741" s="12" t="inlineStr">
        <is>
          <t>Fuel supply (adjacent market)</t>
        </is>
      </c>
      <c r="D5741" s="12" t="inlineStr">
        <is>
          <t>Control</t>
        </is>
      </c>
      <c r="E5741" s="12" t="inlineStr"/>
      <c r="F5741" s="12" t="inlineStr">
        <is>
          <t>H2 20: 13.8 kV e-house</t>
        </is>
      </c>
      <c r="G5741" s="12" t="inlineStr"/>
      <c r="H5741" s="12" t="inlineStr">
        <is>
          <t>H2 21: rectifier transformer 1 (7 MVA)</t>
        </is>
      </c>
      <c r="I5741" s="12" t="inlineStr">
        <is>
          <t>Control</t>
        </is>
      </c>
      <c r="J5741" s="12" t="inlineStr">
        <is>
          <t>ARMOR-X MC-HL 600 V control, Cu #14 AWG (Class I Div 2)</t>
        </is>
      </c>
      <c r="K5741" s="12" t="inlineStr">
        <is>
          <t>CTAX|12/C|14</t>
        </is>
      </c>
      <c r="L5741" s="12" t="inlineStr">
        <is>
          <t>12/C</t>
        </is>
      </c>
      <c r="M5741" s="12" t="inlineStr">
        <is>
          <t>14</t>
        </is>
      </c>
      <c r="N5741" s="12" t="n">
        <v>1</v>
      </c>
      <c r="O5741" s="12" t="n">
        <v>1</v>
      </c>
      <c r="P5741" s="12" t="n"/>
      <c r="Q5741" s="12" t="n"/>
      <c r="R5741" s="12" t="n"/>
      <c r="S5741" s="12" t="inlineStr">
        <is>
          <t>Duct bank</t>
        </is>
      </c>
      <c r="T5741" s="15" t="n">
        <v>356</v>
      </c>
      <c r="U5741" s="15" t="n">
        <v>48</v>
      </c>
      <c r="V5741" s="15">
        <f>ROUNDUP((T5741+U5741+2*'Read Me'!$B$13)*(1+'Read Me'!$B$12),-1)</f>
        <v/>
      </c>
      <c r="W5741" s="15">
        <f>V5741*N5741*O5741</f>
        <v/>
      </c>
      <c r="X5741" s="12">
        <f>IF(LEFT(I5741,2)="MV",2*N5741*IF(L5741="1/C",O5741,1),0)</f>
        <v/>
      </c>
      <c r="Y5741" s="12">
        <f>IF(OR(LEFT(K5741,4)="LVAX",LEFT(K5741,6)="MV15AX",LEFT(K5741,4)="CTAX",LEFT(K5741,2)="W|"),2*N5741*O5741,0)</f>
        <v/>
      </c>
      <c r="Z5741" s="12" t="inlineStr"/>
      <c r="AA5741" s="12">
        <f>N5741*O5741</f>
        <v/>
      </c>
    </row>
    <row r="5742">
      <c r="A5742" s="12" t="inlineStr">
        <is>
          <t>K-C-0012</t>
        </is>
      </c>
      <c r="B5742" s="12" t="inlineStr">
        <is>
          <t>K</t>
        </is>
      </c>
      <c r="C5742" s="12" t="inlineStr">
        <is>
          <t>Fuel supply (adjacent market)</t>
        </is>
      </c>
      <c r="D5742" s="12" t="inlineStr">
        <is>
          <t>CT / VT</t>
        </is>
      </c>
      <c r="E5742" s="12" t="inlineStr"/>
      <c r="F5742" s="12" t="inlineStr">
        <is>
          <t>H2 20: 13.8 kV e-house</t>
        </is>
      </c>
      <c r="G5742" s="12" t="inlineStr"/>
      <c r="H5742" s="12" t="inlineStr">
        <is>
          <t>H2 21: rectifier transformer 1 (7 MVA)</t>
        </is>
      </c>
      <c r="I5742" s="12" t="inlineStr">
        <is>
          <t>Control</t>
        </is>
      </c>
      <c r="J5742" s="12" t="inlineStr">
        <is>
          <t>Control cable 600 V Type TC-ER, Cu #10 AWG (CT / VT circuits)</t>
        </is>
      </c>
      <c r="K5742" s="12" t="inlineStr">
        <is>
          <t>CTCT|4/C|10</t>
        </is>
      </c>
      <c r="L5742" s="12" t="inlineStr">
        <is>
          <t>4/C</t>
        </is>
      </c>
      <c r="M5742" s="12" t="inlineStr">
        <is>
          <t>10</t>
        </is>
      </c>
      <c r="N5742" s="12" t="n">
        <v>1</v>
      </c>
      <c r="O5742" s="12" t="n">
        <v>1</v>
      </c>
      <c r="P5742" s="12" t="n"/>
      <c r="Q5742" s="12" t="n"/>
      <c r="R5742" s="12" t="n"/>
      <c r="S5742" s="12" t="inlineStr">
        <is>
          <t>Duct bank</t>
        </is>
      </c>
      <c r="T5742" s="15" t="n">
        <v>356</v>
      </c>
      <c r="U5742" s="15" t="n">
        <v>48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K-C-0013</t>
        </is>
      </c>
      <c r="B5743" s="12" t="inlineStr">
        <is>
          <t>K</t>
        </is>
      </c>
      <c r="C5743" s="12" t="inlineStr">
        <is>
          <t>Fuel supply (adjacent market)</t>
        </is>
      </c>
      <c r="D5743" s="12" t="inlineStr">
        <is>
          <t>CT / VT</t>
        </is>
      </c>
      <c r="E5743" s="12" t="inlineStr"/>
      <c r="F5743" s="12" t="inlineStr">
        <is>
          <t>H2 20: 13.8 kV e-house</t>
        </is>
      </c>
      <c r="G5743" s="12" t="inlineStr"/>
      <c r="H5743" s="12" t="inlineStr">
        <is>
          <t>H2 21: rectifier transformer 1 (7 MVA)</t>
        </is>
      </c>
      <c r="I5743" s="12" t="inlineStr">
        <is>
          <t>Control</t>
        </is>
      </c>
      <c r="J5743" s="12" t="inlineStr">
        <is>
          <t>Control cable 600 V Type TC-ER, Cu #10 AWG (CT / VT circuits)</t>
        </is>
      </c>
      <c r="K5743" s="12" t="inlineStr">
        <is>
          <t>CTCT|4/C|10</t>
        </is>
      </c>
      <c r="L5743" s="12" t="inlineStr">
        <is>
          <t>4/C</t>
        </is>
      </c>
      <c r="M5743" s="12" t="inlineStr">
        <is>
          <t>10</t>
        </is>
      </c>
      <c r="N5743" s="12" t="n">
        <v>1</v>
      </c>
      <c r="O5743" s="12" t="n">
        <v>1</v>
      </c>
      <c r="P5743" s="12" t="n"/>
      <c r="Q5743" s="12" t="n"/>
      <c r="R5743" s="12" t="n"/>
      <c r="S5743" s="12" t="inlineStr">
        <is>
          <t>Duct bank</t>
        </is>
      </c>
      <c r="T5743" s="15" t="n">
        <v>356</v>
      </c>
      <c r="U5743" s="15" t="n">
        <v>48</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K-C-0014</t>
        </is>
      </c>
      <c r="B5744" s="12" t="inlineStr">
        <is>
          <t>K</t>
        </is>
      </c>
      <c r="C5744" s="12" t="inlineStr">
        <is>
          <t>Fuel supply (adjacent market)</t>
        </is>
      </c>
      <c r="D5744" s="12" t="inlineStr">
        <is>
          <t>Motor 1 of 1: control / local station</t>
        </is>
      </c>
      <c r="E5744" s="12" t="inlineStr"/>
      <c r="F5744" s="12" t="inlineStr">
        <is>
          <t>H2 20: 13.8 kV e-house</t>
        </is>
      </c>
      <c r="G5744" s="12" t="inlineStr"/>
      <c r="H5744" s="12" t="inlineStr">
        <is>
          <t>H2 21: rectifier transformer 2 (7 MVA)</t>
        </is>
      </c>
      <c r="I5744" s="12" t="inlineStr">
        <is>
          <t>Control</t>
        </is>
      </c>
      <c r="J5744" s="12" t="inlineStr">
        <is>
          <t>ARMOR-X MC-HL 600 V control, Cu #14 AWG (Class I Div 2)</t>
        </is>
      </c>
      <c r="K5744" s="12" t="inlineStr">
        <is>
          <t>CTAX|7/C|14</t>
        </is>
      </c>
      <c r="L5744" s="12" t="inlineStr">
        <is>
          <t>7/C</t>
        </is>
      </c>
      <c r="M5744" s="12" t="inlineStr">
        <is>
          <t>14</t>
        </is>
      </c>
      <c r="N5744" s="12" t="n">
        <v>1</v>
      </c>
      <c r="O5744" s="12" t="n">
        <v>1</v>
      </c>
      <c r="P5744" s="12" t="n"/>
      <c r="Q5744" s="12" t="n"/>
      <c r="R5744" s="12" t="n"/>
      <c r="S5744" s="12" t="inlineStr">
        <is>
          <t>Duct bank</t>
        </is>
      </c>
      <c r="T5744" s="15" t="n">
        <v>356</v>
      </c>
      <c r="U5744" s="15" t="n">
        <v>32</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K-C-0015</t>
        </is>
      </c>
      <c r="B5745" s="12" t="inlineStr">
        <is>
          <t>K</t>
        </is>
      </c>
      <c r="C5745" s="12" t="inlineStr">
        <is>
          <t>Fuel supply (adjacent market)</t>
        </is>
      </c>
      <c r="D5745" s="12" t="inlineStr">
        <is>
          <t>Solenoid to JB JB-H2 21: rectifier t-SOL01: 2 x 2/C (field cables)</t>
        </is>
      </c>
      <c r="E5745" s="12" t="inlineStr"/>
      <c r="F5745" s="12" t="inlineStr">
        <is>
          <t>H2 21: rectifier transformer 2 (7 MVA)</t>
        </is>
      </c>
      <c r="G5745" s="12" t="inlineStr">
        <is>
          <t>JB-H2 21: rectifier t-SOL01</t>
        </is>
      </c>
      <c r="H5745" s="12" t="inlineStr">
        <is>
          <t>H2 21: rectifier transformer 2 (7 MVA)</t>
        </is>
      </c>
      <c r="I5745" s="12" t="inlineStr">
        <is>
          <t>Control</t>
        </is>
      </c>
      <c r="J5745" s="12" t="inlineStr">
        <is>
          <t>ARMOR-X MC-HL 600 V control, Cu #14 AWG (Class I Div 2)</t>
        </is>
      </c>
      <c r="K5745" s="12" t="inlineStr">
        <is>
          <t>CTAX|2/C|14</t>
        </is>
      </c>
      <c r="L5745" s="12" t="inlineStr">
        <is>
          <t>2/C</t>
        </is>
      </c>
      <c r="M5745" s="12" t="inlineStr">
        <is>
          <t>14</t>
        </is>
      </c>
      <c r="N5745" s="12" t="n">
        <v>2</v>
      </c>
      <c r="O5745" s="12" t="n">
        <v>1</v>
      </c>
      <c r="P5745" s="12" t="n"/>
      <c r="Q5745" s="12" t="n"/>
      <c r="R5745" s="12" t="n"/>
      <c r="S5745" s="12" t="inlineStr">
        <is>
          <t>Tray / conduit</t>
        </is>
      </c>
      <c r="T5745" s="15" t="n">
        <v>41</v>
      </c>
      <c r="U5745" s="15" t="n">
        <v>10</v>
      </c>
      <c r="V5745" s="15">
        <f>ROUNDUP((T5745+U5745+2*'Read Me'!$B$13)*(1+'Read Me'!$B$12),-1)</f>
        <v/>
      </c>
      <c r="W5745" s="15">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K-C-0016</t>
        </is>
      </c>
      <c r="B5746" s="12" t="inlineStr">
        <is>
          <t>K</t>
        </is>
      </c>
      <c r="C5746" s="12" t="inlineStr">
        <is>
          <t>Fuel supply (adjacent market)</t>
        </is>
      </c>
      <c r="D5746" s="12" t="inlineStr">
        <is>
          <t>Home run JB-H2 21: rectifier t-SOL01 to the control / marshalling room</t>
        </is>
      </c>
      <c r="E5746" s="12" t="inlineStr"/>
      <c r="F5746" s="12" t="inlineStr">
        <is>
          <t>H2 20: 13.8 kV e-house</t>
        </is>
      </c>
      <c r="G5746" s="12" t="inlineStr">
        <is>
          <t>JB-H2 21: rectifier t-SOL01</t>
        </is>
      </c>
      <c r="H5746" s="12" t="inlineStr">
        <is>
          <t>H2 21: rectifier transformer 2 (7 MVA)</t>
        </is>
      </c>
      <c r="I5746" s="12" t="inlineStr">
        <is>
          <t>Control</t>
        </is>
      </c>
      <c r="J5746" s="12" t="inlineStr">
        <is>
          <t>ARMOR-X MC-HL 600 V control, Cu #14 AWG (Class I Div 2)</t>
        </is>
      </c>
      <c r="K5746" s="12" t="inlineStr">
        <is>
          <t>CTAX|25/C|14</t>
        </is>
      </c>
      <c r="L5746" s="12" t="inlineStr">
        <is>
          <t>25/C</t>
        </is>
      </c>
      <c r="M5746" s="12" t="inlineStr">
        <is>
          <t>14</t>
        </is>
      </c>
      <c r="N5746" s="12" t="n">
        <v>1</v>
      </c>
      <c r="O5746" s="12" t="n">
        <v>1</v>
      </c>
      <c r="P5746" s="12" t="n"/>
      <c r="Q5746" s="12" t="n"/>
      <c r="R5746" s="12" t="n"/>
      <c r="S5746" s="12" t="inlineStr">
        <is>
          <t>Duct bank</t>
        </is>
      </c>
      <c r="T5746" s="15" t="n">
        <v>356</v>
      </c>
      <c r="U5746" s="15" t="n">
        <v>32</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K-C-0017</t>
        </is>
      </c>
      <c r="B5747" s="12" t="inlineStr">
        <is>
          <t>K</t>
        </is>
      </c>
      <c r="C5747" s="12" t="inlineStr">
        <is>
          <t>Fuel supply (adjacent market)</t>
        </is>
      </c>
      <c r="D5747" s="12" t="inlineStr">
        <is>
          <t>Control</t>
        </is>
      </c>
      <c r="E5747" s="12" t="inlineStr"/>
      <c r="F5747" s="12" t="inlineStr">
        <is>
          <t>H2 20: 13.8 kV e-house</t>
        </is>
      </c>
      <c r="G5747" s="12" t="inlineStr"/>
      <c r="H5747" s="12" t="inlineStr">
        <is>
          <t>H2 21: rectifier transformer 2 (7 MVA)</t>
        </is>
      </c>
      <c r="I5747" s="12" t="inlineStr">
        <is>
          <t>Control</t>
        </is>
      </c>
      <c r="J5747" s="12" t="inlineStr">
        <is>
          <t>ARMOR-X MC-HL 600 V control, Cu #14 AWG (Class I Div 2)</t>
        </is>
      </c>
      <c r="K5747" s="12" t="inlineStr">
        <is>
          <t>CTAX|7/C|14</t>
        </is>
      </c>
      <c r="L5747" s="12" t="inlineStr">
        <is>
          <t>7/C</t>
        </is>
      </c>
      <c r="M5747" s="12" t="inlineStr">
        <is>
          <t>14</t>
        </is>
      </c>
      <c r="N5747" s="12" t="n">
        <v>1</v>
      </c>
      <c r="O5747" s="12" t="n">
        <v>1</v>
      </c>
      <c r="P5747" s="12" t="n"/>
      <c r="Q5747" s="12" t="n"/>
      <c r="R5747" s="12" t="n"/>
      <c r="S5747" s="12" t="inlineStr">
        <is>
          <t>Duct bank</t>
        </is>
      </c>
      <c r="T5747" s="15" t="n">
        <v>356</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K-C-0018</t>
        </is>
      </c>
      <c r="B5748" s="12" t="inlineStr">
        <is>
          <t>K</t>
        </is>
      </c>
      <c r="C5748" s="12" t="inlineStr">
        <is>
          <t>Fuel supply (adjacent market)</t>
        </is>
      </c>
      <c r="D5748" s="12" t="inlineStr">
        <is>
          <t>Control</t>
        </is>
      </c>
      <c r="E5748" s="12" t="inlineStr"/>
      <c r="F5748" s="12" t="inlineStr">
        <is>
          <t>H2 20: 13.8 kV e-house</t>
        </is>
      </c>
      <c r="G5748" s="12" t="inlineStr"/>
      <c r="H5748" s="12" t="inlineStr">
        <is>
          <t>H2 21: rectifier transformer 2 (7 MVA)</t>
        </is>
      </c>
      <c r="I5748" s="12" t="inlineStr">
        <is>
          <t>Control</t>
        </is>
      </c>
      <c r="J5748" s="12" t="inlineStr">
        <is>
          <t>ARMOR-X MC-HL 600 V control, Cu #14 AWG (Class I Div 2)</t>
        </is>
      </c>
      <c r="K5748" s="12" t="inlineStr">
        <is>
          <t>CTAX|12/C|14</t>
        </is>
      </c>
      <c r="L5748" s="12" t="inlineStr">
        <is>
          <t>12/C</t>
        </is>
      </c>
      <c r="M5748" s="12" t="inlineStr">
        <is>
          <t>14</t>
        </is>
      </c>
      <c r="N5748" s="12" t="n">
        <v>1</v>
      </c>
      <c r="O5748" s="12" t="n">
        <v>1</v>
      </c>
      <c r="P5748" s="12" t="n"/>
      <c r="Q5748" s="12" t="n"/>
      <c r="R5748" s="12" t="n"/>
      <c r="S5748" s="12" t="inlineStr">
        <is>
          <t>Duct bank</t>
        </is>
      </c>
      <c r="T5748" s="15" t="n">
        <v>356</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K-C-0019</t>
        </is>
      </c>
      <c r="B5749" s="12" t="inlineStr">
        <is>
          <t>K</t>
        </is>
      </c>
      <c r="C5749" s="12" t="inlineStr">
        <is>
          <t>Fuel supply (adjacent market)</t>
        </is>
      </c>
      <c r="D5749" s="12" t="inlineStr">
        <is>
          <t>CT / VT</t>
        </is>
      </c>
      <c r="E5749" s="12" t="inlineStr"/>
      <c r="F5749" s="12" t="inlineStr">
        <is>
          <t>H2 20: 13.8 kV e-house</t>
        </is>
      </c>
      <c r="G5749" s="12" t="inlineStr"/>
      <c r="H5749" s="12" t="inlineStr">
        <is>
          <t>H2 21: rectifier transformer 2 (7 MVA)</t>
        </is>
      </c>
      <c r="I5749" s="12" t="inlineStr">
        <is>
          <t>Control</t>
        </is>
      </c>
      <c r="J5749" s="12" t="inlineStr">
        <is>
          <t>Control cable 600 V Type TC-ER, Cu #10 AWG (CT / VT circuits)</t>
        </is>
      </c>
      <c r="K5749" s="12" t="inlineStr">
        <is>
          <t>CTCT|4/C|10</t>
        </is>
      </c>
      <c r="L5749" s="12" t="inlineStr">
        <is>
          <t>4/C</t>
        </is>
      </c>
      <c r="M5749" s="12" t="inlineStr">
        <is>
          <t>10</t>
        </is>
      </c>
      <c r="N5749" s="12" t="n">
        <v>1</v>
      </c>
      <c r="O5749" s="12" t="n">
        <v>1</v>
      </c>
      <c r="P5749" s="12" t="n"/>
      <c r="Q5749" s="12" t="n"/>
      <c r="R5749" s="12" t="n"/>
      <c r="S5749" s="12" t="inlineStr">
        <is>
          <t>Duct bank</t>
        </is>
      </c>
      <c r="T5749" s="15" t="n">
        <v>356</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K-C-0020</t>
        </is>
      </c>
      <c r="B5750" s="12" t="inlineStr">
        <is>
          <t>K</t>
        </is>
      </c>
      <c r="C5750" s="12" t="inlineStr">
        <is>
          <t>Fuel supply (adjacent market)</t>
        </is>
      </c>
      <c r="D5750" s="12" t="inlineStr">
        <is>
          <t>CT / VT</t>
        </is>
      </c>
      <c r="E5750" s="12" t="inlineStr"/>
      <c r="F5750" s="12" t="inlineStr">
        <is>
          <t>H2 20: 13.8 kV e-house</t>
        </is>
      </c>
      <c r="G5750" s="12" t="inlineStr"/>
      <c r="H5750" s="12" t="inlineStr">
        <is>
          <t>H2 21: rectifier transformer 2 (7 MVA)</t>
        </is>
      </c>
      <c r="I5750" s="12" t="inlineStr">
        <is>
          <t>Control</t>
        </is>
      </c>
      <c r="J5750" s="12" t="inlineStr">
        <is>
          <t>Control cable 600 V Type TC-ER, Cu #10 AWG (CT / VT circuits)</t>
        </is>
      </c>
      <c r="K5750" s="12" t="inlineStr">
        <is>
          <t>CTCT|4/C|10</t>
        </is>
      </c>
      <c r="L5750" s="12" t="inlineStr">
        <is>
          <t>4/C</t>
        </is>
      </c>
      <c r="M5750" s="12" t="inlineStr">
        <is>
          <t>10</t>
        </is>
      </c>
      <c r="N5750" s="12" t="n">
        <v>1</v>
      </c>
      <c r="O5750" s="12" t="n">
        <v>1</v>
      </c>
      <c r="P5750" s="12" t="n"/>
      <c r="Q5750" s="12" t="n"/>
      <c r="R5750" s="12" t="n"/>
      <c r="S5750" s="12" t="inlineStr">
        <is>
          <t>Duct bank</t>
        </is>
      </c>
      <c r="T5750" s="15" t="n">
        <v>356</v>
      </c>
      <c r="U5750" s="15" t="n">
        <v>32</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K-C-0021</t>
        </is>
      </c>
      <c r="B5751" s="12" t="inlineStr">
        <is>
          <t>K</t>
        </is>
      </c>
      <c r="C5751" s="12" t="inlineStr">
        <is>
          <t>Fuel supply (adjacent market)</t>
        </is>
      </c>
      <c r="D5751" s="12" t="inlineStr">
        <is>
          <t>Motor 1 of 1: control / local station</t>
        </is>
      </c>
      <c r="E5751" s="12" t="inlineStr"/>
      <c r="F5751" s="12" t="inlineStr">
        <is>
          <t>H2 20: 13.8 kV e-house</t>
        </is>
      </c>
      <c r="G5751" s="12" t="inlineStr"/>
      <c r="H5751" s="12" t="inlineStr">
        <is>
          <t>H2 21: rectifier transformer 3 (7 MVA)</t>
        </is>
      </c>
      <c r="I5751" s="12" t="inlineStr">
        <is>
          <t>Control</t>
        </is>
      </c>
      <c r="J5751" s="12" t="inlineStr">
        <is>
          <t>ARMOR-X MC-HL 600 V control, Cu #14 AWG (Class I Div 2)</t>
        </is>
      </c>
      <c r="K5751" s="12" t="inlineStr">
        <is>
          <t>CTAX|7/C|14</t>
        </is>
      </c>
      <c r="L5751" s="12" t="inlineStr">
        <is>
          <t>7/C</t>
        </is>
      </c>
      <c r="M5751" s="12" t="inlineStr">
        <is>
          <t>14</t>
        </is>
      </c>
      <c r="N5751" s="12" t="n">
        <v>1</v>
      </c>
      <c r="O5751" s="12" t="n">
        <v>1</v>
      </c>
      <c r="P5751" s="12" t="n"/>
      <c r="Q5751" s="12" t="n"/>
      <c r="R5751" s="12" t="n"/>
      <c r="S5751" s="12" t="inlineStr">
        <is>
          <t>Duct bank</t>
        </is>
      </c>
      <c r="T5751" s="15" t="n">
        <v>334</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K-C-0022</t>
        </is>
      </c>
      <c r="B5752" s="12" t="inlineStr">
        <is>
          <t>K</t>
        </is>
      </c>
      <c r="C5752" s="12" t="inlineStr">
        <is>
          <t>Fuel supply (adjacent market)</t>
        </is>
      </c>
      <c r="D5752" s="12" t="inlineStr">
        <is>
          <t>Solenoid to JB JB-H2 21: rectifier t-SOL01: 2 x 2/C (field cables)</t>
        </is>
      </c>
      <c r="E5752" s="12" t="inlineStr"/>
      <c r="F5752" s="12" t="inlineStr">
        <is>
          <t>H2 21: rectifier transformer 3 (7 MVA)</t>
        </is>
      </c>
      <c r="G5752" s="12" t="inlineStr">
        <is>
          <t>JB-H2 21: rectifier t-SOL01</t>
        </is>
      </c>
      <c r="H5752" s="12" t="inlineStr">
        <is>
          <t>H2 21: rectifier transformer 3 (7 MVA)</t>
        </is>
      </c>
      <c r="I5752" s="12" t="inlineStr">
        <is>
          <t>Control</t>
        </is>
      </c>
      <c r="J5752" s="12" t="inlineStr">
        <is>
          <t>ARMOR-X MC-HL 600 V control, Cu #14 AWG (Class I Div 2)</t>
        </is>
      </c>
      <c r="K5752" s="12" t="inlineStr">
        <is>
          <t>CTAX|2/C|14</t>
        </is>
      </c>
      <c r="L5752" s="12" t="inlineStr">
        <is>
          <t>2/C</t>
        </is>
      </c>
      <c r="M5752" s="12" t="inlineStr">
        <is>
          <t>14</t>
        </is>
      </c>
      <c r="N5752" s="12" t="n">
        <v>2</v>
      </c>
      <c r="O5752" s="12" t="n">
        <v>1</v>
      </c>
      <c r="P5752" s="12" t="n"/>
      <c r="Q5752" s="12" t="n"/>
      <c r="R5752" s="12" t="n"/>
      <c r="S5752" s="12" t="inlineStr">
        <is>
          <t>Tray / conduit</t>
        </is>
      </c>
      <c r="T5752" s="15" t="n">
        <v>41</v>
      </c>
      <c r="U5752" s="15" t="n">
        <v>10</v>
      </c>
      <c r="V5752" s="15">
        <f>ROUNDUP((T5752+U5752+2*'Read Me'!$B$13)*(1+'Read Me'!$B$12),-1)</f>
        <v/>
      </c>
      <c r="W5752" s="15">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K-C-0023</t>
        </is>
      </c>
      <c r="B5753" s="12" t="inlineStr">
        <is>
          <t>K</t>
        </is>
      </c>
      <c r="C5753" s="12" t="inlineStr">
        <is>
          <t>Fuel supply (adjacent market)</t>
        </is>
      </c>
      <c r="D5753" s="12" t="inlineStr">
        <is>
          <t>Home run JB-H2 21: rectifier t-SOL01 to the control / marshalling room</t>
        </is>
      </c>
      <c r="E5753" s="12" t="inlineStr"/>
      <c r="F5753" s="12" t="inlineStr">
        <is>
          <t>H2 20: 13.8 kV e-house</t>
        </is>
      </c>
      <c r="G5753" s="12" t="inlineStr">
        <is>
          <t>JB-H2 21: rectifier t-SOL01</t>
        </is>
      </c>
      <c r="H5753" s="12" t="inlineStr">
        <is>
          <t>H2 21: rectifier transformer 3 (7 MVA)</t>
        </is>
      </c>
      <c r="I5753" s="12" t="inlineStr">
        <is>
          <t>Control</t>
        </is>
      </c>
      <c r="J5753" s="12" t="inlineStr">
        <is>
          <t>ARMOR-X MC-HL 600 V control, Cu #14 AWG (Class I Div 2)</t>
        </is>
      </c>
      <c r="K5753" s="12" t="inlineStr">
        <is>
          <t>CTAX|25/C|14</t>
        </is>
      </c>
      <c r="L5753" s="12" t="inlineStr">
        <is>
          <t>25/C</t>
        </is>
      </c>
      <c r="M5753" s="12" t="inlineStr">
        <is>
          <t>14</t>
        </is>
      </c>
      <c r="N5753" s="12" t="n">
        <v>1</v>
      </c>
      <c r="O5753" s="12" t="n">
        <v>1</v>
      </c>
      <c r="P5753" s="12" t="n"/>
      <c r="Q5753" s="12" t="n"/>
      <c r="R5753" s="12" t="n"/>
      <c r="S5753" s="12" t="inlineStr">
        <is>
          <t>Duct bank</t>
        </is>
      </c>
      <c r="T5753" s="15" t="n">
        <v>334</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K-C-0024</t>
        </is>
      </c>
      <c r="B5754" s="12" t="inlineStr">
        <is>
          <t>K</t>
        </is>
      </c>
      <c r="C5754" s="12" t="inlineStr">
        <is>
          <t>Fuel supply (adjacent market)</t>
        </is>
      </c>
      <c r="D5754" s="12" t="inlineStr">
        <is>
          <t>Control</t>
        </is>
      </c>
      <c r="E5754" s="12" t="inlineStr"/>
      <c r="F5754" s="12" t="inlineStr">
        <is>
          <t>H2 20: 13.8 kV e-house</t>
        </is>
      </c>
      <c r="G5754" s="12" t="inlineStr"/>
      <c r="H5754" s="12" t="inlineStr">
        <is>
          <t>H2 21: rectifier transformer 3 (7 MVA)</t>
        </is>
      </c>
      <c r="I5754" s="12" t="inlineStr">
        <is>
          <t>Control</t>
        </is>
      </c>
      <c r="J5754" s="12" t="inlineStr">
        <is>
          <t>ARMOR-X MC-HL 600 V control, Cu #14 AWG (Class I Div 2)</t>
        </is>
      </c>
      <c r="K5754" s="12" t="inlineStr">
        <is>
          <t>CTAX|7/C|14</t>
        </is>
      </c>
      <c r="L5754" s="12" t="inlineStr">
        <is>
          <t>7/C</t>
        </is>
      </c>
      <c r="M5754" s="12" t="inlineStr">
        <is>
          <t>14</t>
        </is>
      </c>
      <c r="N5754" s="12" t="n">
        <v>1</v>
      </c>
      <c r="O5754" s="12" t="n">
        <v>1</v>
      </c>
      <c r="P5754" s="12" t="n"/>
      <c r="Q5754" s="12" t="n"/>
      <c r="R5754" s="12" t="n"/>
      <c r="S5754" s="12" t="inlineStr">
        <is>
          <t>Duct bank</t>
        </is>
      </c>
      <c r="T5754" s="15" t="n">
        <v>334</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K-C-0025</t>
        </is>
      </c>
      <c r="B5755" s="12" t="inlineStr">
        <is>
          <t>K</t>
        </is>
      </c>
      <c r="C5755" s="12" t="inlineStr">
        <is>
          <t>Fuel supply (adjacent market)</t>
        </is>
      </c>
      <c r="D5755" s="12" t="inlineStr">
        <is>
          <t>Control</t>
        </is>
      </c>
      <c r="E5755" s="12" t="inlineStr"/>
      <c r="F5755" s="12" t="inlineStr">
        <is>
          <t>H2 20: 13.8 kV e-house</t>
        </is>
      </c>
      <c r="G5755" s="12" t="inlineStr"/>
      <c r="H5755" s="12" t="inlineStr">
        <is>
          <t>H2 21: rectifier transformer 3 (7 MVA)</t>
        </is>
      </c>
      <c r="I5755" s="12" t="inlineStr">
        <is>
          <t>Control</t>
        </is>
      </c>
      <c r="J5755" s="12" t="inlineStr">
        <is>
          <t>ARMOR-X MC-HL 600 V control, Cu #14 AWG (Class I Div 2)</t>
        </is>
      </c>
      <c r="K5755" s="12" t="inlineStr">
        <is>
          <t>CTAX|12/C|14</t>
        </is>
      </c>
      <c r="L5755" s="12" t="inlineStr">
        <is>
          <t>12/C</t>
        </is>
      </c>
      <c r="M5755" s="12" t="inlineStr">
        <is>
          <t>14</t>
        </is>
      </c>
      <c r="N5755" s="12" t="n">
        <v>1</v>
      </c>
      <c r="O5755" s="12" t="n">
        <v>1</v>
      </c>
      <c r="P5755" s="12" t="n"/>
      <c r="Q5755" s="12" t="n"/>
      <c r="R5755" s="12" t="n"/>
      <c r="S5755" s="12" t="inlineStr">
        <is>
          <t>Duct bank</t>
        </is>
      </c>
      <c r="T5755" s="15" t="n">
        <v>334</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K-C-0026</t>
        </is>
      </c>
      <c r="B5756" s="12" t="inlineStr">
        <is>
          <t>K</t>
        </is>
      </c>
      <c r="C5756" s="12" t="inlineStr">
        <is>
          <t>Fuel supply (adjacent market)</t>
        </is>
      </c>
      <c r="D5756" s="12" t="inlineStr">
        <is>
          <t>CT / VT</t>
        </is>
      </c>
      <c r="E5756" s="12" t="inlineStr"/>
      <c r="F5756" s="12" t="inlineStr">
        <is>
          <t>H2 20: 13.8 kV e-house</t>
        </is>
      </c>
      <c r="G5756" s="12" t="inlineStr"/>
      <c r="H5756" s="12" t="inlineStr">
        <is>
          <t>H2 21: rectifier transformer 3 (7 MVA)</t>
        </is>
      </c>
      <c r="I5756" s="12" t="inlineStr">
        <is>
          <t>Control</t>
        </is>
      </c>
      <c r="J5756" s="12" t="inlineStr">
        <is>
          <t>Control cable 600 V Type TC-ER, Cu #10 AWG (CT / VT circuits)</t>
        </is>
      </c>
      <c r="K5756" s="12" t="inlineStr">
        <is>
          <t>CTCT|4/C|10</t>
        </is>
      </c>
      <c r="L5756" s="12" t="inlineStr">
        <is>
          <t>4/C</t>
        </is>
      </c>
      <c r="M5756" s="12" t="inlineStr">
        <is>
          <t>10</t>
        </is>
      </c>
      <c r="N5756" s="12" t="n">
        <v>1</v>
      </c>
      <c r="O5756" s="12" t="n">
        <v>1</v>
      </c>
      <c r="P5756" s="12" t="n"/>
      <c r="Q5756" s="12" t="n"/>
      <c r="R5756" s="12" t="n"/>
      <c r="S5756" s="12" t="inlineStr">
        <is>
          <t>Duct bank</t>
        </is>
      </c>
      <c r="T5756" s="15" t="n">
        <v>334</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K-C-0027</t>
        </is>
      </c>
      <c r="B5757" s="12" t="inlineStr">
        <is>
          <t>K</t>
        </is>
      </c>
      <c r="C5757" s="12" t="inlineStr">
        <is>
          <t>Fuel supply (adjacent market)</t>
        </is>
      </c>
      <c r="D5757" s="12" t="inlineStr">
        <is>
          <t>CT / VT</t>
        </is>
      </c>
      <c r="E5757" s="12" t="inlineStr"/>
      <c r="F5757" s="12" t="inlineStr">
        <is>
          <t>H2 20: 13.8 kV e-house</t>
        </is>
      </c>
      <c r="G5757" s="12" t="inlineStr"/>
      <c r="H5757" s="12" t="inlineStr">
        <is>
          <t>H2 21: rectifier transformer 3 (7 MVA)</t>
        </is>
      </c>
      <c r="I5757" s="12" t="inlineStr">
        <is>
          <t>Control</t>
        </is>
      </c>
      <c r="J5757" s="12" t="inlineStr">
        <is>
          <t>Control cable 600 V Type TC-ER, Cu #10 AWG (CT / VT circuits)</t>
        </is>
      </c>
      <c r="K5757" s="12" t="inlineStr">
        <is>
          <t>CTCT|4/C|10</t>
        </is>
      </c>
      <c r="L5757" s="12" t="inlineStr">
        <is>
          <t>4/C</t>
        </is>
      </c>
      <c r="M5757" s="12" t="inlineStr">
        <is>
          <t>10</t>
        </is>
      </c>
      <c r="N5757" s="12" t="n">
        <v>1</v>
      </c>
      <c r="O5757" s="12" t="n">
        <v>1</v>
      </c>
      <c r="P5757" s="12" t="n"/>
      <c r="Q5757" s="12" t="n"/>
      <c r="R5757" s="12" t="n"/>
      <c r="S5757" s="12" t="inlineStr">
        <is>
          <t>Duct bank</t>
        </is>
      </c>
      <c r="T5757" s="15" t="n">
        <v>334</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K-C-0028</t>
        </is>
      </c>
      <c r="B5758" s="12" t="inlineStr">
        <is>
          <t>K</t>
        </is>
      </c>
      <c r="C5758" s="12" t="inlineStr">
        <is>
          <t>Fuel supply (adjacent market)</t>
        </is>
      </c>
      <c r="D5758" s="12" t="inlineStr">
        <is>
          <t>Motor 1 of 1: control / local station</t>
        </is>
      </c>
      <c r="E5758" s="12" t="inlineStr"/>
      <c r="F5758" s="12" t="inlineStr">
        <is>
          <t>H2 20: 13.8 kV e-house</t>
        </is>
      </c>
      <c r="G5758" s="12" t="inlineStr"/>
      <c r="H5758" s="12" t="inlineStr">
        <is>
          <t>H2 21: rectifier transformer 4 (7 MVA)</t>
        </is>
      </c>
      <c r="I5758" s="12" t="inlineStr">
        <is>
          <t>Control</t>
        </is>
      </c>
      <c r="J5758" s="12" t="inlineStr">
        <is>
          <t>ARMOR-X MC-HL 600 V control, Cu #14 AWG (Class I Div 2)</t>
        </is>
      </c>
      <c r="K5758" s="12" t="inlineStr">
        <is>
          <t>CTAX|7/C|14</t>
        </is>
      </c>
      <c r="L5758" s="12" t="inlineStr">
        <is>
          <t>7/C</t>
        </is>
      </c>
      <c r="M5758" s="12" t="inlineStr">
        <is>
          <t>14</t>
        </is>
      </c>
      <c r="N5758" s="12" t="n">
        <v>1</v>
      </c>
      <c r="O5758" s="12" t="n">
        <v>1</v>
      </c>
      <c r="P5758" s="12" t="n"/>
      <c r="Q5758" s="12" t="n"/>
      <c r="R5758" s="12" t="n"/>
      <c r="S5758" s="12" t="inlineStr">
        <is>
          <t>Duct bank</t>
        </is>
      </c>
      <c r="T5758" s="15" t="n">
        <v>312</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K-C-0029</t>
        </is>
      </c>
      <c r="B5759" s="12" t="inlineStr">
        <is>
          <t>K</t>
        </is>
      </c>
      <c r="C5759" s="12" t="inlineStr">
        <is>
          <t>Fuel supply (adjacent market)</t>
        </is>
      </c>
      <c r="D5759" s="12" t="inlineStr">
        <is>
          <t>Solenoid to JB JB-H2 21: rectifier t-SOL01: 2 x 2/C (field cables)</t>
        </is>
      </c>
      <c r="E5759" s="12" t="inlineStr"/>
      <c r="F5759" s="12" t="inlineStr">
        <is>
          <t>H2 21: rectifier transformer 4 (7 MVA)</t>
        </is>
      </c>
      <c r="G5759" s="12" t="inlineStr">
        <is>
          <t>JB-H2 21: rectifier t-SOL01</t>
        </is>
      </c>
      <c r="H5759" s="12" t="inlineStr">
        <is>
          <t>H2 21: rectifier transformer 4 (7 MVA)</t>
        </is>
      </c>
      <c r="I5759" s="12" t="inlineStr">
        <is>
          <t>Control</t>
        </is>
      </c>
      <c r="J5759" s="12" t="inlineStr">
        <is>
          <t>ARMOR-X MC-HL 600 V control, Cu #14 AWG (Class I Div 2)</t>
        </is>
      </c>
      <c r="K5759" s="12" t="inlineStr">
        <is>
          <t>CTAX|2/C|14</t>
        </is>
      </c>
      <c r="L5759" s="12" t="inlineStr">
        <is>
          <t>2/C</t>
        </is>
      </c>
      <c r="M5759" s="12" t="inlineStr">
        <is>
          <t>14</t>
        </is>
      </c>
      <c r="N5759" s="12" t="n">
        <v>2</v>
      </c>
      <c r="O5759" s="12" t="n">
        <v>1</v>
      </c>
      <c r="P5759" s="12" t="n"/>
      <c r="Q5759" s="12" t="n"/>
      <c r="R5759" s="12" t="n"/>
      <c r="S5759" s="12" t="inlineStr">
        <is>
          <t>Tray / conduit</t>
        </is>
      </c>
      <c r="T5759" s="15" t="n">
        <v>41</v>
      </c>
      <c r="U5759" s="15" t="n">
        <v>10</v>
      </c>
      <c r="V5759" s="15">
        <f>ROUNDUP((T5759+U5759+2*'Read Me'!$B$13)*(1+'Read Me'!$B$12),-1)</f>
        <v/>
      </c>
      <c r="W5759" s="15">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K-C-0030</t>
        </is>
      </c>
      <c r="B5760" s="12" t="inlineStr">
        <is>
          <t>K</t>
        </is>
      </c>
      <c r="C5760" s="12" t="inlineStr">
        <is>
          <t>Fuel supply (adjacent market)</t>
        </is>
      </c>
      <c r="D5760" s="12" t="inlineStr">
        <is>
          <t>Home run JB-H2 21: rectifier t-SOL01 to the control / marshalling room</t>
        </is>
      </c>
      <c r="E5760" s="12" t="inlineStr"/>
      <c r="F5760" s="12" t="inlineStr">
        <is>
          <t>H2 20: 13.8 kV e-house</t>
        </is>
      </c>
      <c r="G5760" s="12" t="inlineStr">
        <is>
          <t>JB-H2 21: rectifier t-SOL01</t>
        </is>
      </c>
      <c r="H5760" s="12" t="inlineStr">
        <is>
          <t>H2 21: rectifier transformer 4 (7 MVA)</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5" t="n">
        <v>312</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K-C-0031</t>
        </is>
      </c>
      <c r="B5761" s="12" t="inlineStr">
        <is>
          <t>K</t>
        </is>
      </c>
      <c r="C5761" s="12" t="inlineStr">
        <is>
          <t>Fuel supply (adjacent market)</t>
        </is>
      </c>
      <c r="D5761" s="12" t="inlineStr">
        <is>
          <t>Control</t>
        </is>
      </c>
      <c r="E5761" s="12" t="inlineStr"/>
      <c r="F5761" s="12" t="inlineStr">
        <is>
          <t>H2 20: 13.8 kV e-house</t>
        </is>
      </c>
      <c r="G5761" s="12" t="inlineStr"/>
      <c r="H5761" s="12" t="inlineStr">
        <is>
          <t>H2 21: rectifier transformer 4 (7 MVA)</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Duct bank</t>
        </is>
      </c>
      <c r="T5761" s="15" t="n">
        <v>312</v>
      </c>
      <c r="U5761" s="15" t="n">
        <v>32</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K-C-0032</t>
        </is>
      </c>
      <c r="B5762" s="12" t="inlineStr">
        <is>
          <t>K</t>
        </is>
      </c>
      <c r="C5762" s="12" t="inlineStr">
        <is>
          <t>Fuel supply (adjacent market)</t>
        </is>
      </c>
      <c r="D5762" s="12" t="inlineStr">
        <is>
          <t>Control</t>
        </is>
      </c>
      <c r="E5762" s="12" t="inlineStr"/>
      <c r="F5762" s="12" t="inlineStr">
        <is>
          <t>H2 20: 13.8 kV e-house</t>
        </is>
      </c>
      <c r="G5762" s="12" t="inlineStr"/>
      <c r="H5762" s="12" t="inlineStr">
        <is>
          <t>H2 21: rectifier transformer 4 (7 MVA)</t>
        </is>
      </c>
      <c r="I5762" s="12" t="inlineStr">
        <is>
          <t>Control</t>
        </is>
      </c>
      <c r="J5762" s="12" t="inlineStr">
        <is>
          <t>ARMOR-X MC-HL 600 V control, Cu #14 AWG (Class I Div 2)</t>
        </is>
      </c>
      <c r="K5762" s="12" t="inlineStr">
        <is>
          <t>CTAX|12/C|14</t>
        </is>
      </c>
      <c r="L5762" s="12" t="inlineStr">
        <is>
          <t>12/C</t>
        </is>
      </c>
      <c r="M5762" s="12" t="inlineStr">
        <is>
          <t>14</t>
        </is>
      </c>
      <c r="N5762" s="12" t="n">
        <v>1</v>
      </c>
      <c r="O5762" s="12" t="n">
        <v>1</v>
      </c>
      <c r="P5762" s="12" t="n"/>
      <c r="Q5762" s="12" t="n"/>
      <c r="R5762" s="12" t="n"/>
      <c r="S5762" s="12" t="inlineStr">
        <is>
          <t>Duct bank</t>
        </is>
      </c>
      <c r="T5762" s="15" t="n">
        <v>312</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K-C-0033</t>
        </is>
      </c>
      <c r="B5763" s="12" t="inlineStr">
        <is>
          <t>K</t>
        </is>
      </c>
      <c r="C5763" s="12" t="inlineStr">
        <is>
          <t>Fuel supply (adjacent market)</t>
        </is>
      </c>
      <c r="D5763" s="12" t="inlineStr">
        <is>
          <t>CT / VT</t>
        </is>
      </c>
      <c r="E5763" s="12" t="inlineStr"/>
      <c r="F5763" s="12" t="inlineStr">
        <is>
          <t>H2 20: 13.8 kV e-house</t>
        </is>
      </c>
      <c r="G5763" s="12" t="inlineStr"/>
      <c r="H5763" s="12" t="inlineStr">
        <is>
          <t>H2 21: rectifier transformer 4 (7 MVA)</t>
        </is>
      </c>
      <c r="I5763" s="12" t="inlineStr">
        <is>
          <t>Control</t>
        </is>
      </c>
      <c r="J5763" s="12" t="inlineStr">
        <is>
          <t>Control cable 600 V Type TC-ER, Cu #10 AWG (CT / VT circuits)</t>
        </is>
      </c>
      <c r="K5763" s="12" t="inlineStr">
        <is>
          <t>CTCT|4/C|10</t>
        </is>
      </c>
      <c r="L5763" s="12" t="inlineStr">
        <is>
          <t>4/C</t>
        </is>
      </c>
      <c r="M5763" s="12" t="inlineStr">
        <is>
          <t>10</t>
        </is>
      </c>
      <c r="N5763" s="12" t="n">
        <v>1</v>
      </c>
      <c r="O5763" s="12" t="n">
        <v>1</v>
      </c>
      <c r="P5763" s="12" t="n"/>
      <c r="Q5763" s="12" t="n"/>
      <c r="R5763" s="12" t="n"/>
      <c r="S5763" s="12" t="inlineStr">
        <is>
          <t>Duct bank</t>
        </is>
      </c>
      <c r="T5763" s="15" t="n">
        <v>312</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K-C-0034</t>
        </is>
      </c>
      <c r="B5764" s="12" t="inlineStr">
        <is>
          <t>K</t>
        </is>
      </c>
      <c r="C5764" s="12" t="inlineStr">
        <is>
          <t>Fuel supply (adjacent market)</t>
        </is>
      </c>
      <c r="D5764" s="12" t="inlineStr">
        <is>
          <t>CT / VT</t>
        </is>
      </c>
      <c r="E5764" s="12" t="inlineStr"/>
      <c r="F5764" s="12" t="inlineStr">
        <is>
          <t>H2 20: 13.8 kV e-house</t>
        </is>
      </c>
      <c r="G5764" s="12" t="inlineStr"/>
      <c r="H5764" s="12" t="inlineStr">
        <is>
          <t>H2 21: rectifier transformer 4 (7 MVA)</t>
        </is>
      </c>
      <c r="I5764" s="12" t="inlineStr">
        <is>
          <t>Control</t>
        </is>
      </c>
      <c r="J5764" s="12" t="inlineStr">
        <is>
          <t>Control cable 600 V Type TC-ER, Cu #10 AWG (CT / VT circuits)</t>
        </is>
      </c>
      <c r="K5764" s="12" t="inlineStr">
        <is>
          <t>CTCT|4/C|10</t>
        </is>
      </c>
      <c r="L5764" s="12" t="inlineStr">
        <is>
          <t>4/C</t>
        </is>
      </c>
      <c r="M5764" s="12" t="inlineStr">
        <is>
          <t>10</t>
        </is>
      </c>
      <c r="N5764" s="12" t="n">
        <v>1</v>
      </c>
      <c r="O5764" s="12" t="n">
        <v>1</v>
      </c>
      <c r="P5764" s="12" t="n"/>
      <c r="Q5764" s="12" t="n"/>
      <c r="R5764" s="12" t="n"/>
      <c r="S5764" s="12" t="inlineStr">
        <is>
          <t>Duct bank</t>
        </is>
      </c>
      <c r="T5764" s="15" t="n">
        <v>312</v>
      </c>
      <c r="U5764" s="15" t="n">
        <v>32</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K-C-0035</t>
        </is>
      </c>
      <c r="B5765" s="12" t="inlineStr">
        <is>
          <t>K</t>
        </is>
      </c>
      <c r="C5765" s="12" t="inlineStr">
        <is>
          <t>Fuel supply (adjacent market)</t>
        </is>
      </c>
      <c r="D5765" s="12" t="inlineStr">
        <is>
          <t>Motor 1 of 1: control / local station</t>
        </is>
      </c>
      <c r="E5765" s="12" t="inlineStr"/>
      <c r="F5765" s="12" t="inlineStr">
        <is>
          <t>H2 20: 13.8 kV e-house</t>
        </is>
      </c>
      <c r="G5765" s="12" t="inlineStr"/>
      <c r="H5765" s="12" t="inlineStr">
        <is>
          <t>H2 21: rectifier transformer 5 (7 MVA)</t>
        </is>
      </c>
      <c r="I5765" s="12" t="inlineStr">
        <is>
          <t>Control</t>
        </is>
      </c>
      <c r="J5765" s="12" t="inlineStr">
        <is>
          <t>ARMOR-X MC-HL 600 V control, Cu #14 AWG (Class I Div 2)</t>
        </is>
      </c>
      <c r="K5765" s="12" t="inlineStr">
        <is>
          <t>CTAX|7/C|14</t>
        </is>
      </c>
      <c r="L5765" s="12" t="inlineStr">
        <is>
          <t>7/C</t>
        </is>
      </c>
      <c r="M5765" s="12" t="inlineStr">
        <is>
          <t>14</t>
        </is>
      </c>
      <c r="N5765" s="12" t="n">
        <v>1</v>
      </c>
      <c r="O5765" s="12" t="n">
        <v>1</v>
      </c>
      <c r="P5765" s="12" t="n"/>
      <c r="Q5765" s="12" t="n"/>
      <c r="R5765" s="12" t="n"/>
      <c r="S5765" s="12" t="inlineStr">
        <is>
          <t>Duct bank</t>
        </is>
      </c>
      <c r="T5765" s="15" t="n">
        <v>254</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K-C-0036</t>
        </is>
      </c>
      <c r="B5766" s="12" t="inlineStr">
        <is>
          <t>K</t>
        </is>
      </c>
      <c r="C5766" s="12" t="inlineStr">
        <is>
          <t>Fuel supply (adjacent market)</t>
        </is>
      </c>
      <c r="D5766" s="12" t="inlineStr">
        <is>
          <t>Solenoid to JB JB-H2 21: rectifier t-SOL01: 2 x 2/C (field cables)</t>
        </is>
      </c>
      <c r="E5766" s="12" t="inlineStr"/>
      <c r="F5766" s="12" t="inlineStr">
        <is>
          <t>H2 21: rectifier transformer 5 (7 MVA)</t>
        </is>
      </c>
      <c r="G5766" s="12" t="inlineStr">
        <is>
          <t>JB-H2 21: rectifier t-SOL01</t>
        </is>
      </c>
      <c r="H5766" s="12" t="inlineStr">
        <is>
          <t>H2 21: rectifier transformer 5 (7 MVA)</t>
        </is>
      </c>
      <c r="I5766" s="12" t="inlineStr">
        <is>
          <t>Control</t>
        </is>
      </c>
      <c r="J5766" s="12" t="inlineStr">
        <is>
          <t>ARMOR-X MC-HL 600 V control, Cu #14 AWG (Class I Div 2)</t>
        </is>
      </c>
      <c r="K5766" s="12" t="inlineStr">
        <is>
          <t>CTAX|2/C|14</t>
        </is>
      </c>
      <c r="L5766" s="12" t="inlineStr">
        <is>
          <t>2/C</t>
        </is>
      </c>
      <c r="M5766" s="12" t="inlineStr">
        <is>
          <t>14</t>
        </is>
      </c>
      <c r="N5766" s="12" t="n">
        <v>2</v>
      </c>
      <c r="O5766" s="12" t="n">
        <v>1</v>
      </c>
      <c r="P5766" s="12" t="n"/>
      <c r="Q5766" s="12" t="n"/>
      <c r="R5766" s="12" t="n"/>
      <c r="S5766" s="12" t="inlineStr">
        <is>
          <t>Tray / conduit</t>
        </is>
      </c>
      <c r="T5766" s="15" t="n">
        <v>41</v>
      </c>
      <c r="U5766" s="15" t="n">
        <v>10</v>
      </c>
      <c r="V5766" s="15">
        <f>ROUNDUP((T5766+U5766+2*'Read Me'!$B$13)*(1+'Read Me'!$B$12),-1)</f>
        <v/>
      </c>
      <c r="W5766" s="15">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K-C-0037</t>
        </is>
      </c>
      <c r="B5767" s="12" t="inlineStr">
        <is>
          <t>K</t>
        </is>
      </c>
      <c r="C5767" s="12" t="inlineStr">
        <is>
          <t>Fuel supply (adjacent market)</t>
        </is>
      </c>
      <c r="D5767" s="12" t="inlineStr">
        <is>
          <t>Home run JB-H2 21: rectifier t-SOL01 to the control / marshalling room</t>
        </is>
      </c>
      <c r="E5767" s="12" t="inlineStr"/>
      <c r="F5767" s="12" t="inlineStr">
        <is>
          <t>H2 20: 13.8 kV e-house</t>
        </is>
      </c>
      <c r="G5767" s="12" t="inlineStr">
        <is>
          <t>JB-H2 21: rectifier t-SOL01</t>
        </is>
      </c>
      <c r="H5767" s="12" t="inlineStr">
        <is>
          <t>H2 21: rectifier transformer 5 (7 MVA)</t>
        </is>
      </c>
      <c r="I5767" s="12" t="inlineStr">
        <is>
          <t>Control</t>
        </is>
      </c>
      <c r="J5767" s="12" t="inlineStr">
        <is>
          <t>ARMOR-X MC-HL 600 V control, Cu #14 AWG (Class I Div 2)</t>
        </is>
      </c>
      <c r="K5767" s="12" t="inlineStr">
        <is>
          <t>CTAX|25/C|14</t>
        </is>
      </c>
      <c r="L5767" s="12" t="inlineStr">
        <is>
          <t>25/C</t>
        </is>
      </c>
      <c r="M5767" s="12" t="inlineStr">
        <is>
          <t>14</t>
        </is>
      </c>
      <c r="N5767" s="12" t="n">
        <v>1</v>
      </c>
      <c r="O5767" s="12" t="n">
        <v>1</v>
      </c>
      <c r="P5767" s="12" t="n"/>
      <c r="Q5767" s="12" t="n"/>
      <c r="R5767" s="12" t="n"/>
      <c r="S5767" s="12" t="inlineStr">
        <is>
          <t>Duct bank</t>
        </is>
      </c>
      <c r="T5767" s="15" t="n">
        <v>254</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K-C-0038</t>
        </is>
      </c>
      <c r="B5768" s="12" t="inlineStr">
        <is>
          <t>K</t>
        </is>
      </c>
      <c r="C5768" s="12" t="inlineStr">
        <is>
          <t>Fuel supply (adjacent market)</t>
        </is>
      </c>
      <c r="D5768" s="12" t="inlineStr">
        <is>
          <t>Control</t>
        </is>
      </c>
      <c r="E5768" s="12" t="inlineStr"/>
      <c r="F5768" s="12" t="inlineStr">
        <is>
          <t>H2 20: 13.8 kV e-house</t>
        </is>
      </c>
      <c r="G5768" s="12" t="inlineStr"/>
      <c r="H5768" s="12" t="inlineStr">
        <is>
          <t>H2 21: rectifier transformer 5 (7 MVA)</t>
        </is>
      </c>
      <c r="I5768" s="12" t="inlineStr">
        <is>
          <t>Control</t>
        </is>
      </c>
      <c r="J5768" s="12" t="inlineStr">
        <is>
          <t>ARMOR-X MC-HL 600 V control, Cu #14 AWG (Class I Div 2)</t>
        </is>
      </c>
      <c r="K5768" s="12" t="inlineStr">
        <is>
          <t>CTAX|7/C|14</t>
        </is>
      </c>
      <c r="L5768" s="12" t="inlineStr">
        <is>
          <t>7/C</t>
        </is>
      </c>
      <c r="M5768" s="12" t="inlineStr">
        <is>
          <t>14</t>
        </is>
      </c>
      <c r="N5768" s="12" t="n">
        <v>1</v>
      </c>
      <c r="O5768" s="12" t="n">
        <v>1</v>
      </c>
      <c r="P5768" s="12" t="n"/>
      <c r="Q5768" s="12" t="n"/>
      <c r="R5768" s="12" t="n"/>
      <c r="S5768" s="12" t="inlineStr">
        <is>
          <t>Duct bank</t>
        </is>
      </c>
      <c r="T5768" s="15" t="n">
        <v>254</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K-C-0039</t>
        </is>
      </c>
      <c r="B5769" s="12" t="inlineStr">
        <is>
          <t>K</t>
        </is>
      </c>
      <c r="C5769" s="12" t="inlineStr">
        <is>
          <t>Fuel supply (adjacent market)</t>
        </is>
      </c>
      <c r="D5769" s="12" t="inlineStr">
        <is>
          <t>Control</t>
        </is>
      </c>
      <c r="E5769" s="12" t="inlineStr"/>
      <c r="F5769" s="12" t="inlineStr">
        <is>
          <t>H2 20: 13.8 kV e-house</t>
        </is>
      </c>
      <c r="G5769" s="12" t="inlineStr"/>
      <c r="H5769" s="12" t="inlineStr">
        <is>
          <t>H2 21: rectifier transformer 5 (7 MVA)</t>
        </is>
      </c>
      <c r="I5769" s="12" t="inlineStr">
        <is>
          <t>Control</t>
        </is>
      </c>
      <c r="J5769" s="12" t="inlineStr">
        <is>
          <t>ARMOR-X MC-HL 600 V control, Cu #14 AWG (Class I Div 2)</t>
        </is>
      </c>
      <c r="K5769" s="12" t="inlineStr">
        <is>
          <t>CTAX|12/C|14</t>
        </is>
      </c>
      <c r="L5769" s="12" t="inlineStr">
        <is>
          <t>12/C</t>
        </is>
      </c>
      <c r="M5769" s="12" t="inlineStr">
        <is>
          <t>14</t>
        </is>
      </c>
      <c r="N5769" s="12" t="n">
        <v>1</v>
      </c>
      <c r="O5769" s="12" t="n">
        <v>1</v>
      </c>
      <c r="P5769" s="12" t="n"/>
      <c r="Q5769" s="12" t="n"/>
      <c r="R5769" s="12" t="n"/>
      <c r="S5769" s="12" t="inlineStr">
        <is>
          <t>Duct bank</t>
        </is>
      </c>
      <c r="T5769" s="15" t="n">
        <v>254</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K-C-0040</t>
        </is>
      </c>
      <c r="B5770" s="12" t="inlineStr">
        <is>
          <t>K</t>
        </is>
      </c>
      <c r="C5770" s="12" t="inlineStr">
        <is>
          <t>Fuel supply (adjacent market)</t>
        </is>
      </c>
      <c r="D5770" s="12" t="inlineStr">
        <is>
          <t>CT / VT</t>
        </is>
      </c>
      <c r="E5770" s="12" t="inlineStr"/>
      <c r="F5770" s="12" t="inlineStr">
        <is>
          <t>H2 20: 13.8 kV e-house</t>
        </is>
      </c>
      <c r="G5770" s="12" t="inlineStr"/>
      <c r="H5770" s="12" t="inlineStr">
        <is>
          <t>H2 21: rectifier transformer 5 (7 MVA)</t>
        </is>
      </c>
      <c r="I5770" s="12" t="inlineStr">
        <is>
          <t>Control</t>
        </is>
      </c>
      <c r="J5770" s="12" t="inlineStr">
        <is>
          <t>Control cable 600 V Type TC-ER, Cu #10 AWG (CT / VT circuits)</t>
        </is>
      </c>
      <c r="K5770" s="12" t="inlineStr">
        <is>
          <t>CTCT|4/C|10</t>
        </is>
      </c>
      <c r="L5770" s="12" t="inlineStr">
        <is>
          <t>4/C</t>
        </is>
      </c>
      <c r="M5770" s="12" t="inlineStr">
        <is>
          <t>10</t>
        </is>
      </c>
      <c r="N5770" s="12" t="n">
        <v>1</v>
      </c>
      <c r="O5770" s="12" t="n">
        <v>1</v>
      </c>
      <c r="P5770" s="12" t="n"/>
      <c r="Q5770" s="12" t="n"/>
      <c r="R5770" s="12" t="n"/>
      <c r="S5770" s="12" t="inlineStr">
        <is>
          <t>Duct bank</t>
        </is>
      </c>
      <c r="T5770" s="15" t="n">
        <v>254</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K-C-0041</t>
        </is>
      </c>
      <c r="B5771" s="12" t="inlineStr">
        <is>
          <t>K</t>
        </is>
      </c>
      <c r="C5771" s="12" t="inlineStr">
        <is>
          <t>Fuel supply (adjacent market)</t>
        </is>
      </c>
      <c r="D5771" s="12" t="inlineStr">
        <is>
          <t>CT / VT</t>
        </is>
      </c>
      <c r="E5771" s="12" t="inlineStr"/>
      <c r="F5771" s="12" t="inlineStr">
        <is>
          <t>H2 20: 13.8 kV e-house</t>
        </is>
      </c>
      <c r="G5771" s="12" t="inlineStr"/>
      <c r="H5771" s="12" t="inlineStr">
        <is>
          <t>H2 21: rectifier transformer 5 (7 MVA)</t>
        </is>
      </c>
      <c r="I5771" s="12" t="inlineStr">
        <is>
          <t>Control</t>
        </is>
      </c>
      <c r="J5771" s="12" t="inlineStr">
        <is>
          <t>Control cable 600 V Type TC-ER, Cu #10 AWG (CT / VT circuits)</t>
        </is>
      </c>
      <c r="K5771" s="12" t="inlineStr">
        <is>
          <t>CTCT|4/C|10</t>
        </is>
      </c>
      <c r="L5771" s="12" t="inlineStr">
        <is>
          <t>4/C</t>
        </is>
      </c>
      <c r="M5771" s="12" t="inlineStr">
        <is>
          <t>10</t>
        </is>
      </c>
      <c r="N5771" s="12" t="n">
        <v>1</v>
      </c>
      <c r="O5771" s="12" t="n">
        <v>1</v>
      </c>
      <c r="P5771" s="12" t="n"/>
      <c r="Q5771" s="12" t="n"/>
      <c r="R5771" s="12" t="n"/>
      <c r="S5771" s="12" t="inlineStr">
        <is>
          <t>Duct bank</t>
        </is>
      </c>
      <c r="T5771" s="15" t="n">
        <v>254</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K-C-0042</t>
        </is>
      </c>
      <c r="B5772" s="12" t="inlineStr">
        <is>
          <t>K</t>
        </is>
      </c>
      <c r="C5772" s="12" t="inlineStr">
        <is>
          <t>Fuel supply (adjacent market)</t>
        </is>
      </c>
      <c r="D5772" s="12" t="inlineStr">
        <is>
          <t>Motor 1 of 1: control / local station</t>
        </is>
      </c>
      <c r="E5772" s="12" t="inlineStr"/>
      <c r="F5772" s="12" t="inlineStr">
        <is>
          <t>H2 20: 13.8 kV e-house</t>
        </is>
      </c>
      <c r="G5772" s="12" t="inlineStr">
        <is>
          <t>H2-EL</t>
        </is>
      </c>
      <c r="H5772" s="12" t="inlineStr">
        <is>
          <t>H2 22: electrolyzer building (5 x HyLYZER-1000 + 5 rectifiers)</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5" t="n">
        <v>346</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K-C-0043</t>
        </is>
      </c>
      <c r="B5773" s="12" t="inlineStr">
        <is>
          <t>K</t>
        </is>
      </c>
      <c r="C5773" s="12" t="inlineStr">
        <is>
          <t>Fuel supply (adjacent market)</t>
        </is>
      </c>
      <c r="D5773" s="12" t="inlineStr">
        <is>
          <t>Solenoid to JB JB-H2-EL-SOL01: 2 x 2/C (field cables)</t>
        </is>
      </c>
      <c r="E5773" s="12" t="inlineStr">
        <is>
          <t>H2-EL</t>
        </is>
      </c>
      <c r="F5773" s="12" t="inlineStr">
        <is>
          <t>H2 22: electrolyzer building (5 x HyLYZER-1000 + 5 rectifiers)</t>
        </is>
      </c>
      <c r="G5773" s="12" t="inlineStr">
        <is>
          <t>JB-H2-EL-SOL01</t>
        </is>
      </c>
      <c r="H5773" s="12" t="inlineStr">
        <is>
          <t>H2 22: electrolyzer building (5 x HyLYZER-1000 + 5 rectifiers)</t>
        </is>
      </c>
      <c r="I5773" s="12" t="inlineStr">
        <is>
          <t>Control</t>
        </is>
      </c>
      <c r="J5773" s="12" t="inlineStr">
        <is>
          <t>ARMOR-X MC-HL 600 V control, Cu #14 AWG (Class I Div 2)</t>
        </is>
      </c>
      <c r="K5773" s="12" t="inlineStr">
        <is>
          <t>CTAX|2/C|14</t>
        </is>
      </c>
      <c r="L5773" s="12" t="inlineStr">
        <is>
          <t>2/C</t>
        </is>
      </c>
      <c r="M5773" s="12" t="inlineStr">
        <is>
          <t>14</t>
        </is>
      </c>
      <c r="N5773" s="12" t="n">
        <v>2</v>
      </c>
      <c r="O5773" s="12" t="n">
        <v>1</v>
      </c>
      <c r="P5773" s="12" t="n"/>
      <c r="Q5773" s="12" t="n"/>
      <c r="R5773" s="12" t="n"/>
      <c r="S5773" s="12" t="inlineStr">
        <is>
          <t>Tray / conduit</t>
        </is>
      </c>
      <c r="T5773" s="15" t="n">
        <v>157</v>
      </c>
      <c r="U5773" s="15" t="n">
        <v>10</v>
      </c>
      <c r="V5773" s="15">
        <f>ROUNDUP((T5773+U5773+2*'Read Me'!$B$13)*(1+'Read Me'!$B$12),-1)</f>
        <v/>
      </c>
      <c r="W5773" s="15">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K-C-0044</t>
        </is>
      </c>
      <c r="B5774" s="12" t="inlineStr">
        <is>
          <t>K</t>
        </is>
      </c>
      <c r="C5774" s="12" t="inlineStr">
        <is>
          <t>Fuel supply (adjacent market)</t>
        </is>
      </c>
      <c r="D5774" s="12" t="inlineStr">
        <is>
          <t>Home run JB-H2-EL-SOL01 to the control / marshalling room</t>
        </is>
      </c>
      <c r="E5774" s="12" t="inlineStr"/>
      <c r="F5774" s="12" t="inlineStr">
        <is>
          <t>H2 20: 13.8 kV e-house</t>
        </is>
      </c>
      <c r="G5774" s="12" t="inlineStr">
        <is>
          <t>JB-H2-EL-SOL01</t>
        </is>
      </c>
      <c r="H5774" s="12" t="inlineStr">
        <is>
          <t>H2 22: electrolyzer building (5 x HyLYZER-1000 + 5 rectifiers)</t>
        </is>
      </c>
      <c r="I5774" s="12" t="inlineStr">
        <is>
          <t>Control</t>
        </is>
      </c>
      <c r="J5774" s="12" t="inlineStr">
        <is>
          <t>ARMOR-X MC-HL 600 V control, Cu #14 AWG (Class I Div 2)</t>
        </is>
      </c>
      <c r="K5774" s="12" t="inlineStr">
        <is>
          <t>CTAX|25/C|14</t>
        </is>
      </c>
      <c r="L5774" s="12" t="inlineStr">
        <is>
          <t>25/C</t>
        </is>
      </c>
      <c r="M5774" s="12" t="inlineStr">
        <is>
          <t>14</t>
        </is>
      </c>
      <c r="N5774" s="12" t="n">
        <v>1</v>
      </c>
      <c r="O5774" s="12" t="n">
        <v>1</v>
      </c>
      <c r="P5774" s="12" t="n"/>
      <c r="Q5774" s="12" t="n"/>
      <c r="R5774" s="12" t="n"/>
      <c r="S5774" s="12" t="inlineStr">
        <is>
          <t>Duct bank</t>
        </is>
      </c>
      <c r="T5774" s="15" t="n">
        <v>346</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K-C-0045</t>
        </is>
      </c>
      <c r="B5775" s="12" t="inlineStr">
        <is>
          <t>K</t>
        </is>
      </c>
      <c r="C5775" s="12" t="inlineStr">
        <is>
          <t>Fuel supply (adjacent market)</t>
        </is>
      </c>
      <c r="D5775" s="12" t="inlineStr">
        <is>
          <t>Motor 1 of 1: control / local station</t>
        </is>
      </c>
      <c r="E5775" s="12" t="inlineStr"/>
      <c r="F5775" s="12" t="inlineStr">
        <is>
          <t>H2 20: 13.8 kV e-house</t>
        </is>
      </c>
      <c r="G5775" s="12" t="inlineStr"/>
      <c r="H5775" s="12" t="inlineStr">
        <is>
          <t>H2 23: dry coolers</t>
        </is>
      </c>
      <c r="I5775" s="12" t="inlineStr">
        <is>
          <t>Control</t>
        </is>
      </c>
      <c r="J5775" s="12" t="inlineStr">
        <is>
          <t>ARMOR-X MC-HL 600 V control, Cu #14 AWG (Class I Div 2)</t>
        </is>
      </c>
      <c r="K5775" s="12" t="inlineStr">
        <is>
          <t>CTAX|7/C|14</t>
        </is>
      </c>
      <c r="L5775" s="12" t="inlineStr">
        <is>
          <t>7/C</t>
        </is>
      </c>
      <c r="M5775" s="12" t="inlineStr">
        <is>
          <t>14</t>
        </is>
      </c>
      <c r="N5775" s="12" t="n">
        <v>1</v>
      </c>
      <c r="O5775" s="12" t="n">
        <v>1</v>
      </c>
      <c r="P5775" s="12" t="n"/>
      <c r="Q5775" s="12" t="n"/>
      <c r="R5775" s="12" t="n"/>
      <c r="S5775" s="12" t="inlineStr">
        <is>
          <t>Duct bank</t>
        </is>
      </c>
      <c r="T5775" s="15" t="n">
        <v>100</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K-C-0046</t>
        </is>
      </c>
      <c r="B5776" s="12" t="inlineStr">
        <is>
          <t>K</t>
        </is>
      </c>
      <c r="C5776" s="12" t="inlineStr">
        <is>
          <t>Fuel supply (adjacent market)</t>
        </is>
      </c>
      <c r="D5776" s="12" t="inlineStr">
        <is>
          <t>Solenoid to JB JB-H2 23: dry coolers-SOL01: 2 x 2/C (field cables)</t>
        </is>
      </c>
      <c r="E5776" s="12" t="inlineStr"/>
      <c r="F5776" s="12" t="inlineStr">
        <is>
          <t>H2 23: dry coolers</t>
        </is>
      </c>
      <c r="G5776" s="12" t="inlineStr">
        <is>
          <t>JB-H2 23: dry coolers-SOL01</t>
        </is>
      </c>
      <c r="H5776" s="12" t="inlineStr">
        <is>
          <t>H2 23: dry coolers</t>
        </is>
      </c>
      <c r="I5776" s="12" t="inlineStr">
        <is>
          <t>Control</t>
        </is>
      </c>
      <c r="J5776" s="12" t="inlineStr">
        <is>
          <t>ARMOR-X MC-HL 600 V control, Cu #14 AWG (Class I Div 2)</t>
        </is>
      </c>
      <c r="K5776" s="12" t="inlineStr">
        <is>
          <t>CTAX|2/C|14</t>
        </is>
      </c>
      <c r="L5776" s="12" t="inlineStr">
        <is>
          <t>2/C</t>
        </is>
      </c>
      <c r="M5776" s="12" t="inlineStr">
        <is>
          <t>14</t>
        </is>
      </c>
      <c r="N5776" s="12" t="n">
        <v>2</v>
      </c>
      <c r="O5776" s="12" t="n">
        <v>1</v>
      </c>
      <c r="P5776" s="12" t="n"/>
      <c r="Q5776" s="12" t="n"/>
      <c r="R5776" s="12" t="n"/>
      <c r="S5776" s="12" t="inlineStr">
        <is>
          <t>Tray / conduit</t>
        </is>
      </c>
      <c r="T5776" s="15" t="n">
        <v>111</v>
      </c>
      <c r="U5776" s="15" t="n">
        <v>10</v>
      </c>
      <c r="V5776" s="15">
        <f>ROUNDUP((T5776+U5776+2*'Read Me'!$B$13)*(1+'Read Me'!$B$12),-1)</f>
        <v/>
      </c>
      <c r="W5776" s="15">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K-C-0047</t>
        </is>
      </c>
      <c r="B5777" s="12" t="inlineStr">
        <is>
          <t>K</t>
        </is>
      </c>
      <c r="C5777" s="12" t="inlineStr">
        <is>
          <t>Fuel supply (adjacent market)</t>
        </is>
      </c>
      <c r="D5777" s="12" t="inlineStr">
        <is>
          <t>Home run JB-H2 23: dry coolers-SOL01 to the control / marshalling room</t>
        </is>
      </c>
      <c r="E5777" s="12" t="inlineStr"/>
      <c r="F5777" s="12" t="inlineStr">
        <is>
          <t>H2 20: 13.8 kV e-house</t>
        </is>
      </c>
      <c r="G5777" s="12" t="inlineStr">
        <is>
          <t>JB-H2 23: dry coolers-SOL01</t>
        </is>
      </c>
      <c r="H5777" s="12" t="inlineStr">
        <is>
          <t>H2 23: dry coolers</t>
        </is>
      </c>
      <c r="I5777" s="12" t="inlineStr">
        <is>
          <t>Control</t>
        </is>
      </c>
      <c r="J5777" s="12" t="inlineStr">
        <is>
          <t>ARMOR-X MC-HL 600 V control, Cu #14 AWG (Class I Div 2)</t>
        </is>
      </c>
      <c r="K5777" s="12" t="inlineStr">
        <is>
          <t>CTAX|25/C|14</t>
        </is>
      </c>
      <c r="L5777" s="12" t="inlineStr">
        <is>
          <t>25/C</t>
        </is>
      </c>
      <c r="M5777" s="12" t="inlineStr">
        <is>
          <t>14</t>
        </is>
      </c>
      <c r="N5777" s="12" t="n">
        <v>1</v>
      </c>
      <c r="O5777" s="12" t="n">
        <v>1</v>
      </c>
      <c r="P5777" s="12" t="n"/>
      <c r="Q5777" s="12" t="n"/>
      <c r="R5777" s="12" t="n"/>
      <c r="S5777" s="12" t="inlineStr">
        <is>
          <t>Duct bank</t>
        </is>
      </c>
      <c r="T5777" s="15" t="n">
        <v>100</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K-C-0048</t>
        </is>
      </c>
      <c r="B5778" s="12" t="inlineStr">
        <is>
          <t>K</t>
        </is>
      </c>
      <c r="C5778" s="12" t="inlineStr">
        <is>
          <t>Fuel supply (adjacent market)</t>
        </is>
      </c>
      <c r="D5778" s="12" t="inlineStr">
        <is>
          <t>Motor 1 of 1: control / local station</t>
        </is>
      </c>
      <c r="E5778" s="12" t="inlineStr"/>
      <c r="F5778" s="12" t="inlineStr">
        <is>
          <t>H2 20: 13.8 kV e-house</t>
        </is>
      </c>
      <c r="G5778" s="12" t="inlineStr"/>
      <c r="H5778" s="12" t="inlineStr">
        <is>
          <t>H2 24: water purification (RO / EDI)</t>
        </is>
      </c>
      <c r="I5778" s="12" t="inlineStr">
        <is>
          <t>Control</t>
        </is>
      </c>
      <c r="J5778" s="12" t="inlineStr">
        <is>
          <t>ARMOR-X MC-HL 600 V control, Cu #14 AWG (Class I Div 2)</t>
        </is>
      </c>
      <c r="K5778" s="12" t="inlineStr">
        <is>
          <t>CTAX|7/C|14</t>
        </is>
      </c>
      <c r="L5778" s="12" t="inlineStr">
        <is>
          <t>7/C</t>
        </is>
      </c>
      <c r="M5778" s="12" t="inlineStr">
        <is>
          <t>14</t>
        </is>
      </c>
      <c r="N5778" s="12" t="n">
        <v>1</v>
      </c>
      <c r="O5778" s="12" t="n">
        <v>1</v>
      </c>
      <c r="P5778" s="12" t="n"/>
      <c r="Q5778" s="12" t="n"/>
      <c r="R5778" s="12" t="n"/>
      <c r="S5778" s="12" t="inlineStr">
        <is>
          <t>Duct bank</t>
        </is>
      </c>
      <c r="T5778" s="15" t="n">
        <v>146</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K-C-0049</t>
        </is>
      </c>
      <c r="B5779" s="12" t="inlineStr">
        <is>
          <t>K</t>
        </is>
      </c>
      <c r="C5779" s="12" t="inlineStr">
        <is>
          <t>Fuel supply (adjacent market)</t>
        </is>
      </c>
      <c r="D5779" s="12" t="inlineStr">
        <is>
          <t>Solenoid to JB JB-H2 24: water purif-SOL01: 2 x 2/C (field cables)</t>
        </is>
      </c>
      <c r="E5779" s="12" t="inlineStr"/>
      <c r="F5779" s="12" t="inlineStr">
        <is>
          <t>H2 24: water purification (RO / EDI)</t>
        </is>
      </c>
      <c r="G5779" s="12" t="inlineStr">
        <is>
          <t>JB-H2 24: water purif-SOL01</t>
        </is>
      </c>
      <c r="H5779" s="12" t="inlineStr">
        <is>
          <t>H2 24: water purification (RO / EDI)</t>
        </is>
      </c>
      <c r="I5779" s="12" t="inlineStr">
        <is>
          <t>Control</t>
        </is>
      </c>
      <c r="J5779" s="12" t="inlineStr">
        <is>
          <t>ARMOR-X MC-HL 600 V control, Cu #14 AWG (Class I Div 2)</t>
        </is>
      </c>
      <c r="K5779" s="12" t="inlineStr">
        <is>
          <t>CTAX|2/C|14</t>
        </is>
      </c>
      <c r="L5779" s="12" t="inlineStr">
        <is>
          <t>2/C</t>
        </is>
      </c>
      <c r="M5779" s="12" t="inlineStr">
        <is>
          <t>14</t>
        </is>
      </c>
      <c r="N5779" s="12" t="n">
        <v>2</v>
      </c>
      <c r="O5779" s="12" t="n">
        <v>1</v>
      </c>
      <c r="P5779" s="12" t="n"/>
      <c r="Q5779" s="12" t="n"/>
      <c r="R5779" s="12" t="n"/>
      <c r="S5779" s="12" t="inlineStr">
        <is>
          <t>Tray / conduit</t>
        </is>
      </c>
      <c r="T5779" s="15" t="n">
        <v>60</v>
      </c>
      <c r="U5779" s="15" t="n">
        <v>10</v>
      </c>
      <c r="V5779" s="15">
        <f>ROUNDUP((T5779+U5779+2*'Read Me'!$B$13)*(1+'Read Me'!$B$12),-1)</f>
        <v/>
      </c>
      <c r="W5779" s="15">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K-C-0050</t>
        </is>
      </c>
      <c r="B5780" s="12" t="inlineStr">
        <is>
          <t>K</t>
        </is>
      </c>
      <c r="C5780" s="12" t="inlineStr">
        <is>
          <t>Fuel supply (adjacent market)</t>
        </is>
      </c>
      <c r="D5780" s="12" t="inlineStr">
        <is>
          <t>Home run JB-H2 24: water purif-SOL01 to the control / marshalling room</t>
        </is>
      </c>
      <c r="E5780" s="12" t="inlineStr"/>
      <c r="F5780" s="12" t="inlineStr">
        <is>
          <t>H2 20: 13.8 kV e-house</t>
        </is>
      </c>
      <c r="G5780" s="12" t="inlineStr">
        <is>
          <t>JB-H2 24: water purif-SOL01</t>
        </is>
      </c>
      <c r="H5780" s="12" t="inlineStr">
        <is>
          <t>H2 24: water purification (RO / EDI)</t>
        </is>
      </c>
      <c r="I5780" s="12" t="inlineStr">
        <is>
          <t>Control</t>
        </is>
      </c>
      <c r="J5780" s="12" t="inlineStr">
        <is>
          <t>ARMOR-X MC-HL 600 V control, Cu #14 AWG (Class I Div 2)</t>
        </is>
      </c>
      <c r="K5780" s="12" t="inlineStr">
        <is>
          <t>CTAX|25/C|14</t>
        </is>
      </c>
      <c r="L5780" s="12" t="inlineStr">
        <is>
          <t>25/C</t>
        </is>
      </c>
      <c r="M5780" s="12" t="inlineStr">
        <is>
          <t>14</t>
        </is>
      </c>
      <c r="N5780" s="12" t="n">
        <v>1</v>
      </c>
      <c r="O5780" s="12" t="n">
        <v>1</v>
      </c>
      <c r="P5780" s="12" t="n"/>
      <c r="Q5780" s="12" t="n"/>
      <c r="R5780" s="12" t="n"/>
      <c r="S5780" s="12" t="inlineStr">
        <is>
          <t>Duct bank</t>
        </is>
      </c>
      <c r="T5780" s="15" t="n">
        <v>146</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K-C-0051</t>
        </is>
      </c>
      <c r="B5781" s="12" t="inlineStr">
        <is>
          <t>K</t>
        </is>
      </c>
      <c r="C5781" s="12" t="inlineStr">
        <is>
          <t>Fuel supply (adjacent market)</t>
        </is>
      </c>
      <c r="D5781" s="12" t="inlineStr">
        <is>
          <t>Motor 1 of 1: control / local station</t>
        </is>
      </c>
      <c r="E5781" s="12" t="inlineStr"/>
      <c r="F5781" s="12" t="inlineStr">
        <is>
          <t>H2 20: 13.8 kV e-house</t>
        </is>
      </c>
      <c r="G5781" s="12" t="inlineStr"/>
      <c r="H5781" s="12" t="inlineStr">
        <is>
          <t>H2 25: H2 dryer / purification</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0</v>
      </c>
      <c r="U5781" s="15" t="n">
        <v>49</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K-C-0052</t>
        </is>
      </c>
      <c r="B5782" s="12" t="inlineStr">
        <is>
          <t>K</t>
        </is>
      </c>
      <c r="C5782" s="12" t="inlineStr">
        <is>
          <t>Fuel supply (adjacent market)</t>
        </is>
      </c>
      <c r="D5782" s="12" t="inlineStr">
        <is>
          <t>Solenoid to JB JB-H2 25: H2 dryer / -SOL01: 2 x 2/C (field cables)</t>
        </is>
      </c>
      <c r="E5782" s="12" t="inlineStr"/>
      <c r="F5782" s="12" t="inlineStr">
        <is>
          <t>H2 25: H2 dryer / purification</t>
        </is>
      </c>
      <c r="G5782" s="12" t="inlineStr">
        <is>
          <t>JB-H2 25: H2 dryer / -SOL01</t>
        </is>
      </c>
      <c r="H5782" s="12" t="inlineStr">
        <is>
          <t>H2 25: H2 dryer / purification</t>
        </is>
      </c>
      <c r="I5782" s="12" t="inlineStr">
        <is>
          <t>Control</t>
        </is>
      </c>
      <c r="J5782" s="12" t="inlineStr">
        <is>
          <t>ARMOR-X MC-HL 600 V control, Cu #14 AWG (Class I Div 2)</t>
        </is>
      </c>
      <c r="K5782" s="12" t="inlineStr">
        <is>
          <t>CTAX|2/C|14</t>
        </is>
      </c>
      <c r="L5782" s="12" t="inlineStr">
        <is>
          <t>2/C</t>
        </is>
      </c>
      <c r="M5782" s="12" t="inlineStr">
        <is>
          <t>14</t>
        </is>
      </c>
      <c r="N5782" s="12" t="n">
        <v>2</v>
      </c>
      <c r="O5782" s="12" t="n">
        <v>1</v>
      </c>
      <c r="P5782" s="12" t="n"/>
      <c r="Q5782" s="12" t="n"/>
      <c r="R5782" s="12" t="n"/>
      <c r="S5782" s="12" t="inlineStr">
        <is>
          <t>Tray / conduit</t>
        </is>
      </c>
      <c r="T5782" s="15" t="n">
        <v>60</v>
      </c>
      <c r="U5782" s="15" t="n">
        <v>10</v>
      </c>
      <c r="V5782" s="15">
        <f>ROUNDUP((T5782+U5782+2*'Read Me'!$B$13)*(1+'Read Me'!$B$12),-1)</f>
        <v/>
      </c>
      <c r="W5782" s="15">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K-C-0053</t>
        </is>
      </c>
      <c r="B5783" s="12" t="inlineStr">
        <is>
          <t>K</t>
        </is>
      </c>
      <c r="C5783" s="12" t="inlineStr">
        <is>
          <t>Fuel supply (adjacent market)</t>
        </is>
      </c>
      <c r="D5783" s="12" t="inlineStr">
        <is>
          <t>Home run JB-H2 25: H2 dryer / -SOL01 to the control / marshalling room</t>
        </is>
      </c>
      <c r="E5783" s="12" t="inlineStr"/>
      <c r="F5783" s="12" t="inlineStr">
        <is>
          <t>H2 20: 13.8 kV e-house</t>
        </is>
      </c>
      <c r="G5783" s="12" t="inlineStr">
        <is>
          <t>JB-H2 25: H2 dryer / -SOL01</t>
        </is>
      </c>
      <c r="H5783" s="12" t="inlineStr">
        <is>
          <t>H2 25: H2 dryer / purification</t>
        </is>
      </c>
      <c r="I5783" s="12" t="inlineStr">
        <is>
          <t>Control</t>
        </is>
      </c>
      <c r="J5783" s="12" t="inlineStr">
        <is>
          <t>ARMOR-X MC-HL 600 V control, Cu #14 AWG (Class I Div 2)</t>
        </is>
      </c>
      <c r="K5783" s="12" t="inlineStr">
        <is>
          <t>CTAX|25/C|14</t>
        </is>
      </c>
      <c r="L5783" s="12" t="inlineStr">
        <is>
          <t>25/C</t>
        </is>
      </c>
      <c r="M5783" s="12" t="inlineStr">
        <is>
          <t>14</t>
        </is>
      </c>
      <c r="N5783" s="12" t="n">
        <v>1</v>
      </c>
      <c r="O5783" s="12" t="n">
        <v>1</v>
      </c>
      <c r="P5783" s="12" t="n"/>
      <c r="Q5783" s="12" t="n"/>
      <c r="R5783" s="12" t="n"/>
      <c r="S5783" s="12" t="inlineStr">
        <is>
          <t>Duct bank</t>
        </is>
      </c>
      <c r="T5783" s="15" t="n">
        <v>0</v>
      </c>
      <c r="U5783" s="15" t="n">
        <v>49</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K-C-0054</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26: H2 compressor 1 (40 ft ISO)</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50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K-C-0055</t>
        </is>
      </c>
      <c r="B5785" s="12" t="inlineStr">
        <is>
          <t>K</t>
        </is>
      </c>
      <c r="C5785" s="12" t="inlineStr">
        <is>
          <t>Fuel supply (adjacent market)</t>
        </is>
      </c>
      <c r="D5785" s="12" t="inlineStr">
        <is>
          <t>Solenoid to JB JB-H2 26: H2 compress-SOL01: 2 x 2/C (field cables)</t>
        </is>
      </c>
      <c r="E5785" s="12" t="inlineStr"/>
      <c r="F5785" s="12" t="inlineStr">
        <is>
          <t>H2 26: H2 compressor 1 (40 ft ISO)</t>
        </is>
      </c>
      <c r="G5785" s="12" t="inlineStr">
        <is>
          <t>JB-H2 26: H2 compress-SOL01</t>
        </is>
      </c>
      <c r="H5785" s="12" t="inlineStr">
        <is>
          <t>H2 26: H2 compressor 1 (40 ft ISO)</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53</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K-C-0056</t>
        </is>
      </c>
      <c r="B5786" s="12" t="inlineStr">
        <is>
          <t>K</t>
        </is>
      </c>
      <c r="C5786" s="12" t="inlineStr">
        <is>
          <t>Fuel supply (adjacent market)</t>
        </is>
      </c>
      <c r="D5786" s="12" t="inlineStr">
        <is>
          <t>Home run JB-H2 26: H2 compress-SOL01 to the control / marshalling room</t>
        </is>
      </c>
      <c r="E5786" s="12" t="inlineStr"/>
      <c r="F5786" s="12" t="inlineStr">
        <is>
          <t>H2 20: 13.8 kV e-house</t>
        </is>
      </c>
      <c r="G5786" s="12" t="inlineStr">
        <is>
          <t>JB-H2 26: H2 compress-SOL01</t>
        </is>
      </c>
      <c r="H5786" s="12" t="inlineStr">
        <is>
          <t>H2 26: H2 compressor 1 (40 ft ISO)</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50</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K-C-0057</t>
        </is>
      </c>
      <c r="B5787" s="12" t="inlineStr">
        <is>
          <t>K</t>
        </is>
      </c>
      <c r="C5787" s="12" t="inlineStr">
        <is>
          <t>Fuel supply (adjacent market)</t>
        </is>
      </c>
      <c r="D5787" s="12" t="inlineStr">
        <is>
          <t>Motor 1 of 1: control / local station</t>
        </is>
      </c>
      <c r="E5787" s="12" t="inlineStr"/>
      <c r="F5787" s="12" t="inlineStr">
        <is>
          <t>H2 20: 13.8 kV e-house</t>
        </is>
      </c>
      <c r="G5787" s="12" t="inlineStr"/>
      <c r="H5787" s="12" t="inlineStr">
        <is>
          <t>H2 26: H2 compressor 2 (40 ft ISO)</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50</v>
      </c>
      <c r="U5787" s="15" t="n">
        <v>47</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K-C-0058</t>
        </is>
      </c>
      <c r="B5788" s="12" t="inlineStr">
        <is>
          <t>K</t>
        </is>
      </c>
      <c r="C5788" s="12" t="inlineStr">
        <is>
          <t>Fuel supply (adjacent market)</t>
        </is>
      </c>
      <c r="D5788" s="12" t="inlineStr">
        <is>
          <t>Solenoid to JB JB-H2 26: H2 compress-SOL01: 2 x 2/C (field cables)</t>
        </is>
      </c>
      <c r="E5788" s="12" t="inlineStr"/>
      <c r="F5788" s="12" t="inlineStr">
        <is>
          <t>H2 26: H2 compressor 2 (40 ft ISO)</t>
        </is>
      </c>
      <c r="G5788" s="12" t="inlineStr">
        <is>
          <t>JB-H2 26: H2 compress-SOL01</t>
        </is>
      </c>
      <c r="H5788" s="12" t="inlineStr">
        <is>
          <t>H2 26: H2 compressor 2 (40 ft ISO)</t>
        </is>
      </c>
      <c r="I5788" s="12" t="inlineStr">
        <is>
          <t>Control</t>
        </is>
      </c>
      <c r="J5788" s="12" t="inlineStr">
        <is>
          <t>ARMOR-X MC-HL 600 V control, Cu #14 AWG (Class I Div 2)</t>
        </is>
      </c>
      <c r="K5788" s="12" t="inlineStr">
        <is>
          <t>CTAX|2/C|14</t>
        </is>
      </c>
      <c r="L5788" s="12" t="inlineStr">
        <is>
          <t>2/C</t>
        </is>
      </c>
      <c r="M5788" s="12" t="inlineStr">
        <is>
          <t>14</t>
        </is>
      </c>
      <c r="N5788" s="12" t="n">
        <v>2</v>
      </c>
      <c r="O5788" s="12" t="n">
        <v>1</v>
      </c>
      <c r="P5788" s="12" t="n"/>
      <c r="Q5788" s="12" t="n"/>
      <c r="R5788" s="12" t="n"/>
      <c r="S5788" s="12" t="inlineStr">
        <is>
          <t>Tray / conduit</t>
        </is>
      </c>
      <c r="T5788" s="15" t="n">
        <v>53</v>
      </c>
      <c r="U5788" s="15" t="n">
        <v>10</v>
      </c>
      <c r="V5788" s="15">
        <f>ROUNDUP((T5788+U5788+2*'Read Me'!$B$13)*(1+'Read Me'!$B$12),-1)</f>
        <v/>
      </c>
      <c r="W5788" s="15">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K-C-0059</t>
        </is>
      </c>
      <c r="B5789" s="12" t="inlineStr">
        <is>
          <t>K</t>
        </is>
      </c>
      <c r="C5789" s="12" t="inlineStr">
        <is>
          <t>Fuel supply (adjacent market)</t>
        </is>
      </c>
      <c r="D5789" s="12" t="inlineStr">
        <is>
          <t>Home run JB-H2 26: H2 compress-SOL01 to the control / marshalling room</t>
        </is>
      </c>
      <c r="E5789" s="12" t="inlineStr"/>
      <c r="F5789" s="12" t="inlineStr">
        <is>
          <t>H2 20: 13.8 kV e-house</t>
        </is>
      </c>
      <c r="G5789" s="12" t="inlineStr">
        <is>
          <t>JB-H2 26: H2 compress-SOL01</t>
        </is>
      </c>
      <c r="H5789" s="12" t="inlineStr">
        <is>
          <t>H2 26: H2 compressor 2 (40 ft ISO)</t>
        </is>
      </c>
      <c r="I5789" s="12" t="inlineStr">
        <is>
          <t>Control</t>
        </is>
      </c>
      <c r="J5789" s="12" t="inlineStr">
        <is>
          <t>ARMOR-X MC-HL 600 V control, Cu #14 AWG (Class I Div 2)</t>
        </is>
      </c>
      <c r="K5789" s="12" t="inlineStr">
        <is>
          <t>CTAX|25/C|14</t>
        </is>
      </c>
      <c r="L5789" s="12" t="inlineStr">
        <is>
          <t>25/C</t>
        </is>
      </c>
      <c r="M5789" s="12" t="inlineStr">
        <is>
          <t>14</t>
        </is>
      </c>
      <c r="N5789" s="12" t="n">
        <v>1</v>
      </c>
      <c r="O5789" s="12" t="n">
        <v>1</v>
      </c>
      <c r="P5789" s="12" t="n"/>
      <c r="Q5789" s="12" t="n"/>
      <c r="R5789" s="12" t="n"/>
      <c r="S5789" s="12" t="inlineStr">
        <is>
          <t>Duct bank</t>
        </is>
      </c>
      <c r="T5789" s="15" t="n">
        <v>50</v>
      </c>
      <c r="U5789" s="15" t="n">
        <v>47</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K-C-0060</t>
        </is>
      </c>
      <c r="B5790" s="12" t="inlineStr">
        <is>
          <t>K</t>
        </is>
      </c>
      <c r="C5790" s="12" t="inlineStr">
        <is>
          <t>Fuel supply (adjacent market)</t>
        </is>
      </c>
      <c r="D5790" s="12" t="inlineStr">
        <is>
          <t>Motor 1 of 1: control / local station</t>
        </is>
      </c>
      <c r="E5790" s="12" t="inlineStr"/>
      <c r="F5790" s="12" t="inlineStr">
        <is>
          <t>H2 20: 13.8 kV e-house</t>
        </is>
      </c>
      <c r="G5790" s="12" t="inlineStr"/>
      <c r="H5790" s="12" t="inlineStr">
        <is>
          <t>H2 27: storage tube bank (~40 ft tubes)</t>
        </is>
      </c>
      <c r="I5790" s="12" t="inlineStr">
        <is>
          <t>Control</t>
        </is>
      </c>
      <c r="J5790" s="12" t="inlineStr">
        <is>
          <t>ARMOR-X MC-HL 600 V control, Cu #14 AWG (Class I Div 2)</t>
        </is>
      </c>
      <c r="K5790" s="12" t="inlineStr">
        <is>
          <t>CTAX|7/C|14</t>
        </is>
      </c>
      <c r="L5790" s="12" t="inlineStr">
        <is>
          <t>7/C</t>
        </is>
      </c>
      <c r="M5790" s="12" t="inlineStr">
        <is>
          <t>14</t>
        </is>
      </c>
      <c r="N5790" s="12" t="n">
        <v>1</v>
      </c>
      <c r="O5790" s="12" t="n">
        <v>1</v>
      </c>
      <c r="P5790" s="12" t="n"/>
      <c r="Q5790" s="12" t="n"/>
      <c r="R5790" s="12" t="n"/>
      <c r="S5790" s="12" t="inlineStr">
        <is>
          <t>Duct bank</t>
        </is>
      </c>
      <c r="T5790" s="15" t="n">
        <v>50</v>
      </c>
      <c r="U5790" s="15" t="n">
        <v>97</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K-C-0061</t>
        </is>
      </c>
      <c r="B5791" s="12" t="inlineStr">
        <is>
          <t>K</t>
        </is>
      </c>
      <c r="C5791" s="12" t="inlineStr">
        <is>
          <t>Fuel supply (adjacent market)</t>
        </is>
      </c>
      <c r="D5791" s="12" t="inlineStr">
        <is>
          <t>Solenoid to JB JB-H2 27: storage tub-SOL01: 2 x 2/C (field cables)</t>
        </is>
      </c>
      <c r="E5791" s="12" t="inlineStr"/>
      <c r="F5791" s="12" t="inlineStr">
        <is>
          <t>H2 27: storage tube bank (~40 ft tubes)</t>
        </is>
      </c>
      <c r="G5791" s="12" t="inlineStr">
        <is>
          <t>JB-H2 27: storage tub-SOL01</t>
        </is>
      </c>
      <c r="H5791" s="12" t="inlineStr">
        <is>
          <t>H2 27: storage tube bank (~40 ft tubes)</t>
        </is>
      </c>
      <c r="I5791" s="12" t="inlineStr">
        <is>
          <t>Control</t>
        </is>
      </c>
      <c r="J5791" s="12" t="inlineStr">
        <is>
          <t>ARMOR-X MC-HL 600 V control, Cu #14 AWG (Class I Div 2)</t>
        </is>
      </c>
      <c r="K5791" s="12" t="inlineStr">
        <is>
          <t>CTAX|2/C|14</t>
        </is>
      </c>
      <c r="L5791" s="12" t="inlineStr">
        <is>
          <t>2/C</t>
        </is>
      </c>
      <c r="M5791" s="12" t="inlineStr">
        <is>
          <t>14</t>
        </is>
      </c>
      <c r="N5791" s="12" t="n">
        <v>2</v>
      </c>
      <c r="O5791" s="12" t="n">
        <v>1</v>
      </c>
      <c r="P5791" s="12" t="n"/>
      <c r="Q5791" s="12" t="n"/>
      <c r="R5791" s="12" t="n"/>
      <c r="S5791" s="12" t="inlineStr">
        <is>
          <t>Tray / conduit</t>
        </is>
      </c>
      <c r="T5791" s="15" t="n">
        <v>54</v>
      </c>
      <c r="U5791" s="15" t="n">
        <v>10</v>
      </c>
      <c r="V5791" s="15">
        <f>ROUNDUP((T5791+U5791+2*'Read Me'!$B$13)*(1+'Read Me'!$B$12),-1)</f>
        <v/>
      </c>
      <c r="W5791" s="15">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K-C-0062</t>
        </is>
      </c>
      <c r="B5792" s="12" t="inlineStr">
        <is>
          <t>K</t>
        </is>
      </c>
      <c r="C5792" s="12" t="inlineStr">
        <is>
          <t>Fuel supply (adjacent market)</t>
        </is>
      </c>
      <c r="D5792" s="12" t="inlineStr">
        <is>
          <t>Home run JB-H2 27: storage tub-SOL01 to the control / marshalling room</t>
        </is>
      </c>
      <c r="E5792" s="12" t="inlineStr"/>
      <c r="F5792" s="12" t="inlineStr">
        <is>
          <t>H2 20: 13.8 kV e-house</t>
        </is>
      </c>
      <c r="G5792" s="12" t="inlineStr">
        <is>
          <t>JB-H2 27: storage tub-SOL01</t>
        </is>
      </c>
      <c r="H5792" s="12" t="inlineStr">
        <is>
          <t>H2 27: storage tube bank (~40 ft tubes)</t>
        </is>
      </c>
      <c r="I5792" s="12" t="inlineStr">
        <is>
          <t>Control</t>
        </is>
      </c>
      <c r="J5792" s="12" t="inlineStr">
        <is>
          <t>ARMOR-X MC-HL 600 V control, Cu #14 AWG (Class I Div 2)</t>
        </is>
      </c>
      <c r="K5792" s="12" t="inlineStr">
        <is>
          <t>CTAX|25/C|14</t>
        </is>
      </c>
      <c r="L5792" s="12" t="inlineStr">
        <is>
          <t>25/C</t>
        </is>
      </c>
      <c r="M5792" s="12" t="inlineStr">
        <is>
          <t>14</t>
        </is>
      </c>
      <c r="N5792" s="12" t="n">
        <v>1</v>
      </c>
      <c r="O5792" s="12" t="n">
        <v>1</v>
      </c>
      <c r="P5792" s="12" t="n"/>
      <c r="Q5792" s="12" t="n"/>
      <c r="R5792" s="12" t="n"/>
      <c r="S5792" s="12" t="inlineStr">
        <is>
          <t>Duct bank</t>
        </is>
      </c>
      <c r="T5792" s="15" t="n">
        <v>50</v>
      </c>
      <c r="U5792" s="15" t="n">
        <v>97</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K-C-0063</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27: storage tube bank (~40 ft tubes)</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50</v>
      </c>
      <c r="U5793" s="15" t="n">
        <v>117</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K-C-0064</t>
        </is>
      </c>
      <c r="B5794" s="12" t="inlineStr">
        <is>
          <t>K</t>
        </is>
      </c>
      <c r="C5794" s="12" t="inlineStr">
        <is>
          <t>Fuel supply (adjacent market)</t>
        </is>
      </c>
      <c r="D5794" s="12" t="inlineStr">
        <is>
          <t>Solenoid to JB JB-H2 27: storage tub-SOL01: 2 x 2/C (field cables)</t>
        </is>
      </c>
      <c r="E5794" s="12" t="inlineStr"/>
      <c r="F5794" s="12" t="inlineStr">
        <is>
          <t>H2 27: storage tube bank (~40 ft tubes)</t>
        </is>
      </c>
      <c r="G5794" s="12" t="inlineStr">
        <is>
          <t>JB-H2 27: storage tub-SOL01</t>
        </is>
      </c>
      <c r="H5794" s="12" t="inlineStr">
        <is>
          <t>H2 27: storage tube bank (~40 ft tubes)</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54</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K-C-0065</t>
        </is>
      </c>
      <c r="B5795" s="12" t="inlineStr">
        <is>
          <t>K</t>
        </is>
      </c>
      <c r="C5795" s="12" t="inlineStr">
        <is>
          <t>Fuel supply (adjacent market)</t>
        </is>
      </c>
      <c r="D5795" s="12" t="inlineStr">
        <is>
          <t>Home run JB-H2 27: storage tub-SOL01 to the control / marshalling room</t>
        </is>
      </c>
      <c r="E5795" s="12" t="inlineStr"/>
      <c r="F5795" s="12" t="inlineStr">
        <is>
          <t>H2 20: 13.8 kV e-house</t>
        </is>
      </c>
      <c r="G5795" s="12" t="inlineStr">
        <is>
          <t>JB-H2 27: storage tub-SOL01</t>
        </is>
      </c>
      <c r="H5795" s="12" t="inlineStr">
        <is>
          <t>H2 27: storage tube bank (~40 ft tubes)</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50</v>
      </c>
      <c r="U5795" s="15" t="n">
        <v>117</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K-C-0066</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27: storage tube bank (~40 ft tubes)</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50</v>
      </c>
      <c r="U5796" s="15" t="n">
        <v>97</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K-C-0067</t>
        </is>
      </c>
      <c r="B5797" s="12" t="inlineStr">
        <is>
          <t>K</t>
        </is>
      </c>
      <c r="C5797" s="12" t="inlineStr">
        <is>
          <t>Fuel supply (adjacent market)</t>
        </is>
      </c>
      <c r="D5797" s="12" t="inlineStr">
        <is>
          <t>Solenoid to JB JB-H2 27: storage tub-SOL01: 2 x 2/C (field cables)</t>
        </is>
      </c>
      <c r="E5797" s="12" t="inlineStr"/>
      <c r="F5797" s="12" t="inlineStr">
        <is>
          <t>H2 27: storage tube bank (~40 ft tubes)</t>
        </is>
      </c>
      <c r="G5797" s="12" t="inlineStr">
        <is>
          <t>JB-H2 27: storage tub-SOL01</t>
        </is>
      </c>
      <c r="H5797" s="12" t="inlineStr">
        <is>
          <t>H2 27: storage tube bank (~40 ft tubes)</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54</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K-C-0068</t>
        </is>
      </c>
      <c r="B5798" s="12" t="inlineStr">
        <is>
          <t>K</t>
        </is>
      </c>
      <c r="C5798" s="12" t="inlineStr">
        <is>
          <t>Fuel supply (adjacent market)</t>
        </is>
      </c>
      <c r="D5798" s="12" t="inlineStr">
        <is>
          <t>Home run JB-H2 27: storage tub-SOL01 to the control / marshalling room</t>
        </is>
      </c>
      <c r="E5798" s="12" t="inlineStr"/>
      <c r="F5798" s="12" t="inlineStr">
        <is>
          <t>H2 20: 13.8 kV e-house</t>
        </is>
      </c>
      <c r="G5798" s="12" t="inlineStr">
        <is>
          <t>JB-H2 27: storage tub-SOL01</t>
        </is>
      </c>
      <c r="H5798" s="12" t="inlineStr">
        <is>
          <t>H2 27: storage tube bank (~40 ft tubes)</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50</v>
      </c>
      <c r="U5798" s="15" t="n">
        <v>97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K-C-0069</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27: storage tube bank (~40 ft tubes)</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50</v>
      </c>
      <c r="U5799" s="15" t="n">
        <v>117</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K-C-0070</t>
        </is>
      </c>
      <c r="B5800" s="12" t="inlineStr">
        <is>
          <t>K</t>
        </is>
      </c>
      <c r="C5800" s="12" t="inlineStr">
        <is>
          <t>Fuel supply (adjacent market)</t>
        </is>
      </c>
      <c r="D5800" s="12" t="inlineStr">
        <is>
          <t>Solenoid to JB JB-H2 27: storage tub-SOL01: 2 x 2/C (field cables)</t>
        </is>
      </c>
      <c r="E5800" s="12" t="inlineStr"/>
      <c r="F5800" s="12" t="inlineStr">
        <is>
          <t>H2 27: storage tube bank (~40 ft tubes)</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54</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K-C-0071</t>
        </is>
      </c>
      <c r="B5801" s="12" t="inlineStr">
        <is>
          <t>K</t>
        </is>
      </c>
      <c r="C5801" s="12" t="inlineStr">
        <is>
          <t>Fuel supply (adjacent market)</t>
        </is>
      </c>
      <c r="D5801" s="12" t="inlineStr">
        <is>
          <t>Home run JB-H2 27: storage tub-SOL01 to the control / marshalling room</t>
        </is>
      </c>
      <c r="E5801" s="12" t="inlineStr"/>
      <c r="F5801" s="12" t="inlineStr">
        <is>
          <t>H2 20: 13.8 kV e-house</t>
        </is>
      </c>
      <c r="G5801" s="12" t="inlineStr">
        <is>
          <t>JB-H2 27: storage tub-SOL01</t>
        </is>
      </c>
      <c r="H5801" s="12" t="inlineStr">
        <is>
          <t>H2 27: storage tube bank (~40 ft tubes)</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50</v>
      </c>
      <c r="U5801" s="15" t="n">
        <v>117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K-C-0072</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28: N2 purge supply</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53</v>
      </c>
      <c r="U5802" s="15" t="n">
        <v>36</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K-C-0073</t>
        </is>
      </c>
      <c r="B5803" s="12" t="inlineStr">
        <is>
          <t>K</t>
        </is>
      </c>
      <c r="C5803" s="12" t="inlineStr">
        <is>
          <t>Fuel supply (adjacent market)</t>
        </is>
      </c>
      <c r="D5803" s="12" t="inlineStr">
        <is>
          <t>Solenoid to JB JB-H2 28: N2 purge su-SOL01: 2 x 2/C (field cables)</t>
        </is>
      </c>
      <c r="E5803" s="12" t="inlineStr"/>
      <c r="F5803" s="12" t="inlineStr">
        <is>
          <t>H2 28: N2 purge supply</t>
        </is>
      </c>
      <c r="G5803" s="12" t="inlineStr">
        <is>
          <t>JB-H2 28: N2 purge su-SOL01</t>
        </is>
      </c>
      <c r="H5803" s="12" t="inlineStr">
        <is>
          <t>H2 28: N2 purge supply</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56</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K-C-0074</t>
        </is>
      </c>
      <c r="B5804" s="12" t="inlineStr">
        <is>
          <t>K</t>
        </is>
      </c>
      <c r="C5804" s="12" t="inlineStr">
        <is>
          <t>Fuel supply (adjacent market)</t>
        </is>
      </c>
      <c r="D5804" s="12" t="inlineStr">
        <is>
          <t>Home run JB-H2 28: N2 purge su-SOL01 to the control / marshalling room</t>
        </is>
      </c>
      <c r="E5804" s="12" t="inlineStr"/>
      <c r="F5804" s="12" t="inlineStr">
        <is>
          <t>H2 20: 13.8 kV e-house</t>
        </is>
      </c>
      <c r="G5804" s="12" t="inlineStr">
        <is>
          <t>JB-H2 28: N2 purge su-SOL01</t>
        </is>
      </c>
      <c r="H5804" s="12" t="inlineStr">
        <is>
          <t>H2 28: N2 purge supply</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53</v>
      </c>
      <c r="U5804" s="15" t="n">
        <v>36</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K-C-0075</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29: vent stack</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55</v>
      </c>
      <c r="U5805" s="15" t="n">
        <v>205</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K-C-0076</t>
        </is>
      </c>
      <c r="B5806" s="12" t="inlineStr">
        <is>
          <t>K</t>
        </is>
      </c>
      <c r="C5806" s="12" t="inlineStr">
        <is>
          <t>Fuel supply (adjacent market)</t>
        </is>
      </c>
      <c r="D5806" s="12" t="inlineStr">
        <is>
          <t>Solenoid to JB JB-H2 29: vent stack-SOL01: 2 x 2/C (field cables)</t>
        </is>
      </c>
      <c r="E5806" s="12" t="inlineStr"/>
      <c r="F5806" s="12" t="inlineStr">
        <is>
          <t>H2 29: vent stack</t>
        </is>
      </c>
      <c r="G5806" s="12" t="inlineStr">
        <is>
          <t>JB-H2 29: vent stack-SOL01</t>
        </is>
      </c>
      <c r="H5806" s="12" t="inlineStr">
        <is>
          <t>H2 29: vent stack</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45</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K-C-0077</t>
        </is>
      </c>
      <c r="B5807" s="12" t="inlineStr">
        <is>
          <t>K</t>
        </is>
      </c>
      <c r="C5807" s="12" t="inlineStr">
        <is>
          <t>Fuel supply (adjacent market)</t>
        </is>
      </c>
      <c r="D5807" s="12" t="inlineStr">
        <is>
          <t>Home run JB-H2 29: vent stack-SOL01 to the control / marshalling room</t>
        </is>
      </c>
      <c r="E5807" s="12" t="inlineStr"/>
      <c r="F5807" s="12" t="inlineStr">
        <is>
          <t>H2 20: 13.8 kV e-house</t>
        </is>
      </c>
      <c r="G5807" s="12" t="inlineStr">
        <is>
          <t>JB-H2 29: vent stack-SOL01</t>
        </is>
      </c>
      <c r="H5807" s="12" t="inlineStr">
        <is>
          <t>H2 29: vent stack</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55</v>
      </c>
      <c r="U5807" s="15" t="n">
        <v>205</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K-C-0078</t>
        </is>
      </c>
      <c r="B5808" s="12" t="inlineStr">
        <is>
          <t>K</t>
        </is>
      </c>
      <c r="C5808" s="12" t="inlineStr">
        <is>
          <t>Fuel supply (adjacent market)</t>
        </is>
      </c>
      <c r="D5808" s="12" t="inlineStr">
        <is>
          <t>Motor 1 of 1: control / local station</t>
        </is>
      </c>
      <c r="E5808" s="12" t="inlineStr"/>
      <c r="F5808" s="12" t="inlineStr">
        <is>
          <t>LNG 17: LNG e-house (13.8 kV / 480 V)</t>
        </is>
      </c>
      <c r="G5808" s="12" t="inlineStr"/>
      <c r="H5808" s="12" t="inlineStr">
        <is>
          <t>H2 30: H2 / gas blending station (plant gas yard)</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994</v>
      </c>
      <c r="U5808" s="15" t="n">
        <v>114</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K-C-0079</t>
        </is>
      </c>
      <c r="B5809" s="12" t="inlineStr">
        <is>
          <t>K</t>
        </is>
      </c>
      <c r="C5809" s="12" t="inlineStr">
        <is>
          <t>Fuel supply (adjacent market)</t>
        </is>
      </c>
      <c r="D5809" s="12" t="inlineStr">
        <is>
          <t>Solenoid to JB JB-H2 30: H2 / gas bl-SOL01: 2 x 2/C (field cables)</t>
        </is>
      </c>
      <c r="E5809" s="12" t="inlineStr"/>
      <c r="F5809" s="12" t="inlineStr">
        <is>
          <t>H2 30: H2 / gas blending station (plant gas yard)</t>
        </is>
      </c>
      <c r="G5809" s="12" t="inlineStr">
        <is>
          <t>JB-H2 30: H2 / gas bl-SOL01</t>
        </is>
      </c>
      <c r="H5809" s="12" t="inlineStr">
        <is>
          <t>H2 30: H2 / gas blending station (plant gas yard)</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129</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K-C-0080</t>
        </is>
      </c>
      <c r="B5810" s="12" t="inlineStr">
        <is>
          <t>K</t>
        </is>
      </c>
      <c r="C5810" s="12" t="inlineStr">
        <is>
          <t>Fuel supply (adjacent market)</t>
        </is>
      </c>
      <c r="D5810" s="12" t="inlineStr">
        <is>
          <t>Home run JB-H2 30: H2 / gas bl-SOL01 to the control / marshalling room</t>
        </is>
      </c>
      <c r="E5810" s="12" t="inlineStr"/>
      <c r="F5810" s="12" t="inlineStr">
        <is>
          <t>LNG 17: LNG e-house (13.8 kV / 480 V)</t>
        </is>
      </c>
      <c r="G5810" s="12" t="inlineStr">
        <is>
          <t>JB-H2 30: H2 / gas bl-SOL01</t>
        </is>
      </c>
      <c r="H5810" s="12" t="inlineStr">
        <is>
          <t>H2 30: H2 / gas blending station (plant gas yard)</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994</v>
      </c>
      <c r="U5810" s="15" t="n">
        <v>114</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K-C-0081</t>
        </is>
      </c>
      <c r="B5811" s="12" t="inlineStr">
        <is>
          <t>K</t>
        </is>
      </c>
      <c r="C5811" s="12" t="inlineStr">
        <is>
          <t>Fuel supply (adjacent market)</t>
        </is>
      </c>
      <c r="D5811" s="12" t="inlineStr">
        <is>
          <t>Motor 1 of 2: control / local station</t>
        </is>
      </c>
      <c r="E5811" s="12" t="inlineStr"/>
      <c r="F5811" s="12" t="inlineStr">
        <is>
          <t>H2 20: 13.8 kV e-house</t>
        </is>
      </c>
      <c r="G5811" s="12" t="inlineStr"/>
      <c r="H5811" s="12" t="inlineStr">
        <is>
          <t>H2 pipe track and cable trench, hall -&gt; dryer / compressors (N2, instr</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53</v>
      </c>
      <c r="U5811" s="15" t="n">
        <v>62</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K-C-0082</t>
        </is>
      </c>
      <c r="B5812" s="12" t="inlineStr">
        <is>
          <t>K</t>
        </is>
      </c>
      <c r="C5812" s="12" t="inlineStr">
        <is>
          <t>Fuel supply (adjacent market)</t>
        </is>
      </c>
      <c r="D5812" s="12" t="inlineStr">
        <is>
          <t>Motor 2 of 2: control / local station</t>
        </is>
      </c>
      <c r="E5812" s="12" t="inlineStr"/>
      <c r="F5812" s="12" t="inlineStr">
        <is>
          <t>H2 20: 13.8 kV e-house</t>
        </is>
      </c>
      <c r="G5812" s="12" t="inlineStr"/>
      <c r="H5812" s="12" t="inlineStr">
        <is>
          <t>H2 pipe track and cable trench, hall -&gt; dryer / compressors (N2, instr</t>
        </is>
      </c>
      <c r="I5812" s="12" t="inlineStr">
        <is>
          <t>Control</t>
        </is>
      </c>
      <c r="J5812" s="12" t="inlineStr">
        <is>
          <t>ARMOR-X MC-HL 600 V control, Cu #14 AWG (Class I Div 2)</t>
        </is>
      </c>
      <c r="K5812" s="12" t="inlineStr">
        <is>
          <t>CTAX|7/C|14</t>
        </is>
      </c>
      <c r="L5812" s="12" t="inlineStr">
        <is>
          <t>7/C</t>
        </is>
      </c>
      <c r="M5812" s="12" t="inlineStr">
        <is>
          <t>14</t>
        </is>
      </c>
      <c r="N5812" s="12" t="n">
        <v>1</v>
      </c>
      <c r="O5812" s="12" t="n">
        <v>1</v>
      </c>
      <c r="P5812" s="12" t="n"/>
      <c r="Q5812" s="12" t="n"/>
      <c r="R5812" s="12" t="n"/>
      <c r="S5812" s="12" t="inlineStr">
        <is>
          <t>Duct bank</t>
        </is>
      </c>
      <c r="T5812" s="15" t="n">
        <v>53</v>
      </c>
      <c r="U5812" s="15" t="n">
        <v>62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K-C-0083</t>
        </is>
      </c>
      <c r="B5813" s="12" t="inlineStr">
        <is>
          <t>K</t>
        </is>
      </c>
      <c r="C5813" s="12" t="inlineStr">
        <is>
          <t>Fuel supply (adjacent market)</t>
        </is>
      </c>
      <c r="D5813" s="12" t="inlineStr">
        <is>
          <t>Control</t>
        </is>
      </c>
      <c r="E5813" s="12" t="inlineStr"/>
      <c r="F5813" s="12" t="inlineStr">
        <is>
          <t>H2 20: 13.8 kV e-house</t>
        </is>
      </c>
      <c r="G5813" s="12" t="inlineStr">
        <is>
          <t>H2-ST</t>
        </is>
      </c>
      <c r="H5813" s="12" t="inlineStr">
        <is>
          <t>H2 storage tube banks x4</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50</v>
      </c>
      <c r="U5813" s="15" t="n">
        <v>92</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K-C-0084</t>
        </is>
      </c>
      <c r="B5814" s="12" t="inlineStr">
        <is>
          <t>K</t>
        </is>
      </c>
      <c r="C5814" s="12" t="inlineStr">
        <is>
          <t>Fuel supply (adjacent market)</t>
        </is>
      </c>
      <c r="D5814" s="12" t="inlineStr">
        <is>
          <t>Motor 1 of 1: control / local station</t>
        </is>
      </c>
      <c r="E5814" s="12" t="inlineStr"/>
      <c r="F5814" s="12" t="inlineStr">
        <is>
          <t>LNG 17: LNG e-house (13.8 kV / 480 V)</t>
        </is>
      </c>
      <c r="G5814" s="12" t="inlineStr"/>
      <c r="H5814" s="12" t="inlineStr">
        <is>
          <t>LNG 10: truck unloading bay 1</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237</v>
      </c>
      <c r="U5814" s="15" t="n">
        <v>61</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K-C-0085</t>
        </is>
      </c>
      <c r="B5815" s="12" t="inlineStr">
        <is>
          <t>K</t>
        </is>
      </c>
      <c r="C5815" s="12" t="inlineStr">
        <is>
          <t>Fuel supply (adjacent market)</t>
        </is>
      </c>
      <c r="D5815" s="12" t="inlineStr">
        <is>
          <t>Solenoid to JB JB-LNG 10: truck unlo-SOL01: 2 x 2/C (field cables)</t>
        </is>
      </c>
      <c r="E5815" s="12" t="inlineStr"/>
      <c r="F5815" s="12" t="inlineStr">
        <is>
          <t>LNG 10: truck unloading bay 1</t>
        </is>
      </c>
      <c r="G5815" s="12" t="inlineStr">
        <is>
          <t>JB-LNG 10: truck unlo-SOL01</t>
        </is>
      </c>
      <c r="H5815" s="12" t="inlineStr">
        <is>
          <t>LNG 10: truck unloading bay 1</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80</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K-C-0086</t>
        </is>
      </c>
      <c r="B5816" s="12" t="inlineStr">
        <is>
          <t>K</t>
        </is>
      </c>
      <c r="C5816" s="12" t="inlineStr">
        <is>
          <t>Fuel supply (adjacent market)</t>
        </is>
      </c>
      <c r="D5816" s="12" t="inlineStr">
        <is>
          <t>Home run JB-LNG 10: truck unlo-SOL01 to the control / marshalling room</t>
        </is>
      </c>
      <c r="E5816" s="12" t="inlineStr"/>
      <c r="F5816" s="12" t="inlineStr">
        <is>
          <t>LNG 17: LNG e-house (13.8 kV / 480 V)</t>
        </is>
      </c>
      <c r="G5816" s="12" t="inlineStr">
        <is>
          <t>JB-LNG 10: truck unlo-SOL01</t>
        </is>
      </c>
      <c r="H5816" s="12" t="inlineStr">
        <is>
          <t>LNG 10: truck unloading bay 1</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237</v>
      </c>
      <c r="U5816" s="15" t="n">
        <v>61</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K-C-0087</t>
        </is>
      </c>
      <c r="B5817" s="12" t="inlineStr">
        <is>
          <t>K</t>
        </is>
      </c>
      <c r="C5817" s="12" t="inlineStr">
        <is>
          <t>Fuel supply (adjacent market)</t>
        </is>
      </c>
      <c r="D5817" s="12" t="inlineStr">
        <is>
          <t>Motor 1 of 1: control / local station</t>
        </is>
      </c>
      <c r="E5817" s="12" t="inlineStr"/>
      <c r="F5817" s="12" t="inlineStr">
        <is>
          <t>LNG 17: LNG e-house (13.8 kV / 480 V)</t>
        </is>
      </c>
      <c r="G5817" s="12" t="inlineStr"/>
      <c r="H5817" s="12" t="inlineStr">
        <is>
          <t>LNG 10: truck unloading bay 2</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147</v>
      </c>
      <c r="U5817" s="15" t="n">
        <v>66</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K-C-0088</t>
        </is>
      </c>
      <c r="B5818" s="12" t="inlineStr">
        <is>
          <t>K</t>
        </is>
      </c>
      <c r="C5818" s="12" t="inlineStr">
        <is>
          <t>Fuel supply (adjacent market)</t>
        </is>
      </c>
      <c r="D5818" s="12" t="inlineStr">
        <is>
          <t>Solenoid to JB JB-LNG 10: truck unlo-SOL01: 2 x 2/C (field cables)</t>
        </is>
      </c>
      <c r="E5818" s="12" t="inlineStr"/>
      <c r="F5818" s="12" t="inlineStr">
        <is>
          <t>LNG 10: truck unloading bay 2</t>
        </is>
      </c>
      <c r="G5818" s="12" t="inlineStr">
        <is>
          <t>JB-LNG 10: truck unlo-SOL01</t>
        </is>
      </c>
      <c r="H5818" s="12" t="inlineStr">
        <is>
          <t>LNG 10: truck unloading bay 2</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80</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K-C-0089</t>
        </is>
      </c>
      <c r="B5819" s="12" t="inlineStr">
        <is>
          <t>K</t>
        </is>
      </c>
      <c r="C5819" s="12" t="inlineStr">
        <is>
          <t>Fuel supply (adjacent market)</t>
        </is>
      </c>
      <c r="D5819" s="12" t="inlineStr">
        <is>
          <t>Home run JB-LNG 10: truck unlo-SOL01 to the control / marshalling room</t>
        </is>
      </c>
      <c r="E5819" s="12" t="inlineStr"/>
      <c r="F5819" s="12" t="inlineStr">
        <is>
          <t>LNG 17: LNG e-house (13.8 kV / 480 V)</t>
        </is>
      </c>
      <c r="G5819" s="12" t="inlineStr">
        <is>
          <t>JB-LNG 10: truck unlo-SOL01</t>
        </is>
      </c>
      <c r="H5819" s="12" t="inlineStr">
        <is>
          <t>LNG 10: truck unloading bay 2</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147</v>
      </c>
      <c r="U5819" s="15" t="n">
        <v>66</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K-C-0090</t>
        </is>
      </c>
      <c r="B5820" s="12" t="inlineStr">
        <is>
          <t>K</t>
        </is>
      </c>
      <c r="C5820" s="12" t="inlineStr">
        <is>
          <t>Fuel supply (adjacent market)</t>
        </is>
      </c>
      <c r="D5820" s="12" t="inlineStr">
        <is>
          <t>Motor 1 of 1: control / local station</t>
        </is>
      </c>
      <c r="E5820" s="12" t="inlineStr"/>
      <c r="F5820" s="12" t="inlineStr">
        <is>
          <t>LNG 17: LNG e-house (13.8 kV / 480 V)</t>
        </is>
      </c>
      <c r="G5820" s="12" t="inlineStr"/>
      <c r="H5820" s="12" t="inlineStr">
        <is>
          <t>LNG 10: unloading skid</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237</v>
      </c>
      <c r="U5820" s="15" t="n">
        <v>32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K-C-0091</t>
        </is>
      </c>
      <c r="B5821" s="12" t="inlineStr">
        <is>
          <t>K</t>
        </is>
      </c>
      <c r="C5821" s="12" t="inlineStr">
        <is>
          <t>Fuel supply (adjacent market)</t>
        </is>
      </c>
      <c r="D5821" s="12" t="inlineStr">
        <is>
          <t>Solenoid to JB JB-LNG 10: unloading -SOL01: 2 x 2/C (field cables)</t>
        </is>
      </c>
      <c r="E5821" s="12" t="inlineStr"/>
      <c r="F5821" s="12" t="inlineStr">
        <is>
          <t>LNG 10: unloading skid</t>
        </is>
      </c>
      <c r="G5821" s="12" t="inlineStr">
        <is>
          <t>JB-LNG 10: unloading -SOL01</t>
        </is>
      </c>
      <c r="H5821" s="12" t="inlineStr">
        <is>
          <t>LNG 10: unloading skid</t>
        </is>
      </c>
      <c r="I5821" s="12" t="inlineStr">
        <is>
          <t>Control</t>
        </is>
      </c>
      <c r="J5821" s="12" t="inlineStr">
        <is>
          <t>ARMOR-X MC-HL 600 V control, Cu #14 AWG (Class I Div 2)</t>
        </is>
      </c>
      <c r="K5821" s="12" t="inlineStr">
        <is>
          <t>CTAX|2/C|14</t>
        </is>
      </c>
      <c r="L5821" s="12" t="inlineStr">
        <is>
          <t>2/C</t>
        </is>
      </c>
      <c r="M5821" s="12" t="inlineStr">
        <is>
          <t>14</t>
        </is>
      </c>
      <c r="N5821" s="12" t="n">
        <v>2</v>
      </c>
      <c r="O5821" s="12" t="n">
        <v>1</v>
      </c>
      <c r="P5821" s="12" t="n"/>
      <c r="Q5821" s="12" t="n"/>
      <c r="R5821" s="12" t="n"/>
      <c r="S5821" s="12" t="inlineStr">
        <is>
          <t>Tray / conduit</t>
        </is>
      </c>
      <c r="T5821" s="15" t="n">
        <v>54</v>
      </c>
      <c r="U5821" s="15" t="n">
        <v>10</v>
      </c>
      <c r="V5821" s="15">
        <f>ROUNDUP((T5821+U5821+2*'Read Me'!$B$13)*(1+'Read Me'!$B$12),-1)</f>
        <v/>
      </c>
      <c r="W5821" s="15">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K-C-0092</t>
        </is>
      </c>
      <c r="B5822" s="12" t="inlineStr">
        <is>
          <t>K</t>
        </is>
      </c>
      <c r="C5822" s="12" t="inlineStr">
        <is>
          <t>Fuel supply (adjacent market)</t>
        </is>
      </c>
      <c r="D5822" s="12" t="inlineStr">
        <is>
          <t>Home run JB-LNG 10: unloading -SOL01 to the control / marshalling room</t>
        </is>
      </c>
      <c r="E5822" s="12" t="inlineStr"/>
      <c r="F5822" s="12" t="inlineStr">
        <is>
          <t>LNG 17: LNG e-house (13.8 kV / 480 V)</t>
        </is>
      </c>
      <c r="G5822" s="12" t="inlineStr">
        <is>
          <t>JB-LNG 10: unloading -SOL01</t>
        </is>
      </c>
      <c r="H5822" s="12" t="inlineStr">
        <is>
          <t>LNG 10: unloading skid</t>
        </is>
      </c>
      <c r="I5822" s="12" t="inlineStr">
        <is>
          <t>Control</t>
        </is>
      </c>
      <c r="J5822" s="12" t="inlineStr">
        <is>
          <t>ARMOR-X MC-HL 600 V control, Cu #14 AWG (Class I Div 2)</t>
        </is>
      </c>
      <c r="K5822" s="12" t="inlineStr">
        <is>
          <t>CTAX|25/C|14</t>
        </is>
      </c>
      <c r="L5822" s="12" t="inlineStr">
        <is>
          <t>25/C</t>
        </is>
      </c>
      <c r="M5822" s="12" t="inlineStr">
        <is>
          <t>14</t>
        </is>
      </c>
      <c r="N5822" s="12" t="n">
        <v>1</v>
      </c>
      <c r="O5822" s="12" t="n">
        <v>1</v>
      </c>
      <c r="P5822" s="12" t="n"/>
      <c r="Q5822" s="12" t="n"/>
      <c r="R5822" s="12" t="n"/>
      <c r="S5822" s="12" t="inlineStr">
        <is>
          <t>Duct bank</t>
        </is>
      </c>
      <c r="T5822" s="15" t="n">
        <v>237</v>
      </c>
      <c r="U5822" s="15" t="n">
        <v>32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K-C-0093</t>
        </is>
      </c>
      <c r="B5823" s="12" t="inlineStr">
        <is>
          <t>K</t>
        </is>
      </c>
      <c r="C5823" s="12" t="inlineStr">
        <is>
          <t>Fuel supply (adjacent market)</t>
        </is>
      </c>
      <c r="D5823" s="12" t="inlineStr">
        <is>
          <t>Motor 1 of 1: control / local station</t>
        </is>
      </c>
      <c r="E5823" s="12" t="inlineStr"/>
      <c r="F5823" s="12" t="inlineStr">
        <is>
          <t>LNG 17: LNG e-house (13.8 kV / 480 V)</t>
        </is>
      </c>
      <c r="G5823" s="12" t="inlineStr"/>
      <c r="H5823" s="12" t="inlineStr">
        <is>
          <t>LNG 12: spill impoundment (NFPA 59A, to verify)</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230</v>
      </c>
      <c r="U5823" s="15" t="n">
        <v>32</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K-C-0094</t>
        </is>
      </c>
      <c r="B5824" s="12" t="inlineStr">
        <is>
          <t>K</t>
        </is>
      </c>
      <c r="C5824" s="12" t="inlineStr">
        <is>
          <t>Fuel supply (adjacent market)</t>
        </is>
      </c>
      <c r="D5824" s="12" t="inlineStr">
        <is>
          <t>Solenoid to JB JB-LNG 12: spill impo-SOL01: 2 x 2/C (field cables)</t>
        </is>
      </c>
      <c r="E5824" s="12" t="inlineStr"/>
      <c r="F5824" s="12" t="inlineStr">
        <is>
          <t>LNG 12: spill impoundment (NFPA 59A, to verify)</t>
        </is>
      </c>
      <c r="G5824" s="12" t="inlineStr">
        <is>
          <t>JB-LNG 12: spill impo-SOL01</t>
        </is>
      </c>
      <c r="H5824" s="12" t="inlineStr">
        <is>
          <t>LNG 12: spill impoundment (NFPA 59A, to verify)</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170</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K-C-0095</t>
        </is>
      </c>
      <c r="B5825" s="12" t="inlineStr">
        <is>
          <t>K</t>
        </is>
      </c>
      <c r="C5825" s="12" t="inlineStr">
        <is>
          <t>Fuel supply (adjacent market)</t>
        </is>
      </c>
      <c r="D5825" s="12" t="inlineStr">
        <is>
          <t>Home run JB-LNG 12: spill impo-SOL01 to the control / marshalling room</t>
        </is>
      </c>
      <c r="E5825" s="12" t="inlineStr"/>
      <c r="F5825" s="12" t="inlineStr">
        <is>
          <t>LNG 17: LNG e-house (13.8 kV / 480 V)</t>
        </is>
      </c>
      <c r="G5825" s="12" t="inlineStr">
        <is>
          <t>JB-LNG 12: spill impo-SOL01</t>
        </is>
      </c>
      <c r="H5825" s="12" t="inlineStr">
        <is>
          <t>LNG 12: spill impoundment (NFPA 59A, to verify)</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230</v>
      </c>
      <c r="U5825" s="15" t="n">
        <v>32</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K-C-0096</t>
        </is>
      </c>
      <c r="B5826" s="12" t="inlineStr">
        <is>
          <t>K</t>
        </is>
      </c>
      <c r="C5826" s="12" t="inlineStr">
        <is>
          <t>Fuel supply (adjacent market)</t>
        </is>
      </c>
      <c r="D5826" s="12" t="inlineStr">
        <is>
          <t>Motor 1 of 1: control / local station</t>
        </is>
      </c>
      <c r="E5826" s="12" t="inlineStr"/>
      <c r="F5826" s="12" t="inlineStr">
        <is>
          <t>LNG 17: LNG e-house (13.8 kV / 480 V)</t>
        </is>
      </c>
      <c r="G5826" s="12" t="inlineStr"/>
      <c r="H5826" s="12" t="inlineStr">
        <is>
          <t>LNG 13: send-out pumps 2 x 100%</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110</v>
      </c>
      <c r="U5826" s="15" t="n">
        <v>32</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K-C-0097</t>
        </is>
      </c>
      <c r="B5827" s="12" t="inlineStr">
        <is>
          <t>K</t>
        </is>
      </c>
      <c r="C5827" s="12" t="inlineStr">
        <is>
          <t>Fuel supply (adjacent market)</t>
        </is>
      </c>
      <c r="D5827" s="12" t="inlineStr">
        <is>
          <t>Solenoid to JB JB-LNG 13: send-out p-SOL01: 2 x 2/C (field cables)</t>
        </is>
      </c>
      <c r="E5827" s="12" t="inlineStr"/>
      <c r="F5827" s="12" t="inlineStr">
        <is>
          <t>LNG 13: send-out pumps 2 x 100%</t>
        </is>
      </c>
      <c r="G5827" s="12" t="inlineStr">
        <is>
          <t>JB-LNG 13: send-out p-SOL01</t>
        </is>
      </c>
      <c r="H5827" s="12" t="inlineStr">
        <is>
          <t>LNG 13: send-out pumps 2 x 100%</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63</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K-C-0098</t>
        </is>
      </c>
      <c r="B5828" s="12" t="inlineStr">
        <is>
          <t>K</t>
        </is>
      </c>
      <c r="C5828" s="12" t="inlineStr">
        <is>
          <t>Fuel supply (adjacent market)</t>
        </is>
      </c>
      <c r="D5828" s="12" t="inlineStr">
        <is>
          <t>Home run JB-LNG 13: send-out p-SOL01 to the control / marshalling room</t>
        </is>
      </c>
      <c r="E5828" s="12" t="inlineStr"/>
      <c r="F5828" s="12" t="inlineStr">
        <is>
          <t>LNG 17: LNG e-house (13.8 kV / 480 V)</t>
        </is>
      </c>
      <c r="G5828" s="12" t="inlineStr">
        <is>
          <t>JB-LNG 13: send-out p-SOL01</t>
        </is>
      </c>
      <c r="H5828" s="12" t="inlineStr">
        <is>
          <t>LNG 13: send-out pumps 2 x 100%</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110</v>
      </c>
      <c r="U5828" s="15" t="n">
        <v>32</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K-C-0099</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LNG 14: vaporizers + glycol heater</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259</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K-C-0100</t>
        </is>
      </c>
      <c r="B5830" s="12" t="inlineStr">
        <is>
          <t>K</t>
        </is>
      </c>
      <c r="C5830" s="12" t="inlineStr">
        <is>
          <t>Fuel supply (adjacent market)</t>
        </is>
      </c>
      <c r="D5830" s="12" t="inlineStr">
        <is>
          <t>Solenoid to JB JB-LNG 14: vaporizers-SOL01: 2 x 2/C (field cables)</t>
        </is>
      </c>
      <c r="E5830" s="12" t="inlineStr"/>
      <c r="F5830" s="12" t="inlineStr">
        <is>
          <t>LNG 14: vaporizers + glycol heater</t>
        </is>
      </c>
      <c r="G5830" s="12" t="inlineStr">
        <is>
          <t>JB-LNG 14: vaporizers-SOL01</t>
        </is>
      </c>
      <c r="H5830" s="12" t="inlineStr">
        <is>
          <t>LNG 14: vaporizers + glycol heater</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122</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K-C-0101</t>
        </is>
      </c>
      <c r="B5831" s="12" t="inlineStr">
        <is>
          <t>K</t>
        </is>
      </c>
      <c r="C5831" s="12" t="inlineStr">
        <is>
          <t>Fuel supply (adjacent market)</t>
        </is>
      </c>
      <c r="D5831" s="12" t="inlineStr">
        <is>
          <t>Home run JB-LNG 14: vaporizers-SOL01 to the control / marshalling room</t>
        </is>
      </c>
      <c r="E5831" s="12" t="inlineStr"/>
      <c r="F5831" s="12" t="inlineStr">
        <is>
          <t>LNG 17: LNG e-house (13.8 kV / 480 V)</t>
        </is>
      </c>
      <c r="G5831" s="12" t="inlineStr">
        <is>
          <t>JB-LNG 14: vaporizers-SOL01</t>
        </is>
      </c>
      <c r="H5831" s="12" t="inlineStr">
        <is>
          <t>LNG 14: vaporizers + glycol heater</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259</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K-C-0102</t>
        </is>
      </c>
      <c r="B5832" s="12" t="inlineStr">
        <is>
          <t>K</t>
        </is>
      </c>
      <c r="C5832" s="12" t="inlineStr">
        <is>
          <t>Fuel supply (adjacent market)</t>
        </is>
      </c>
      <c r="D5832" s="12" t="inlineStr">
        <is>
          <t>Motor 1 of 1: control / local station</t>
        </is>
      </c>
      <c r="E5832" s="12" t="inlineStr"/>
      <c r="F5832" s="12" t="inlineStr">
        <is>
          <t>LNG 17: LNG e-house (13.8 kV / 480 V)</t>
        </is>
      </c>
      <c r="G5832" s="12" t="inlineStr"/>
      <c r="H5832" s="12" t="inlineStr">
        <is>
          <t>LNG 15: boil-off gas compressor</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25</v>
      </c>
      <c r="U5832" s="15" t="n">
        <v>54</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K-C-0103</t>
        </is>
      </c>
      <c r="B5833" s="12" t="inlineStr">
        <is>
          <t>K</t>
        </is>
      </c>
      <c r="C5833" s="12" t="inlineStr">
        <is>
          <t>Fuel supply (adjacent market)</t>
        </is>
      </c>
      <c r="D5833" s="12" t="inlineStr">
        <is>
          <t>Solenoid to JB JB-LNG 15: boil-off g-SOL01: 2 x 2/C (field cables)</t>
        </is>
      </c>
      <c r="E5833" s="12" t="inlineStr"/>
      <c r="F5833" s="12" t="inlineStr">
        <is>
          <t>LNG 15: boil-off gas compressor</t>
        </is>
      </c>
      <c r="G5833" s="12" t="inlineStr">
        <is>
          <t>JB-LNG 15: boil-off g-SOL01</t>
        </is>
      </c>
      <c r="H5833" s="12" t="inlineStr">
        <is>
          <t>LNG 15: boil-off gas compressor</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5" t="n">
        <v>67</v>
      </c>
      <c r="U5833" s="15" t="n">
        <v>10</v>
      </c>
      <c r="V5833" s="15">
        <f>ROUNDUP((T5833+U5833+2*'Read Me'!$B$13)*(1+'Read Me'!$B$12),-1)</f>
        <v/>
      </c>
      <c r="W5833" s="15">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K-C-0104</t>
        </is>
      </c>
      <c r="B5834" s="12" t="inlineStr">
        <is>
          <t>K</t>
        </is>
      </c>
      <c r="C5834" s="12" t="inlineStr">
        <is>
          <t>Fuel supply (adjacent market)</t>
        </is>
      </c>
      <c r="D5834" s="12" t="inlineStr">
        <is>
          <t>Home run JB-LNG 15: boil-off g-SOL01 to the control / marshalling room</t>
        </is>
      </c>
      <c r="E5834" s="12" t="inlineStr"/>
      <c r="F5834" s="12" t="inlineStr">
        <is>
          <t>LNG 17: LNG e-house (13.8 kV / 480 V)</t>
        </is>
      </c>
      <c r="G5834" s="12" t="inlineStr">
        <is>
          <t>JB-LNG 15: boil-off g-SOL01</t>
        </is>
      </c>
      <c r="H5834" s="12" t="inlineStr">
        <is>
          <t>LNG 15: boil-off gas compressor</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5" t="n">
        <v>25</v>
      </c>
      <c r="U5834" s="15" t="n">
        <v>54</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K-C-0105</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16: send-out metering + pressure control</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20</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K-C-0106</t>
        </is>
      </c>
      <c r="B5836" s="12" t="inlineStr">
        <is>
          <t>K</t>
        </is>
      </c>
      <c r="C5836" s="12" t="inlineStr">
        <is>
          <t>Fuel supply (adjacent market)</t>
        </is>
      </c>
      <c r="D5836" s="12" t="inlineStr">
        <is>
          <t>Solenoid to JB JB-LNG 16: send-out m-SOL01: 2 x 2/C (field cables)</t>
        </is>
      </c>
      <c r="E5836" s="12" t="inlineStr"/>
      <c r="F5836" s="12" t="inlineStr">
        <is>
          <t>LNG 16: send-out metering + pressure control</t>
        </is>
      </c>
      <c r="G5836" s="12" t="inlineStr">
        <is>
          <t>JB-LNG 16: send-out m-SOL01</t>
        </is>
      </c>
      <c r="H5836" s="12" t="inlineStr">
        <is>
          <t>LNG 16: send-out metering + pressure control</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74</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K-C-0107</t>
        </is>
      </c>
      <c r="B5837" s="12" t="inlineStr">
        <is>
          <t>K</t>
        </is>
      </c>
      <c r="C5837" s="12" t="inlineStr">
        <is>
          <t>Fuel supply (adjacent market)</t>
        </is>
      </c>
      <c r="D5837" s="12" t="inlineStr">
        <is>
          <t>Home run JB-LNG 16: send-out m-SOL01 to the control / marshalling room</t>
        </is>
      </c>
      <c r="E5837" s="12" t="inlineStr"/>
      <c r="F5837" s="12" t="inlineStr">
        <is>
          <t>LNG 17: LNG e-house (13.8 kV / 480 V)</t>
        </is>
      </c>
      <c r="G5837" s="12" t="inlineStr">
        <is>
          <t>JB-LNG 16: send-out m-SOL01</t>
        </is>
      </c>
      <c r="H5837" s="12" t="inlineStr">
        <is>
          <t>LNG 16: send-out metering + pressure control</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20</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K-C-0108</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17: LNG e-house (13.8 kV / 480 V)</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Tray</t>
        </is>
      </c>
      <c r="T5838" s="15" t="n">
        <v>0</v>
      </c>
      <c r="U5838" s="15" t="n">
        <v>32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K-C-0109</t>
        </is>
      </c>
      <c r="B5839" s="12" t="inlineStr">
        <is>
          <t>K</t>
        </is>
      </c>
      <c r="C5839" s="12" t="inlineStr">
        <is>
          <t>Fuel supply (adjacent market)</t>
        </is>
      </c>
      <c r="D5839" s="12" t="inlineStr">
        <is>
          <t>Solenoid to JB JB-LNG 17: LNG e-hous-SOL01: 2 x 2/C (field cables)</t>
        </is>
      </c>
      <c r="E5839" s="12" t="inlineStr"/>
      <c r="F5839" s="12" t="inlineStr">
        <is>
          <t>LNG 17: LNG e-house (13.8 kV / 480 V)</t>
        </is>
      </c>
      <c r="G5839" s="12" t="inlineStr">
        <is>
          <t>JB-LNG 17: LNG e-hous-SOL01</t>
        </is>
      </c>
      <c r="H5839" s="12" t="inlineStr">
        <is>
          <t>LNG 17: LNG e-house (13.8 kV / 480 V)</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58</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K-C-0110</t>
        </is>
      </c>
      <c r="B5840" s="12" t="inlineStr">
        <is>
          <t>K</t>
        </is>
      </c>
      <c r="C5840" s="12" t="inlineStr">
        <is>
          <t>Fuel supply (adjacent market)</t>
        </is>
      </c>
      <c r="D5840" s="12" t="inlineStr">
        <is>
          <t>Home run JB-LNG 17: LNG e-hous-SOL01 to the control / marshalling room</t>
        </is>
      </c>
      <c r="E5840" s="12" t="inlineStr"/>
      <c r="F5840" s="12" t="inlineStr">
        <is>
          <t>LNG 17: LNG e-house (13.8 kV / 480 V)</t>
        </is>
      </c>
      <c r="G5840" s="12" t="inlineStr">
        <is>
          <t>JB-LNG 17: LNG e-hous-SOL01</t>
        </is>
      </c>
      <c r="H5840" s="12" t="inlineStr">
        <is>
          <t>LNG 17: LNG e-house (13.8 kV / 480 V)</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Tray</t>
        </is>
      </c>
      <c r="T5840" s="15" t="n">
        <v>0</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K-C-0111</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18: vent stack</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25</v>
      </c>
      <c r="U5841" s="15" t="n">
        <v>117</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K-C-0112</t>
        </is>
      </c>
      <c r="B5842" s="12" t="inlineStr">
        <is>
          <t>K</t>
        </is>
      </c>
      <c r="C5842" s="12" t="inlineStr">
        <is>
          <t>Fuel supply (adjacent market)</t>
        </is>
      </c>
      <c r="D5842" s="12" t="inlineStr">
        <is>
          <t>Solenoid to JB JB-LNG 18: vent stack-SOL01: 2 x 2/C (field cables)</t>
        </is>
      </c>
      <c r="E5842" s="12" t="inlineStr"/>
      <c r="F5842" s="12" t="inlineStr">
        <is>
          <t>LNG 18: vent stack</t>
        </is>
      </c>
      <c r="G5842" s="12" t="inlineStr">
        <is>
          <t>JB-LNG 18: vent stack-SOL01</t>
        </is>
      </c>
      <c r="H5842" s="12" t="inlineStr">
        <is>
          <t>LNG 18: vent stack</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55</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K-C-0113</t>
        </is>
      </c>
      <c r="B5843" s="12" t="inlineStr">
        <is>
          <t>K</t>
        </is>
      </c>
      <c r="C5843" s="12" t="inlineStr">
        <is>
          <t>Fuel supply (adjacent market)</t>
        </is>
      </c>
      <c r="D5843" s="12" t="inlineStr">
        <is>
          <t>Home run JB-LNG 18: vent stack-SOL01 to the control / marshalling room</t>
        </is>
      </c>
      <c r="E5843" s="12" t="inlineStr"/>
      <c r="F5843" s="12" t="inlineStr">
        <is>
          <t>LNG 17: LNG e-house (13.8 kV / 480 V)</t>
        </is>
      </c>
      <c r="G5843" s="12" t="inlineStr">
        <is>
          <t>JB-LNG 18: vent stack-SOL01</t>
        </is>
      </c>
      <c r="H5843" s="12" t="inlineStr">
        <is>
          <t>LNG 18: vent stack</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25</v>
      </c>
      <c r="U5843" s="15" t="n">
        <v>117</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K-C-0114</t>
        </is>
      </c>
      <c r="B5844" s="12" t="inlineStr">
        <is>
          <t>K</t>
        </is>
      </c>
      <c r="C5844" s="12" t="inlineStr">
        <is>
          <t>Fuel supply (adjacent market)</t>
        </is>
      </c>
      <c r="D5844" s="12" t="inlineStr">
        <is>
          <t>Solenoid to JB JB-M&amp;R 2: insulating -SOL01: 4 x 2/C (field cables)</t>
        </is>
      </c>
      <c r="E5844" s="12" t="inlineStr"/>
      <c r="F5844" s="12" t="inlineStr">
        <is>
          <t>M&amp;R 2: insulating joint + ESD valve</t>
        </is>
      </c>
      <c r="G5844" s="12" t="inlineStr">
        <is>
          <t>JB-M&amp;R 2: insulating -SOL01</t>
        </is>
      </c>
      <c r="H5844" s="12" t="inlineStr">
        <is>
          <t>M&amp;R 2: insulating joint + ESD valve</t>
        </is>
      </c>
      <c r="I5844" s="12" t="inlineStr">
        <is>
          <t>Control</t>
        </is>
      </c>
      <c r="J5844" s="12" t="inlineStr">
        <is>
          <t>ARMOR-X MC-HL 600 V control, Cu #14 AWG (Class I Div 2)</t>
        </is>
      </c>
      <c r="K5844" s="12" t="inlineStr">
        <is>
          <t>CTAX|2/C|14</t>
        </is>
      </c>
      <c r="L5844" s="12" t="inlineStr">
        <is>
          <t>2/C</t>
        </is>
      </c>
      <c r="M5844" s="12" t="inlineStr">
        <is>
          <t>14</t>
        </is>
      </c>
      <c r="N5844" s="12" t="n">
        <v>4</v>
      </c>
      <c r="O5844" s="12" t="n">
        <v>1</v>
      </c>
      <c r="P5844" s="12" t="n"/>
      <c r="Q5844" s="12" t="n"/>
      <c r="R5844" s="12" t="n"/>
      <c r="S5844" s="12" t="inlineStr">
        <is>
          <t>Tray / conduit</t>
        </is>
      </c>
      <c r="T5844" s="15" t="n">
        <v>40</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K-C-0115</t>
        </is>
      </c>
      <c r="B5845" s="12" t="inlineStr">
        <is>
          <t>K</t>
        </is>
      </c>
      <c r="C5845" s="12" t="inlineStr">
        <is>
          <t>Fuel supply (adjacent market)</t>
        </is>
      </c>
      <c r="D5845" s="12" t="inlineStr">
        <is>
          <t>Home run JB-M&amp;R 2: insulating -SOL01 to the control / marshalling room</t>
        </is>
      </c>
      <c r="E5845" s="12" t="inlineStr"/>
      <c r="F5845" s="12" t="inlineStr">
        <is>
          <t>LNG 17: LNG e-house (13.8 kV / 480 V)</t>
        </is>
      </c>
      <c r="G5845" s="12" t="inlineStr">
        <is>
          <t>JB-M&amp;R 2: insulating -SOL01</t>
        </is>
      </c>
      <c r="H5845" s="12" t="inlineStr">
        <is>
          <t>M&amp;R 2: insulating joint + ESD valve</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Duct bank</t>
        </is>
      </c>
      <c r="T5845" s="15" t="n">
        <v>758</v>
      </c>
      <c r="U5845" s="15" t="n">
        <v>32</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K-C-0116</t>
        </is>
      </c>
      <c r="B5846" s="12" t="inlineStr">
        <is>
          <t>K</t>
        </is>
      </c>
      <c r="C5846" s="12" t="inlineStr">
        <is>
          <t>Fuel supply (adjacent market)</t>
        </is>
      </c>
      <c r="D5846" s="12" t="inlineStr">
        <is>
          <t>Solenoid to JB JB-M&amp;R 3: horizontal -SOL01: 4 x 2/C (field cables)</t>
        </is>
      </c>
      <c r="E5846" s="12" t="inlineStr"/>
      <c r="F5846" s="12" t="inlineStr">
        <is>
          <t>M&amp;R 3: horizontal filter-separator</t>
        </is>
      </c>
      <c r="G5846" s="12" t="inlineStr">
        <is>
          <t>JB-M&amp;R 3: horizontal -SOL01</t>
        </is>
      </c>
      <c r="H5846" s="12" t="inlineStr">
        <is>
          <t>M&amp;R 3: horizontal filter-separator</t>
        </is>
      </c>
      <c r="I5846" s="12" t="inlineStr">
        <is>
          <t>Control</t>
        </is>
      </c>
      <c r="J5846" s="12" t="inlineStr">
        <is>
          <t>ARMOR-X MC-HL 600 V control, Cu #14 AWG (Class I Div 2)</t>
        </is>
      </c>
      <c r="K5846" s="12" t="inlineStr">
        <is>
          <t>CTAX|2/C|14</t>
        </is>
      </c>
      <c r="L5846" s="12" t="inlineStr">
        <is>
          <t>2/C</t>
        </is>
      </c>
      <c r="M5846" s="12" t="inlineStr">
        <is>
          <t>14</t>
        </is>
      </c>
      <c r="N5846" s="12" t="n">
        <v>4</v>
      </c>
      <c r="O5846" s="12" t="n">
        <v>1</v>
      </c>
      <c r="P5846" s="12" t="n"/>
      <c r="Q5846" s="12" t="n"/>
      <c r="R5846" s="12" t="n"/>
      <c r="S5846" s="12" t="inlineStr">
        <is>
          <t>Tray / conduit</t>
        </is>
      </c>
      <c r="T5846" s="15" t="n">
        <v>53</v>
      </c>
      <c r="U5846" s="15" t="n">
        <v>10</v>
      </c>
      <c r="V5846" s="15">
        <f>ROUNDUP((T5846+U5846+2*'Read Me'!$B$13)*(1+'Read Me'!$B$12),-1)</f>
        <v/>
      </c>
      <c r="W5846" s="15">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K-C-0117</t>
        </is>
      </c>
      <c r="B5847" s="12" t="inlineStr">
        <is>
          <t>K</t>
        </is>
      </c>
      <c r="C5847" s="12" t="inlineStr">
        <is>
          <t>Fuel supply (adjacent market)</t>
        </is>
      </c>
      <c r="D5847" s="12" t="inlineStr">
        <is>
          <t>Home run JB-M&amp;R 3: horizontal -SOL01 to the control / marshalling room</t>
        </is>
      </c>
      <c r="E5847" s="12" t="inlineStr"/>
      <c r="F5847" s="12" t="inlineStr">
        <is>
          <t>LNG 17: LNG e-house (13.8 kV / 480 V)</t>
        </is>
      </c>
      <c r="G5847" s="12" t="inlineStr">
        <is>
          <t>JB-M&amp;R 3: horizontal -SOL01</t>
        </is>
      </c>
      <c r="H5847" s="12" t="inlineStr">
        <is>
          <t>M&amp;R 3: horizontal filter-separator</t>
        </is>
      </c>
      <c r="I5847" s="12" t="inlineStr">
        <is>
          <t>Control</t>
        </is>
      </c>
      <c r="J5847" s="12" t="inlineStr">
        <is>
          <t>ARMOR-X MC-HL 600 V control, Cu #14 AWG (Class I Div 2)</t>
        </is>
      </c>
      <c r="K5847" s="12" t="inlineStr">
        <is>
          <t>CTAX|25/C|14</t>
        </is>
      </c>
      <c r="L5847" s="12" t="inlineStr">
        <is>
          <t>25/C</t>
        </is>
      </c>
      <c r="M5847" s="12" t="inlineStr">
        <is>
          <t>14</t>
        </is>
      </c>
      <c r="N5847" s="12" t="n">
        <v>1</v>
      </c>
      <c r="O5847" s="12" t="n">
        <v>1</v>
      </c>
      <c r="P5847" s="12" t="n"/>
      <c r="Q5847" s="12" t="n"/>
      <c r="R5847" s="12" t="n"/>
      <c r="S5847" s="12" t="inlineStr">
        <is>
          <t>Duct bank</t>
        </is>
      </c>
      <c r="T5847" s="15" t="n">
        <v>797</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K-C-0118</t>
        </is>
      </c>
      <c r="B5848" s="12" t="inlineStr">
        <is>
          <t>K</t>
        </is>
      </c>
      <c r="C5848" s="12" t="inlineStr">
        <is>
          <t>Fuel supply (adjacent market)</t>
        </is>
      </c>
      <c r="D5848" s="12" t="inlineStr">
        <is>
          <t>Control</t>
        </is>
      </c>
      <c r="E5848" s="12" t="inlineStr"/>
      <c r="F5848" s="12" t="inlineStr">
        <is>
          <t>LNG 17: LNG e-house (13.8 kV / 480 V)</t>
        </is>
      </c>
      <c r="G5848" s="12" t="inlineStr"/>
      <c r="H5848" s="12" t="inlineStr">
        <is>
          <t>M&amp;R 4: line heater 1 (water bath)</t>
        </is>
      </c>
      <c r="I5848" s="12" t="inlineStr">
        <is>
          <t>Control</t>
        </is>
      </c>
      <c r="J5848" s="12" t="inlineStr">
        <is>
          <t>ARMOR-X MC-HL 600 V control, Cu #14 AWG (Class I Div 2)</t>
        </is>
      </c>
      <c r="K5848" s="12" t="inlineStr">
        <is>
          <t>CTAX|7/C|14</t>
        </is>
      </c>
      <c r="L5848" s="12" t="inlineStr">
        <is>
          <t>7/C</t>
        </is>
      </c>
      <c r="M5848" s="12" t="inlineStr">
        <is>
          <t>14</t>
        </is>
      </c>
      <c r="N5848" s="12" t="n">
        <v>1</v>
      </c>
      <c r="O5848" s="12" t="n">
        <v>1</v>
      </c>
      <c r="P5848" s="12" t="n"/>
      <c r="Q5848" s="12" t="n"/>
      <c r="R5848" s="12" t="n"/>
      <c r="S5848" s="12" t="inlineStr">
        <is>
          <t>Duct bank</t>
        </is>
      </c>
      <c r="T5848" s="15" t="n">
        <v>593</v>
      </c>
      <c r="U5848" s="15" t="n">
        <v>32</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K-C-0119</t>
        </is>
      </c>
      <c r="B5849" s="12" t="inlineStr">
        <is>
          <t>K</t>
        </is>
      </c>
      <c r="C5849" s="12" t="inlineStr">
        <is>
          <t>Fuel supply (adjacent market)</t>
        </is>
      </c>
      <c r="D5849" s="12" t="inlineStr">
        <is>
          <t>Control</t>
        </is>
      </c>
      <c r="E5849" s="12" t="inlineStr"/>
      <c r="F5849" s="12" t="inlineStr">
        <is>
          <t>LNG 17: LNG e-house (13.8 kV / 480 V)</t>
        </is>
      </c>
      <c r="G5849" s="12" t="inlineStr"/>
      <c r="H5849" s="12" t="inlineStr">
        <is>
          <t>M&amp;R 4: line heater 2 (water bath)</t>
        </is>
      </c>
      <c r="I5849" s="12" t="inlineStr">
        <is>
          <t>Control</t>
        </is>
      </c>
      <c r="J5849" s="12" t="inlineStr">
        <is>
          <t>ARMOR-X MC-HL 600 V control, Cu #14 AWG (Class I Div 2)</t>
        </is>
      </c>
      <c r="K5849" s="12" t="inlineStr">
        <is>
          <t>CTAX|7/C|14</t>
        </is>
      </c>
      <c r="L5849" s="12" t="inlineStr">
        <is>
          <t>7/C</t>
        </is>
      </c>
      <c r="M5849" s="12" t="inlineStr">
        <is>
          <t>14</t>
        </is>
      </c>
      <c r="N5849" s="12" t="n">
        <v>1</v>
      </c>
      <c r="O5849" s="12" t="n">
        <v>1</v>
      </c>
      <c r="P5849" s="12" t="n"/>
      <c r="Q5849" s="12" t="n"/>
      <c r="R5849" s="12" t="n"/>
      <c r="S5849" s="12" t="inlineStr">
        <is>
          <t>Duct bank</t>
        </is>
      </c>
      <c r="T5849" s="15" t="n">
        <v>593</v>
      </c>
      <c r="U5849" s="15" t="n">
        <v>50</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K-C-0120</t>
        </is>
      </c>
      <c r="B5850" s="12" t="inlineStr">
        <is>
          <t>K</t>
        </is>
      </c>
      <c r="C5850" s="12" t="inlineStr">
        <is>
          <t>Fuel supply (adjacent market)</t>
        </is>
      </c>
      <c r="D5850" s="12" t="inlineStr">
        <is>
          <t>Control</t>
        </is>
      </c>
      <c r="E5850" s="12" t="inlineStr"/>
      <c r="F5850" s="12" t="inlineStr">
        <is>
          <t>LNG 17: LNG e-house (13.8 kV / 480 V)</t>
        </is>
      </c>
      <c r="G5850" s="12" t="inlineStr"/>
      <c r="H5850" s="12" t="inlineStr">
        <is>
          <t>M&amp;R 4: line heater 3 (water bath)</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593</v>
      </c>
      <c r="U5850" s="15" t="n">
        <v>68</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K-C-0121</t>
        </is>
      </c>
      <c r="B5851" s="12" t="inlineStr">
        <is>
          <t>K</t>
        </is>
      </c>
      <c r="C5851" s="12" t="inlineStr">
        <is>
          <t>Fuel supply (adjacent market)</t>
        </is>
      </c>
      <c r="D5851" s="12" t="inlineStr">
        <is>
          <t>Solenoid to JB JB-M&amp;R 6: regulation -SOL01: 6 x 2/C (field cables)</t>
        </is>
      </c>
      <c r="E5851" s="12" t="inlineStr"/>
      <c r="F5851" s="12" t="inlineStr">
        <is>
          <t>M&amp;R 6: regulation / flow control building</t>
        </is>
      </c>
      <c r="G5851" s="12" t="inlineStr">
        <is>
          <t>JB-M&amp;R 6: regulation -SOL01</t>
        </is>
      </c>
      <c r="H5851" s="12" t="inlineStr">
        <is>
          <t>M&amp;R 6: regulation / flow control building</t>
        </is>
      </c>
      <c r="I5851" s="12" t="inlineStr">
        <is>
          <t>Control</t>
        </is>
      </c>
      <c r="J5851" s="12" t="inlineStr">
        <is>
          <t>ARMOR-X MC-HL 600 V control, Cu #14 AWG (Class I Div 2)</t>
        </is>
      </c>
      <c r="K5851" s="12" t="inlineStr">
        <is>
          <t>CTAX|2/C|14</t>
        </is>
      </c>
      <c r="L5851" s="12" t="inlineStr">
        <is>
          <t>2/C</t>
        </is>
      </c>
      <c r="M5851" s="12" t="inlineStr">
        <is>
          <t>14</t>
        </is>
      </c>
      <c r="N5851" s="12" t="n">
        <v>6</v>
      </c>
      <c r="O5851" s="12" t="n">
        <v>1</v>
      </c>
      <c r="P5851" s="12" t="n"/>
      <c r="Q5851" s="12" t="n"/>
      <c r="R5851" s="12" t="n"/>
      <c r="S5851" s="12" t="inlineStr">
        <is>
          <t>Tray / conduit</t>
        </is>
      </c>
      <c r="T5851" s="15" t="n">
        <v>61</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K-C-0122</t>
        </is>
      </c>
      <c r="B5852" s="12" t="inlineStr">
        <is>
          <t>K</t>
        </is>
      </c>
      <c r="C5852" s="12" t="inlineStr">
        <is>
          <t>Fuel supply (adjacent market)</t>
        </is>
      </c>
      <c r="D5852" s="12" t="inlineStr">
        <is>
          <t>Home run JB-M&amp;R 6: regulation -SOL01 to the control / marshalling room</t>
        </is>
      </c>
      <c r="E5852" s="12" t="inlineStr"/>
      <c r="F5852" s="12" t="inlineStr">
        <is>
          <t>LNG 17: LNG e-house (13.8 kV / 480 V)</t>
        </is>
      </c>
      <c r="G5852" s="12" t="inlineStr">
        <is>
          <t>JB-M&amp;R 6: regulation -SOL01</t>
        </is>
      </c>
      <c r="H5852" s="12" t="inlineStr">
        <is>
          <t>M&amp;R 6: regulation / flow control building</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470</v>
      </c>
      <c r="U5852" s="15" t="n">
        <v>70</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K-C-0123</t>
        </is>
      </c>
      <c r="B5853" s="12" t="inlineStr">
        <is>
          <t>K</t>
        </is>
      </c>
      <c r="C5853" s="12" t="inlineStr">
        <is>
          <t>Fuel supply (adjacent market)</t>
        </is>
      </c>
      <c r="D5853" s="12" t="inlineStr">
        <is>
          <t>Control</t>
        </is>
      </c>
      <c r="E5853" s="12" t="inlineStr"/>
      <c r="F5853" s="12" t="inlineStr">
        <is>
          <t>LNG 17: LNG e-house (13.8 kV / 480 V)</t>
        </is>
      </c>
      <c r="G5853" s="12" t="inlineStr"/>
      <c r="H5853" s="12" t="inlineStr">
        <is>
          <t>M&amp;R 9: service panel + UPS, SCADA RTU, CP</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5" t="n">
        <v>466</v>
      </c>
      <c r="U5853" s="15" t="n">
        <v>32</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K-C-0124</t>
        </is>
      </c>
      <c r="B5854" s="12" t="inlineStr">
        <is>
          <t>K</t>
        </is>
      </c>
      <c r="C5854" s="12" t="inlineStr">
        <is>
          <t>Fuel supply (adjacent market)</t>
        </is>
      </c>
      <c r="D5854" s="12" t="inlineStr">
        <is>
          <t>Control</t>
        </is>
      </c>
      <c r="E5854" s="12" t="inlineStr"/>
      <c r="F5854" s="12" t="inlineStr">
        <is>
          <t>LNG 17: LNG e-house (13.8 kV / 480 V)</t>
        </is>
      </c>
      <c r="G5854" s="12" t="inlineStr"/>
      <c r="H5854" s="12" t="inlineStr">
        <is>
          <t>M&amp;R CP test station (as drawn)</t>
        </is>
      </c>
      <c r="I5854" s="12" t="inlineStr">
        <is>
          <t>Control</t>
        </is>
      </c>
      <c r="J5854" s="12" t="inlineStr">
        <is>
          <t>ARMOR-X MC-HL 600 V control, Cu #14 AWG (Class I Div 2)</t>
        </is>
      </c>
      <c r="K5854" s="12" t="inlineStr">
        <is>
          <t>CTAX|7/C|14</t>
        </is>
      </c>
      <c r="L5854" s="12" t="inlineStr">
        <is>
          <t>7/C</t>
        </is>
      </c>
      <c r="M5854" s="12" t="inlineStr">
        <is>
          <t>14</t>
        </is>
      </c>
      <c r="N5854" s="12" t="n">
        <v>1</v>
      </c>
      <c r="O5854" s="12" t="n">
        <v>1</v>
      </c>
      <c r="P5854" s="12" t="n"/>
      <c r="Q5854" s="12" t="n"/>
      <c r="R5854" s="12" t="n"/>
      <c r="S5854" s="12" t="inlineStr">
        <is>
          <t>Duct bank</t>
        </is>
      </c>
      <c r="T5854" s="15" t="n">
        <v>441</v>
      </c>
      <c r="U5854" s="15" t="n">
        <v>42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K-C-0125</t>
        </is>
      </c>
      <c r="B5855" s="12" t="inlineStr">
        <is>
          <t>K</t>
        </is>
      </c>
      <c r="C5855" s="12" t="inlineStr">
        <is>
          <t>Fuel supply (adjacent market)</t>
        </is>
      </c>
      <c r="D5855" s="12" t="inlineStr">
        <is>
          <t>Control</t>
        </is>
      </c>
      <c r="E5855" s="12" t="inlineStr"/>
      <c r="F5855" s="12" t="inlineStr">
        <is>
          <t>LNG 17: LNG e-house (13.8 kV / 480 V)</t>
        </is>
      </c>
      <c r="G5855" s="12" t="inlineStr"/>
      <c r="H5855" s="12" t="inlineStr">
        <is>
          <t>M&amp;R SCADA antenna mast base (as drawn)</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433</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K-C-0126</t>
        </is>
      </c>
      <c r="B5856" s="12" t="inlineStr">
        <is>
          <t>K</t>
        </is>
      </c>
      <c r="C5856" s="12" t="inlineStr">
        <is>
          <t>Fuel supply (adjacent market)</t>
        </is>
      </c>
      <c r="D5856" s="12" t="inlineStr">
        <is>
          <t>Control</t>
        </is>
      </c>
      <c r="E5856" s="12" t="inlineStr"/>
      <c r="F5856" s="12" t="inlineStr">
        <is>
          <t>H2 20: 13.8 kV e-house</t>
        </is>
      </c>
      <c r="G5856" s="12" t="inlineStr"/>
      <c r="H5856" s="12" t="inlineStr">
        <is>
          <t>PEM electrolyzer 1 (HyLYZER-1000)</t>
        </is>
      </c>
      <c r="I5856" s="12" t="inlineStr">
        <is>
          <t>Control</t>
        </is>
      </c>
      <c r="J5856" s="12" t="inlineStr">
        <is>
          <t>ARMOR-X MC-HL 600 V control, Cu #14 AWG (Class I Div 2)</t>
        </is>
      </c>
      <c r="K5856" s="12" t="inlineStr">
        <is>
          <t>CTAX|7/C|14</t>
        </is>
      </c>
      <c r="L5856" s="12" t="inlineStr">
        <is>
          <t>7/C</t>
        </is>
      </c>
      <c r="M5856" s="12" t="inlineStr">
        <is>
          <t>14</t>
        </is>
      </c>
      <c r="N5856" s="12" t="n">
        <v>1</v>
      </c>
      <c r="O5856" s="12" t="n">
        <v>1</v>
      </c>
      <c r="P5856" s="12" t="n"/>
      <c r="Q5856" s="12" t="n"/>
      <c r="R5856" s="12" t="n"/>
      <c r="S5856" s="12" t="inlineStr">
        <is>
          <t>Duct bank</t>
        </is>
      </c>
      <c r="T5856" s="15" t="n">
        <v>358</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K-C-0127</t>
        </is>
      </c>
      <c r="B5857" s="12" t="inlineStr">
        <is>
          <t>K</t>
        </is>
      </c>
      <c r="C5857" s="12" t="inlineStr">
        <is>
          <t>Fuel supply (adjacent market)</t>
        </is>
      </c>
      <c r="D5857" s="12" t="inlineStr">
        <is>
          <t>Control</t>
        </is>
      </c>
      <c r="E5857" s="12" t="inlineStr"/>
      <c r="F5857" s="12" t="inlineStr">
        <is>
          <t>H2 20: 13.8 kV e-house</t>
        </is>
      </c>
      <c r="G5857" s="12" t="inlineStr"/>
      <c r="H5857" s="12" t="inlineStr">
        <is>
          <t>PEM electrolyzer 2 (HyLYZER-1000)</t>
        </is>
      </c>
      <c r="I5857" s="12" t="inlineStr">
        <is>
          <t>Control</t>
        </is>
      </c>
      <c r="J5857" s="12" t="inlineStr">
        <is>
          <t>ARMOR-X MC-HL 600 V control, Cu #14 AWG (Class I Div 2)</t>
        </is>
      </c>
      <c r="K5857" s="12" t="inlineStr">
        <is>
          <t>CTAX|7/C|14</t>
        </is>
      </c>
      <c r="L5857" s="12" t="inlineStr">
        <is>
          <t>7/C</t>
        </is>
      </c>
      <c r="M5857" s="12" t="inlineStr">
        <is>
          <t>14</t>
        </is>
      </c>
      <c r="N5857" s="12" t="n">
        <v>1</v>
      </c>
      <c r="O5857" s="12" t="n">
        <v>1</v>
      </c>
      <c r="P5857" s="12" t="n"/>
      <c r="Q5857" s="12" t="n"/>
      <c r="R5857" s="12" t="n"/>
      <c r="S5857" s="12" t="inlineStr">
        <is>
          <t>Duct bank</t>
        </is>
      </c>
      <c r="T5857" s="15" t="n">
        <v>358</v>
      </c>
      <c r="U5857" s="15" t="n">
        <v>48</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K-C-0128</t>
        </is>
      </c>
      <c r="B5858" s="12" t="inlineStr">
        <is>
          <t>K</t>
        </is>
      </c>
      <c r="C5858" s="12" t="inlineStr">
        <is>
          <t>Fuel supply (adjacent market)</t>
        </is>
      </c>
      <c r="D5858" s="12" t="inlineStr">
        <is>
          <t>Control</t>
        </is>
      </c>
      <c r="E5858" s="12" t="inlineStr"/>
      <c r="F5858" s="12" t="inlineStr">
        <is>
          <t>H2 20: 13.8 kV e-house</t>
        </is>
      </c>
      <c r="G5858" s="12" t="inlineStr"/>
      <c r="H5858" s="12" t="inlineStr">
        <is>
          <t>PEM electrolyzer 3 (HyLYZER-1000)</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348</v>
      </c>
      <c r="U5858" s="15" t="n">
        <v>49</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K-C-0129</t>
        </is>
      </c>
      <c r="B5859" s="12" t="inlineStr">
        <is>
          <t>K</t>
        </is>
      </c>
      <c r="C5859" s="12" t="inlineStr">
        <is>
          <t>Fuel supply (adjacent market)</t>
        </is>
      </c>
      <c r="D5859" s="12" t="inlineStr">
        <is>
          <t>Control</t>
        </is>
      </c>
      <c r="E5859" s="12" t="inlineStr"/>
      <c r="F5859" s="12" t="inlineStr">
        <is>
          <t>H2 20: 13.8 kV e-house</t>
        </is>
      </c>
      <c r="G5859" s="12" t="inlineStr"/>
      <c r="H5859" s="12" t="inlineStr">
        <is>
          <t>PEM electrolyzer 4 (HyLYZER-1000)</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328</v>
      </c>
      <c r="U5859" s="15" t="n">
        <v>49</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K-C-0130</t>
        </is>
      </c>
      <c r="B5860" s="12" t="inlineStr">
        <is>
          <t>K</t>
        </is>
      </c>
      <c r="C5860" s="12" t="inlineStr">
        <is>
          <t>Fuel supply (adjacent market)</t>
        </is>
      </c>
      <c r="D5860" s="12" t="inlineStr">
        <is>
          <t>Control</t>
        </is>
      </c>
      <c r="E5860" s="12" t="inlineStr"/>
      <c r="F5860" s="12" t="inlineStr">
        <is>
          <t>H2 20: 13.8 kV e-house</t>
        </is>
      </c>
      <c r="G5860" s="12" t="inlineStr"/>
      <c r="H5860" s="12" t="inlineStr">
        <is>
          <t>PEM electrolyzer 5 (HyLYZER-1000)</t>
        </is>
      </c>
      <c r="I5860" s="12" t="inlineStr">
        <is>
          <t>Control</t>
        </is>
      </c>
      <c r="J5860" s="12" t="inlineStr">
        <is>
          <t>ARMOR-X MC-HL 600 V control, Cu #14 AWG (Class I Div 2)</t>
        </is>
      </c>
      <c r="K5860" s="12" t="inlineStr">
        <is>
          <t>CTAX|7/C|14</t>
        </is>
      </c>
      <c r="L5860" s="12" t="inlineStr">
        <is>
          <t>7/C</t>
        </is>
      </c>
      <c r="M5860" s="12" t="inlineStr">
        <is>
          <t>14</t>
        </is>
      </c>
      <c r="N5860" s="12" t="n">
        <v>1</v>
      </c>
      <c r="O5860" s="12" t="n">
        <v>1</v>
      </c>
      <c r="P5860" s="12" t="n"/>
      <c r="Q5860" s="12" t="n"/>
      <c r="R5860" s="12" t="n"/>
      <c r="S5860" s="12" t="inlineStr">
        <is>
          <t>Duct bank</t>
        </is>
      </c>
      <c r="T5860" s="15" t="n">
        <v>328</v>
      </c>
      <c r="U5860" s="15" t="n">
        <v>32</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K-C-0131</t>
        </is>
      </c>
      <c r="B5861" s="12" t="inlineStr">
        <is>
          <t>K</t>
        </is>
      </c>
      <c r="C5861" s="12" t="inlineStr">
        <is>
          <t>Fuel supply (adjacent market)</t>
        </is>
      </c>
      <c r="D5861" s="12" t="inlineStr">
        <is>
          <t>Control</t>
        </is>
      </c>
      <c r="E5861" s="12" t="inlineStr"/>
      <c r="F5861" s="12" t="inlineStr">
        <is>
          <t>H2 20: 13.8 kV e-house</t>
        </is>
      </c>
      <c r="G5861" s="12" t="inlineStr"/>
      <c r="H5861" s="12" t="inlineStr">
        <is>
          <t>Rectifier 1 (7 MVA)</t>
        </is>
      </c>
      <c r="I5861" s="12" t="inlineStr">
        <is>
          <t>Control</t>
        </is>
      </c>
      <c r="J5861" s="12" t="inlineStr">
        <is>
          <t>Control cable 600 V Type TC-ER, Cu #14 AWG, PVC jacket</t>
        </is>
      </c>
      <c r="K5861" s="12" t="inlineStr">
        <is>
          <t>CT|7/C|14</t>
        </is>
      </c>
      <c r="L5861" s="12" t="inlineStr">
        <is>
          <t>7/C</t>
        </is>
      </c>
      <c r="M5861" s="12" t="inlineStr">
        <is>
          <t>14</t>
        </is>
      </c>
      <c r="N5861" s="12" t="n">
        <v>1</v>
      </c>
      <c r="O5861" s="12" t="n">
        <v>1</v>
      </c>
      <c r="P5861" s="12" t="n"/>
      <c r="Q5861" s="12" t="n"/>
      <c r="R5861" s="12" t="n"/>
      <c r="S5861" s="12" t="inlineStr">
        <is>
          <t>Duct bank</t>
        </is>
      </c>
      <c r="T5861" s="15" t="n">
        <v>346</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K-C-0132</t>
        </is>
      </c>
      <c r="B5862" s="12" t="inlineStr">
        <is>
          <t>K</t>
        </is>
      </c>
      <c r="C5862" s="12" t="inlineStr">
        <is>
          <t>Fuel supply (adjacent market)</t>
        </is>
      </c>
      <c r="D5862" s="12" t="inlineStr">
        <is>
          <t>Control</t>
        </is>
      </c>
      <c r="E5862" s="12" t="inlineStr"/>
      <c r="F5862" s="12" t="inlineStr">
        <is>
          <t>H2 20: 13.8 kV e-house</t>
        </is>
      </c>
      <c r="G5862" s="12" t="inlineStr"/>
      <c r="H5862" s="12" t="inlineStr">
        <is>
          <t>Rectifier 2 (7 MVA)</t>
        </is>
      </c>
      <c r="I5862" s="12" t="inlineStr">
        <is>
          <t>Control</t>
        </is>
      </c>
      <c r="J5862" s="12" t="inlineStr">
        <is>
          <t>Control cable 600 V Type TC-ER, Cu #14 AWG, PVC jacket</t>
        </is>
      </c>
      <c r="K5862" s="12" t="inlineStr">
        <is>
          <t>CT|7/C|14</t>
        </is>
      </c>
      <c r="L5862" s="12" t="inlineStr">
        <is>
          <t>7/C</t>
        </is>
      </c>
      <c r="M5862" s="12" t="inlineStr">
        <is>
          <t>14</t>
        </is>
      </c>
      <c r="N5862" s="12" t="n">
        <v>1</v>
      </c>
      <c r="O5862" s="12" t="n">
        <v>1</v>
      </c>
      <c r="P5862" s="12" t="n"/>
      <c r="Q5862" s="12" t="n"/>
      <c r="R5862" s="12" t="n"/>
      <c r="S5862" s="12" t="inlineStr">
        <is>
          <t>Duct bank</t>
        </is>
      </c>
      <c r="T5862" s="15" t="n">
        <v>361</v>
      </c>
      <c r="U5862" s="15" t="n">
        <v>32</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K-C-0133</t>
        </is>
      </c>
      <c r="B5863" s="12" t="inlineStr">
        <is>
          <t>K</t>
        </is>
      </c>
      <c r="C5863" s="12" t="inlineStr">
        <is>
          <t>Fuel supply (adjacent market)</t>
        </is>
      </c>
      <c r="D5863" s="12" t="inlineStr">
        <is>
          <t>Control</t>
        </is>
      </c>
      <c r="E5863" s="12" t="inlineStr"/>
      <c r="F5863" s="12" t="inlineStr">
        <is>
          <t>H2 20: 13.8 kV e-house</t>
        </is>
      </c>
      <c r="G5863" s="12" t="inlineStr"/>
      <c r="H5863" s="12" t="inlineStr">
        <is>
          <t>Rectifier 3 (7 MVA)</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Duct bank</t>
        </is>
      </c>
      <c r="T5863" s="15" t="n">
        <v>341</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K-C-0134</t>
        </is>
      </c>
      <c r="B5864" s="12" t="inlineStr">
        <is>
          <t>K</t>
        </is>
      </c>
      <c r="C5864" s="12" t="inlineStr">
        <is>
          <t>Fuel supply (adjacent market)</t>
        </is>
      </c>
      <c r="D5864" s="12" t="inlineStr">
        <is>
          <t>Control</t>
        </is>
      </c>
      <c r="E5864" s="12" t="inlineStr"/>
      <c r="F5864" s="12" t="inlineStr">
        <is>
          <t>H2 20: 13.8 kV e-house</t>
        </is>
      </c>
      <c r="G5864" s="12" t="inlineStr"/>
      <c r="H5864" s="12" t="inlineStr">
        <is>
          <t>Rectifier 4 (7 MVA)</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Duct bank</t>
        </is>
      </c>
      <c r="T5864" s="15" t="n">
        <v>321</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K-C-0135</t>
        </is>
      </c>
      <c r="B5865" s="12" t="inlineStr">
        <is>
          <t>K</t>
        </is>
      </c>
      <c r="C5865" s="12" t="inlineStr">
        <is>
          <t>Fuel supply (adjacent market)</t>
        </is>
      </c>
      <c r="D5865" s="12" t="inlineStr">
        <is>
          <t>Control</t>
        </is>
      </c>
      <c r="E5865" s="12" t="inlineStr"/>
      <c r="F5865" s="12" t="inlineStr">
        <is>
          <t>H2 20: 13.8 kV e-house</t>
        </is>
      </c>
      <c r="G5865" s="12" t="inlineStr"/>
      <c r="H5865" s="12" t="inlineStr">
        <is>
          <t>Rectifier 5 (7 MVA)</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Duct bank</t>
        </is>
      </c>
      <c r="T5865" s="15" t="n">
        <v>301</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K-F-0001</t>
        </is>
      </c>
      <c r="B5866" s="12" t="inlineStr">
        <is>
          <t>K</t>
        </is>
      </c>
      <c r="C5866" s="12" t="inlineStr">
        <is>
          <t>Fuel supply (adjacent market)</t>
        </is>
      </c>
      <c r="D5866" s="12" t="inlineStr">
        <is>
          <t>Plant network / DCS fibre</t>
        </is>
      </c>
      <c r="E5866" s="12" t="inlineStr">
        <is>
          <t>CR</t>
        </is>
      </c>
      <c r="F5866" s="12" t="inlineStr">
        <is>
          <t>Control / admin building (main control room)</t>
        </is>
      </c>
      <c r="G5866" s="12" t="inlineStr"/>
      <c r="H5866" s="12" t="inlineStr">
        <is>
          <t>H2 20: 13.8 kV e-house</t>
        </is>
      </c>
      <c r="I5866" s="12" t="inlineStr">
        <is>
          <t>Fibre / data</t>
        </is>
      </c>
      <c r="J5866" s="12" t="inlineStr">
        <is>
          <t>Fibre optic, single-mode, 12-fibre, armored, orange jacket</t>
        </is>
      </c>
      <c r="K5866" s="12" t="inlineStr">
        <is>
          <t>FO|12 SM|-</t>
        </is>
      </c>
      <c r="L5866" s="12" t="inlineStr">
        <is>
          <t>12 SM</t>
        </is>
      </c>
      <c r="M5866" s="12" t="inlineStr">
        <is>
          <t>-</t>
        </is>
      </c>
      <c r="N5866" s="12" t="n">
        <v>1</v>
      </c>
      <c r="O5866" s="12" t="n">
        <v>1</v>
      </c>
      <c r="P5866" s="12" t="n"/>
      <c r="Q5866" s="12" t="n"/>
      <c r="R5866" s="12" t="n"/>
      <c r="S5866" s="12" t="inlineStr">
        <is>
          <t>Trench</t>
        </is>
      </c>
      <c r="T5866" s="15" t="n">
        <v>4293</v>
      </c>
      <c r="U5866" s="15" t="n">
        <v>36</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K-F-0002</t>
        </is>
      </c>
      <c r="B5867" s="12" t="inlineStr">
        <is>
          <t>K</t>
        </is>
      </c>
      <c r="C5867" s="12" t="inlineStr">
        <is>
          <t>Fuel supply (adjacent market)</t>
        </is>
      </c>
      <c r="D5867" s="12" t="inlineStr">
        <is>
          <t>Plant network / DCS fibre</t>
        </is>
      </c>
      <c r="E5867" s="12" t="inlineStr">
        <is>
          <t>CR</t>
        </is>
      </c>
      <c r="F5867" s="12" t="inlineStr">
        <is>
          <t>Control / admin building (main control room)</t>
        </is>
      </c>
      <c r="G5867" s="12" t="inlineStr"/>
      <c r="H5867" s="12" t="inlineStr">
        <is>
          <t>LNG 17: LNG e-house (13.8 kV / 480 V)</t>
        </is>
      </c>
      <c r="I5867" s="12" t="inlineStr">
        <is>
          <t>Fibre / data</t>
        </is>
      </c>
      <c r="J5867" s="12" t="inlineStr">
        <is>
          <t>Fibre optic, single-mode, 12-fibre, armored, orange jacket</t>
        </is>
      </c>
      <c r="K5867" s="12" t="inlineStr">
        <is>
          <t>FO|12 SM|-</t>
        </is>
      </c>
      <c r="L5867" s="12" t="inlineStr">
        <is>
          <t>12 SM</t>
        </is>
      </c>
      <c r="M5867" s="12" t="inlineStr">
        <is>
          <t>-</t>
        </is>
      </c>
      <c r="N5867" s="12" t="n">
        <v>1</v>
      </c>
      <c r="O5867" s="12" t="n">
        <v>1</v>
      </c>
      <c r="P5867" s="12" t="n"/>
      <c r="Q5867" s="12" t="n"/>
      <c r="R5867" s="12" t="n"/>
      <c r="S5867" s="12" t="inlineStr">
        <is>
          <t>Duct bank</t>
        </is>
      </c>
      <c r="T5867" s="15" t="n">
        <v>3499</v>
      </c>
      <c r="U5867" s="15" t="n">
        <v>359</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K-F-0003</t>
        </is>
      </c>
      <c r="B5868" s="12" t="inlineStr">
        <is>
          <t>K</t>
        </is>
      </c>
      <c r="C5868" s="12" t="inlineStr">
        <is>
          <t>Fuel supply (adjacent market)</t>
        </is>
      </c>
      <c r="D5868" s="12" t="inlineStr">
        <is>
          <t>Plant network / DCS fibre</t>
        </is>
      </c>
      <c r="E5868" s="12" t="inlineStr">
        <is>
          <t>CR</t>
        </is>
      </c>
      <c r="F5868" s="12" t="inlineStr">
        <is>
          <t>Control / admin building (main control room)</t>
        </is>
      </c>
      <c r="G5868" s="12" t="inlineStr"/>
      <c r="H5868" s="12" t="inlineStr">
        <is>
          <t>M&amp;R 6: regulation / flow control building</t>
        </is>
      </c>
      <c r="I5868" s="12" t="inlineStr">
        <is>
          <t>Fibre / data</t>
        </is>
      </c>
      <c r="J5868" s="12" t="inlineStr">
        <is>
          <t>Fibre optic, single-mode, 12-fibre, armored, orange jacket</t>
        </is>
      </c>
      <c r="K5868" s="12" t="inlineStr">
        <is>
          <t>FO|12 SM|-</t>
        </is>
      </c>
      <c r="L5868" s="12" t="inlineStr">
        <is>
          <t>12 SM</t>
        </is>
      </c>
      <c r="M5868" s="12" t="inlineStr">
        <is>
          <t>-</t>
        </is>
      </c>
      <c r="N5868" s="12" t="n">
        <v>1</v>
      </c>
      <c r="O5868" s="12" t="n">
        <v>1</v>
      </c>
      <c r="P5868" s="12" t="n"/>
      <c r="Q5868" s="12" t="n"/>
      <c r="R5868" s="12" t="n"/>
      <c r="S5868" s="12" t="inlineStr">
        <is>
          <t>Duct bank</t>
        </is>
      </c>
      <c r="T5868" s="15" t="n">
        <v>3128</v>
      </c>
      <c r="U5868" s="15" t="n">
        <v>302</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K-F-0004</t>
        </is>
      </c>
      <c r="B5869" s="12" t="inlineStr">
        <is>
          <t>K</t>
        </is>
      </c>
      <c r="C5869" s="12" t="inlineStr">
        <is>
          <t>Fuel supply (adjacent market)</t>
        </is>
      </c>
      <c r="D5869" s="12" t="inlineStr">
        <is>
          <t>Plant network / DCS fibre</t>
        </is>
      </c>
      <c r="E5869" s="12" t="inlineStr">
        <is>
          <t>CR</t>
        </is>
      </c>
      <c r="F5869" s="12" t="inlineStr">
        <is>
          <t>Control / admin building (main control room)</t>
        </is>
      </c>
      <c r="G5869" s="12" t="inlineStr"/>
      <c r="H5869" s="12" t="inlineStr">
        <is>
          <t>M&amp;R 7: gas quality + measurement building</t>
        </is>
      </c>
      <c r="I5869" s="12" t="inlineStr">
        <is>
          <t>Fibre / data</t>
        </is>
      </c>
      <c r="J5869" s="12" t="inlineStr">
        <is>
          <t>Fibre optic, single-mode, 12-fibre, armored, orange jacket</t>
        </is>
      </c>
      <c r="K5869" s="12" t="inlineStr">
        <is>
          <t>FO|12 SM|-</t>
        </is>
      </c>
      <c r="L5869" s="12" t="inlineStr">
        <is>
          <t>12 SM</t>
        </is>
      </c>
      <c r="M5869" s="12" t="inlineStr">
        <is>
          <t>-</t>
        </is>
      </c>
      <c r="N5869" s="12" t="n">
        <v>1</v>
      </c>
      <c r="O5869" s="12" t="n">
        <v>1</v>
      </c>
      <c r="P5869" s="12" t="n"/>
      <c r="Q5869" s="12" t="n"/>
      <c r="R5869" s="12" t="n"/>
      <c r="S5869" s="12" t="inlineStr">
        <is>
          <t>Duct bank</t>
        </is>
      </c>
      <c r="T5869" s="15" t="n">
        <v>2978</v>
      </c>
      <c r="U5869" s="15" t="n">
        <v>284</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K-FA-0001</t>
        </is>
      </c>
      <c r="B5870" s="12" t="inlineStr">
        <is>
          <t>K</t>
        </is>
      </c>
      <c r="C5870" s="12" t="inlineStr">
        <is>
          <t>Fuel supply (adjacent market)</t>
        </is>
      </c>
      <c r="D5870" s="12" t="inlineStr">
        <is>
          <t>Fire alarm / F&amp;G loop (to the local FACP / F&amp;G node)</t>
        </is>
      </c>
      <c r="E5870" s="12" t="inlineStr"/>
      <c r="F5870" s="12" t="inlineStr">
        <is>
          <t>H2 20: 13.8 kV e-house</t>
        </is>
      </c>
      <c r="G5870" s="12" t="inlineStr"/>
      <c r="H5870" s="12" t="inlineStr">
        <is>
          <t>H2 20: 13.8 kV e-house</t>
        </is>
      </c>
      <c r="I5870" s="12" t="inlineStr">
        <is>
          <t>Fire alarm</t>
        </is>
      </c>
      <c r="J5870" s="12" t="inlineStr">
        <is>
          <t>Fire alarm FPLR 2/C #14 shielded, red jacket (NEC 760)</t>
        </is>
      </c>
      <c r="K5870" s="12" t="inlineStr">
        <is>
          <t>FA|2/C|14</t>
        </is>
      </c>
      <c r="L5870" s="12" t="inlineStr">
        <is>
          <t>2/C</t>
        </is>
      </c>
      <c r="M5870" s="12" t="inlineStr">
        <is>
          <t>14</t>
        </is>
      </c>
      <c r="N5870" s="12" t="n">
        <v>1</v>
      </c>
      <c r="O5870" s="12" t="n">
        <v>1</v>
      </c>
      <c r="P5870" s="12" t="n"/>
      <c r="Q5870" s="12" t="n"/>
      <c r="R5870" s="12" t="n"/>
      <c r="S5870" s="12" t="inlineStr">
        <is>
          <t>Tray</t>
        </is>
      </c>
      <c r="T5870" s="15" t="n">
        <v>0</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K-FA-0002</t>
        </is>
      </c>
      <c r="B5871" s="12" t="inlineStr">
        <is>
          <t>K</t>
        </is>
      </c>
      <c r="C5871" s="12" t="inlineStr">
        <is>
          <t>Fuel supply (adjacent market)</t>
        </is>
      </c>
      <c r="D5871" s="12" t="inlineStr">
        <is>
          <t>Fire alarm / F&amp;G loop (to the local FACP / F&amp;G node)</t>
        </is>
      </c>
      <c r="E5871" s="12" t="inlineStr"/>
      <c r="F5871" s="12" t="inlineStr">
        <is>
          <t>LNG 17: LNG e-house (13.8 kV / 480 V)</t>
        </is>
      </c>
      <c r="G5871" s="12" t="inlineStr"/>
      <c r="H5871" s="12" t="inlineStr">
        <is>
          <t>LNG 17: LNG e-house (13.8 kV / 480 V)</t>
        </is>
      </c>
      <c r="I5871" s="12" t="inlineStr">
        <is>
          <t>Fire alarm</t>
        </is>
      </c>
      <c r="J5871" s="12" t="inlineStr">
        <is>
          <t>Fire alarm FPLR 2/C #14 shielded, red jacket (NEC 760)</t>
        </is>
      </c>
      <c r="K5871" s="12" t="inlineStr">
        <is>
          <t>FA|2/C|14</t>
        </is>
      </c>
      <c r="L5871" s="12" t="inlineStr">
        <is>
          <t>2/C</t>
        </is>
      </c>
      <c r="M5871" s="12" t="inlineStr">
        <is>
          <t>14</t>
        </is>
      </c>
      <c r="N5871" s="12" t="n">
        <v>1</v>
      </c>
      <c r="O5871" s="12" t="n">
        <v>1</v>
      </c>
      <c r="P5871" s="12" t="n"/>
      <c r="Q5871" s="12" t="n"/>
      <c r="R5871" s="12" t="n"/>
      <c r="S5871" s="12" t="inlineStr">
        <is>
          <t>Tray</t>
        </is>
      </c>
      <c r="T5871" s="15" t="n">
        <v>0</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K-FA-0003</t>
        </is>
      </c>
      <c r="B5872" s="12" t="inlineStr">
        <is>
          <t>K</t>
        </is>
      </c>
      <c r="C5872" s="12" t="inlineStr">
        <is>
          <t>Fuel supply (adjacent market)</t>
        </is>
      </c>
      <c r="D5872" s="12" t="inlineStr">
        <is>
          <t>Fire alarm / F&amp;G loop (to the local FACP / F&amp;G node)</t>
        </is>
      </c>
      <c r="E5872" s="12" t="inlineStr"/>
      <c r="F5872" s="12" t="inlineStr">
        <is>
          <t>LNG 17: LNG e-house (13.8 kV / 480 V)</t>
        </is>
      </c>
      <c r="G5872" s="12" t="inlineStr"/>
      <c r="H5872" s="12" t="inlineStr">
        <is>
          <t>M&amp;R 6: regulation / flow control building</t>
        </is>
      </c>
      <c r="I5872" s="12" t="inlineStr">
        <is>
          <t>Fire alarm</t>
        </is>
      </c>
      <c r="J5872" s="12" t="inlineStr">
        <is>
          <t>Fire alarm FPLR 2/C #14 shielded, red jacket (NEC 760)</t>
        </is>
      </c>
      <c r="K5872" s="12" t="inlineStr">
        <is>
          <t>FA|2/C|14</t>
        </is>
      </c>
      <c r="L5872" s="12" t="inlineStr">
        <is>
          <t>2/C</t>
        </is>
      </c>
      <c r="M5872" s="12" t="inlineStr">
        <is>
          <t>14</t>
        </is>
      </c>
      <c r="N5872" s="12" t="n">
        <v>1</v>
      </c>
      <c r="O5872" s="12" t="n">
        <v>1</v>
      </c>
      <c r="P5872" s="12" t="n"/>
      <c r="Q5872" s="12" t="n"/>
      <c r="R5872" s="12" t="n"/>
      <c r="S5872" s="12" t="inlineStr">
        <is>
          <t>Duct bank</t>
        </is>
      </c>
      <c r="T5872" s="15" t="n">
        <v>470</v>
      </c>
      <c r="U5872" s="15" t="n">
        <v>70</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K-FA-0004</t>
        </is>
      </c>
      <c r="B5873" s="12" t="inlineStr">
        <is>
          <t>K</t>
        </is>
      </c>
      <c r="C5873" s="12" t="inlineStr">
        <is>
          <t>Fuel supply (adjacent market)</t>
        </is>
      </c>
      <c r="D5873" s="12" t="inlineStr">
        <is>
          <t>Fire alarm / F&amp;G loop (to the local FACP / F&amp;G node)</t>
        </is>
      </c>
      <c r="E5873" s="12" t="inlineStr"/>
      <c r="F5873" s="12" t="inlineStr">
        <is>
          <t>LNG 17: LNG e-house (13.8 kV / 480 V)</t>
        </is>
      </c>
      <c r="G5873" s="12" t="inlineStr"/>
      <c r="H5873" s="12" t="inlineStr">
        <is>
          <t>M&amp;R 9: service panel + UPS, SCADA RTU, CP</t>
        </is>
      </c>
      <c r="I5873" s="12" t="inlineStr">
        <is>
          <t>Fire alarm</t>
        </is>
      </c>
      <c r="J5873" s="12" t="inlineStr">
        <is>
          <t>Fire alarm FPLR 2/C #14 shielded, red jacket (NEC 760)</t>
        </is>
      </c>
      <c r="K5873" s="12" t="inlineStr">
        <is>
          <t>FA|2/C|14</t>
        </is>
      </c>
      <c r="L5873" s="12" t="inlineStr">
        <is>
          <t>2/C</t>
        </is>
      </c>
      <c r="M5873" s="12" t="inlineStr">
        <is>
          <t>14</t>
        </is>
      </c>
      <c r="N5873" s="12" t="n">
        <v>1</v>
      </c>
      <c r="O5873" s="12" t="n">
        <v>1</v>
      </c>
      <c r="P5873" s="12" t="n"/>
      <c r="Q5873" s="12" t="n"/>
      <c r="R5873" s="12" t="n"/>
      <c r="S5873" s="12" t="inlineStr">
        <is>
          <t>Duct bank</t>
        </is>
      </c>
      <c r="T5873" s="15" t="n">
        <v>466</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K-FA-0005</t>
        </is>
      </c>
      <c r="B5874" s="12" t="inlineStr">
        <is>
          <t>K</t>
        </is>
      </c>
      <c r="C5874" s="12" t="inlineStr">
        <is>
          <t>Fuel supply (adjacent market)</t>
        </is>
      </c>
      <c r="D5874" s="12" t="inlineStr">
        <is>
          <t>Fire alarm / F&amp;G loop (to the local FACP / F&amp;G node)</t>
        </is>
      </c>
      <c r="E5874" s="12" t="inlineStr"/>
      <c r="F5874" s="12" t="inlineStr">
        <is>
          <t>LNG 17: LNG e-house (13.8 kV / 480 V)</t>
        </is>
      </c>
      <c r="G5874" s="12" t="inlineStr"/>
      <c r="H5874" s="12" t="inlineStr">
        <is>
          <t>M&amp;R SCADA antenna mast base (as drawn)</t>
        </is>
      </c>
      <c r="I5874" s="12" t="inlineStr">
        <is>
          <t>Fire alarm</t>
        </is>
      </c>
      <c r="J5874" s="12" t="inlineStr">
        <is>
          <t>Fire alarm FPLR 2/C #14 shielded, red jacket (NEC 760)</t>
        </is>
      </c>
      <c r="K5874" s="12" t="inlineStr">
        <is>
          <t>FA|2/C|14</t>
        </is>
      </c>
      <c r="L5874" s="12" t="inlineStr">
        <is>
          <t>2/C</t>
        </is>
      </c>
      <c r="M5874" s="12" t="inlineStr">
        <is>
          <t>14</t>
        </is>
      </c>
      <c r="N5874" s="12" t="n">
        <v>1</v>
      </c>
      <c r="O5874" s="12" t="n">
        <v>1</v>
      </c>
      <c r="P5874" s="12" t="n"/>
      <c r="Q5874" s="12" t="n"/>
      <c r="R5874" s="12" t="n"/>
      <c r="S5874" s="12" t="inlineStr">
        <is>
          <t>Duct bank</t>
        </is>
      </c>
      <c r="T5874" s="15" t="n">
        <v>433</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K-I-0001</t>
        </is>
      </c>
      <c r="B5875" s="12" t="inlineStr">
        <is>
          <t>K</t>
        </is>
      </c>
      <c r="C5875" s="12" t="inlineStr">
        <is>
          <t>Fuel supply (adjacent market)</t>
        </is>
      </c>
      <c r="D5875" s="12" t="inlineStr">
        <is>
          <t>Analog instrument to JB JB-T-H2-AI01: 12 x 1 pr (field cables)</t>
        </is>
      </c>
      <c r="E5875" s="12" t="inlineStr">
        <is>
          <t>T-H2</t>
        </is>
      </c>
      <c r="F5875" s="12" t="inlineStr">
        <is>
          <t>H2 19: T-H2 230/13.8 kV (about 40 MVA)</t>
        </is>
      </c>
      <c r="G5875" s="12" t="inlineStr">
        <is>
          <t>JB-T-H2-AI01</t>
        </is>
      </c>
      <c r="H5875" s="12" t="inlineStr">
        <is>
          <t>H2 19: T-H2 230/13.8 kV (about 40 MVA)</t>
        </is>
      </c>
      <c r="I5875" s="12" t="inlineStr">
        <is>
          <t>Instrumentation</t>
        </is>
      </c>
      <c r="J5875" s="12" t="inlineStr">
        <is>
          <t>Instrumentation ITC / PLTC, IS, #18 shielded pairs, blue jacket</t>
        </is>
      </c>
      <c r="K5875" s="12" t="inlineStr">
        <is>
          <t>ITC|1 pr|16</t>
        </is>
      </c>
      <c r="L5875" s="12" t="inlineStr">
        <is>
          <t>1 pr</t>
        </is>
      </c>
      <c r="M5875" s="12" t="inlineStr">
        <is>
          <t>16</t>
        </is>
      </c>
      <c r="N5875" s="12" t="n">
        <v>12</v>
      </c>
      <c r="O5875" s="12" t="n">
        <v>1</v>
      </c>
      <c r="P5875" s="12" t="n"/>
      <c r="Q5875" s="12" t="n"/>
      <c r="R5875" s="12" t="n"/>
      <c r="S5875" s="12" t="inlineStr">
        <is>
          <t>Tray / conduit</t>
        </is>
      </c>
      <c r="T5875" s="15" t="n">
        <v>80</v>
      </c>
      <c r="U5875" s="15" t="n">
        <v>10</v>
      </c>
      <c r="V5875" s="15">
        <f>ROUNDUP((T5875+U5875+2*'Read Me'!$B$13)*(1+'Read Me'!$B$12),-1)</f>
        <v/>
      </c>
      <c r="W5875" s="15">
        <f>V5875*N5875*O5875</f>
        <v/>
      </c>
      <c r="X5875" s="12">
        <f>IF(LEFT(I5875,2)="MV",2*N5875*IF(L5875="1/C",O5875,1),0)</f>
        <v/>
      </c>
      <c r="Y5875" s="12">
        <f>IF(OR(LEFT(K5875,4)="LVAX",LEFT(K5875,6)="MV15AX",LEFT(K5875,4)="CTAX",LEFT(K5875,2)="W|"),2*N5875*O5875,0)</f>
        <v/>
      </c>
      <c r="Z5875" s="12" t="inlineStr">
        <is>
          <t>device-to-JB field wiring, one cable per device</t>
        </is>
      </c>
      <c r="AA5875" s="12">
        <f>N5875*O5875</f>
        <v/>
      </c>
    </row>
    <row r="5876">
      <c r="A5876" s="12" t="inlineStr">
        <is>
          <t>K-I-0002</t>
        </is>
      </c>
      <c r="B5876" s="12" t="inlineStr">
        <is>
          <t>K</t>
        </is>
      </c>
      <c r="C5876" s="12" t="inlineStr">
        <is>
          <t>Fuel supply (adjacent market)</t>
        </is>
      </c>
      <c r="D5876" s="12" t="inlineStr">
        <is>
          <t>Home run JB-T-H2-AI01 to the control / marshalling room</t>
        </is>
      </c>
      <c r="E5876" s="12" t="inlineStr"/>
      <c r="F5876" s="12" t="inlineStr">
        <is>
          <t>H2 20: 13.8 kV e-house</t>
        </is>
      </c>
      <c r="G5876" s="12" t="inlineStr">
        <is>
          <t>JB-T-H2-AI01</t>
        </is>
      </c>
      <c r="H5876" s="12" t="inlineStr">
        <is>
          <t>H2 19: T-H2 230/13.8 kV (about 40 MVA)</t>
        </is>
      </c>
      <c r="I5876" s="12" t="inlineStr">
        <is>
          <t>Instrumentation</t>
        </is>
      </c>
      <c r="J5876" s="12" t="inlineStr">
        <is>
          <t>Instrumentation ITC / PLTC, IS, #18 shielded pairs, blue jacket</t>
        </is>
      </c>
      <c r="K5876" s="12" t="inlineStr">
        <is>
          <t>ITC|24 pr|18</t>
        </is>
      </c>
      <c r="L5876" s="12" t="inlineStr">
        <is>
          <t>24 pr</t>
        </is>
      </c>
      <c r="M5876" s="12" t="inlineStr">
        <is>
          <t>18</t>
        </is>
      </c>
      <c r="N5876" s="12" t="n">
        <v>1</v>
      </c>
      <c r="O5876" s="12" t="n">
        <v>1</v>
      </c>
      <c r="P5876" s="12" t="n"/>
      <c r="Q5876" s="12" t="n"/>
      <c r="R5876" s="12" t="n"/>
      <c r="S5876" s="12" t="inlineStr">
        <is>
          <t>Duct bank</t>
        </is>
      </c>
      <c r="T5876" s="15" t="n">
        <v>35</v>
      </c>
      <c r="U5876" s="15" t="n">
        <v>32</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K-I-0003</t>
        </is>
      </c>
      <c r="B5877" s="12" t="inlineStr">
        <is>
          <t>K</t>
        </is>
      </c>
      <c r="C5877" s="12" t="inlineStr">
        <is>
          <t>Fuel supply (adjacent market)</t>
        </is>
      </c>
      <c r="D5877" s="12" t="inlineStr">
        <is>
          <t>Discrete device to JB JB-T-H2-DI01: 12 x 1 pr (field cables)</t>
        </is>
      </c>
      <c r="E5877" s="12" t="inlineStr">
        <is>
          <t>T-H2</t>
        </is>
      </c>
      <c r="F5877" s="12" t="inlineStr">
        <is>
          <t>H2 19: T-H2 230/13.8 kV (about 40 MVA)</t>
        </is>
      </c>
      <c r="G5877" s="12" t="inlineStr">
        <is>
          <t>JB-T-H2-DI01</t>
        </is>
      </c>
      <c r="H5877" s="12" t="inlineStr">
        <is>
          <t>H2 19: T-H2 230/13.8 kV (about 40 MVA)</t>
        </is>
      </c>
      <c r="I5877" s="12" t="inlineStr">
        <is>
          <t>Instrumentation</t>
        </is>
      </c>
      <c r="J5877" s="12" t="inlineStr">
        <is>
          <t>Instrumentation ITC / PLTC, IS, #18 shielded pairs, blue jacket</t>
        </is>
      </c>
      <c r="K5877" s="12" t="inlineStr">
        <is>
          <t>ITC|1 pr|16</t>
        </is>
      </c>
      <c r="L5877" s="12" t="inlineStr">
        <is>
          <t>1 pr</t>
        </is>
      </c>
      <c r="M5877" s="12" t="inlineStr">
        <is>
          <t>16</t>
        </is>
      </c>
      <c r="N5877" s="12" t="n">
        <v>12</v>
      </c>
      <c r="O5877" s="12" t="n">
        <v>1</v>
      </c>
      <c r="P5877" s="12" t="n"/>
      <c r="Q5877" s="12" t="n"/>
      <c r="R5877" s="12" t="n"/>
      <c r="S5877" s="12" t="inlineStr">
        <is>
          <t>Tray / conduit</t>
        </is>
      </c>
      <c r="T5877" s="15" t="n">
        <v>80</v>
      </c>
      <c r="U5877" s="15" t="n">
        <v>10</v>
      </c>
      <c r="V5877" s="15">
        <f>ROUNDUP((T5877+U5877+2*'Read Me'!$B$13)*(1+'Read Me'!$B$12),-1)</f>
        <v/>
      </c>
      <c r="W5877" s="15">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K-I-0004</t>
        </is>
      </c>
      <c r="B5878" s="12" t="inlineStr">
        <is>
          <t>K</t>
        </is>
      </c>
      <c r="C5878" s="12" t="inlineStr">
        <is>
          <t>Fuel supply (adjacent market)</t>
        </is>
      </c>
      <c r="D5878" s="12" t="inlineStr">
        <is>
          <t>Home run JB-T-H2-DI01 to the control / marshalling room</t>
        </is>
      </c>
      <c r="E5878" s="12" t="inlineStr"/>
      <c r="F5878" s="12" t="inlineStr">
        <is>
          <t>H2 20: 13.8 kV e-house</t>
        </is>
      </c>
      <c r="G5878" s="12" t="inlineStr">
        <is>
          <t>JB-T-H2-DI01</t>
        </is>
      </c>
      <c r="H5878" s="12" t="inlineStr">
        <is>
          <t>H2 19: T-H2 230/13.8 kV (about 40 MVA)</t>
        </is>
      </c>
      <c r="I5878" s="12" t="inlineStr">
        <is>
          <t>Instrumentation</t>
        </is>
      </c>
      <c r="J5878" s="12" t="inlineStr">
        <is>
          <t>Instrumentation ITC / PLTC, IS, #18 shielded pairs, blue jacket</t>
        </is>
      </c>
      <c r="K5878" s="12" t="inlineStr">
        <is>
          <t>ITC|24 pr|18</t>
        </is>
      </c>
      <c r="L5878" s="12" t="inlineStr">
        <is>
          <t>24 pr</t>
        </is>
      </c>
      <c r="M5878" s="12" t="inlineStr">
        <is>
          <t>18</t>
        </is>
      </c>
      <c r="N5878" s="12" t="n">
        <v>1</v>
      </c>
      <c r="O5878" s="12" t="n">
        <v>1</v>
      </c>
      <c r="P5878" s="12" t="n"/>
      <c r="Q5878" s="12" t="n"/>
      <c r="R5878" s="12" t="n"/>
      <c r="S5878" s="12" t="inlineStr">
        <is>
          <t>Duct bank</t>
        </is>
      </c>
      <c r="T5878" s="15" t="n">
        <v>35</v>
      </c>
      <c r="U5878" s="15" t="n">
        <v>32</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K-I-0005</t>
        </is>
      </c>
      <c r="B5879" s="12" t="inlineStr">
        <is>
          <t>K</t>
        </is>
      </c>
      <c r="C5879" s="12" t="inlineStr">
        <is>
          <t>Fuel supply (adjacent market)</t>
        </is>
      </c>
      <c r="D5879" s="12" t="inlineStr">
        <is>
          <t>Analog instrument to JB JB-H2 20: 13.8 kV e-h-AI01: 12 x 1 pr (field cables)</t>
        </is>
      </c>
      <c r="E5879" s="12" t="inlineStr"/>
      <c r="F5879" s="12" t="inlineStr">
        <is>
          <t>H2 20: 13.8 kV e-house</t>
        </is>
      </c>
      <c r="G5879" s="12" t="inlineStr">
        <is>
          <t>JB-H2 20: 13.8 kV e-h-AI01</t>
        </is>
      </c>
      <c r="H5879" s="12" t="inlineStr">
        <is>
          <t>H2 20: 13.8 kV e-house</t>
        </is>
      </c>
      <c r="I5879" s="12" t="inlineStr">
        <is>
          <t>Instrumentation</t>
        </is>
      </c>
      <c r="J5879" s="12" t="inlineStr">
        <is>
          <t>Instrumentation ITC / PLTC, IS, #18 shielded pairs, blue jacket</t>
        </is>
      </c>
      <c r="K5879" s="12" t="inlineStr">
        <is>
          <t>ITC|1 pr|16</t>
        </is>
      </c>
      <c r="L5879" s="12" t="inlineStr">
        <is>
          <t>1 pr</t>
        </is>
      </c>
      <c r="M5879" s="12" t="inlineStr">
        <is>
          <t>16</t>
        </is>
      </c>
      <c r="N5879" s="12" t="n">
        <v>12</v>
      </c>
      <c r="O5879" s="12" t="n">
        <v>1</v>
      </c>
      <c r="P5879" s="12" t="n"/>
      <c r="Q5879" s="12" t="n"/>
      <c r="R5879" s="12" t="n"/>
      <c r="S5879" s="12" t="inlineStr">
        <is>
          <t>Tray / conduit</t>
        </is>
      </c>
      <c r="T5879" s="15" t="n">
        <v>69</v>
      </c>
      <c r="U5879" s="15" t="n">
        <v>10</v>
      </c>
      <c r="V5879" s="15">
        <f>ROUNDUP((T5879+U5879+2*'Read Me'!$B$13)*(1+'Read Me'!$B$12),-1)</f>
        <v/>
      </c>
      <c r="W5879" s="15">
        <f>V5879*N5879*O5879</f>
        <v/>
      </c>
      <c r="X5879" s="12">
        <f>IF(LEFT(I5879,2)="MV",2*N5879*IF(L5879="1/C",O5879,1),0)</f>
        <v/>
      </c>
      <c r="Y5879" s="12">
        <f>IF(OR(LEFT(K5879,4)="LVAX",LEFT(K5879,6)="MV15AX",LEFT(K5879,4)="CTAX",LEFT(K5879,2)="W|"),2*N5879*O5879,0)</f>
        <v/>
      </c>
      <c r="Z5879" s="12" t="inlineStr">
        <is>
          <t>device-to-JB field wiring, one cable per device</t>
        </is>
      </c>
      <c r="AA5879" s="12">
        <f>N5879*O5879</f>
        <v/>
      </c>
    </row>
    <row r="5880">
      <c r="A5880" s="12" t="inlineStr">
        <is>
          <t>K-I-0006</t>
        </is>
      </c>
      <c r="B5880" s="12" t="inlineStr">
        <is>
          <t>K</t>
        </is>
      </c>
      <c r="C5880" s="12" t="inlineStr">
        <is>
          <t>Fuel supply (adjacent market)</t>
        </is>
      </c>
      <c r="D5880" s="12" t="inlineStr">
        <is>
          <t>Home run JB-H2 20: 13.8 kV e-h-AI01 to the control / marshalling room</t>
        </is>
      </c>
      <c r="E5880" s="12" t="inlineStr"/>
      <c r="F5880" s="12" t="inlineStr">
        <is>
          <t>H2 20: 13.8 kV e-house</t>
        </is>
      </c>
      <c r="G5880" s="12" t="inlineStr">
        <is>
          <t>JB-H2 20: 13.8 kV e-h-AI01</t>
        </is>
      </c>
      <c r="H5880" s="12" t="inlineStr">
        <is>
          <t>H2 20: 13.8 kV e-house</t>
        </is>
      </c>
      <c r="I5880" s="12" t="inlineStr">
        <is>
          <t>Instrumentation</t>
        </is>
      </c>
      <c r="J5880" s="12" t="inlineStr">
        <is>
          <t>Instrumentation ITC / PLTC, IS, #18 shielded pairs, blue jacket</t>
        </is>
      </c>
      <c r="K5880" s="12" t="inlineStr">
        <is>
          <t>ITC|24 pr|18</t>
        </is>
      </c>
      <c r="L5880" s="12" t="inlineStr">
        <is>
          <t>24 pr</t>
        </is>
      </c>
      <c r="M5880" s="12" t="inlineStr">
        <is>
          <t>18</t>
        </is>
      </c>
      <c r="N5880" s="12" t="n">
        <v>1</v>
      </c>
      <c r="O5880" s="12" t="n">
        <v>1</v>
      </c>
      <c r="P5880" s="12" t="n"/>
      <c r="Q5880" s="12" t="n"/>
      <c r="R5880" s="12" t="n"/>
      <c r="S5880" s="12" t="inlineStr">
        <is>
          <t>Tray</t>
        </is>
      </c>
      <c r="T5880" s="15" t="n">
        <v>0</v>
      </c>
      <c r="U5880" s="15" t="n">
        <v>32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K-I-0007</t>
        </is>
      </c>
      <c r="B5881" s="12" t="inlineStr">
        <is>
          <t>K</t>
        </is>
      </c>
      <c r="C5881" s="12" t="inlineStr">
        <is>
          <t>Fuel supply (adjacent market)</t>
        </is>
      </c>
      <c r="D5881" s="12" t="inlineStr">
        <is>
          <t>Discrete device to JB JB-H2 20: 13.8 kV e-h-DI01: 12 x 1 pr (field cables)</t>
        </is>
      </c>
      <c r="E5881" s="12" t="inlineStr"/>
      <c r="F5881" s="12" t="inlineStr">
        <is>
          <t>H2 20: 13.8 kV e-house</t>
        </is>
      </c>
      <c r="G5881" s="12" t="inlineStr">
        <is>
          <t>JB-H2 20: 13.8 kV e-h-DI01</t>
        </is>
      </c>
      <c r="H5881" s="12" t="inlineStr">
        <is>
          <t>H2 20: 13.8 kV e-house</t>
        </is>
      </c>
      <c r="I5881" s="12" t="inlineStr">
        <is>
          <t>Instrumentation</t>
        </is>
      </c>
      <c r="J5881" s="12" t="inlineStr">
        <is>
          <t>Instrumentation ITC / PLTC, IS, #18 shielded pairs, blue jacket</t>
        </is>
      </c>
      <c r="K5881" s="12" t="inlineStr">
        <is>
          <t>ITC|1 pr|16</t>
        </is>
      </c>
      <c r="L5881" s="12" t="inlineStr">
        <is>
          <t>1 pr</t>
        </is>
      </c>
      <c r="M5881" s="12" t="inlineStr">
        <is>
          <t>16</t>
        </is>
      </c>
      <c r="N5881" s="12" t="n">
        <v>12</v>
      </c>
      <c r="O5881" s="12" t="n">
        <v>1</v>
      </c>
      <c r="P5881" s="12" t="n"/>
      <c r="Q5881" s="12" t="n"/>
      <c r="R5881" s="12" t="n"/>
      <c r="S5881" s="12" t="inlineStr">
        <is>
          <t>Tray / conduit</t>
        </is>
      </c>
      <c r="T5881" s="15" t="n">
        <v>69</v>
      </c>
      <c r="U5881" s="15" t="n">
        <v>10</v>
      </c>
      <c r="V5881" s="15">
        <f>ROUNDUP((T5881+U5881+2*'Read Me'!$B$13)*(1+'Read Me'!$B$12),-1)</f>
        <v/>
      </c>
      <c r="W5881" s="15">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K-I-0008</t>
        </is>
      </c>
      <c r="B5882" s="12" t="inlineStr">
        <is>
          <t>K</t>
        </is>
      </c>
      <c r="C5882" s="12" t="inlineStr">
        <is>
          <t>Fuel supply (adjacent market)</t>
        </is>
      </c>
      <c r="D5882" s="12" t="inlineStr">
        <is>
          <t>Home run JB-H2 20: 13.8 kV e-h-DI01 to the control / marshalling room</t>
        </is>
      </c>
      <c r="E5882" s="12" t="inlineStr"/>
      <c r="F5882" s="12" t="inlineStr">
        <is>
          <t>H2 20: 13.8 kV e-house</t>
        </is>
      </c>
      <c r="G5882" s="12" t="inlineStr">
        <is>
          <t>JB-H2 20: 13.8 kV e-h-DI01</t>
        </is>
      </c>
      <c r="H5882" s="12" t="inlineStr">
        <is>
          <t>H2 20: 13.8 kV e-house</t>
        </is>
      </c>
      <c r="I5882" s="12" t="inlineStr">
        <is>
          <t>Instrumentation</t>
        </is>
      </c>
      <c r="J5882" s="12" t="inlineStr">
        <is>
          <t>Instrumentation ITC / PLTC, IS, #18 shielded pairs, blue jacket</t>
        </is>
      </c>
      <c r="K5882" s="12" t="inlineStr">
        <is>
          <t>ITC|24 pr|18</t>
        </is>
      </c>
      <c r="L5882" s="12" t="inlineStr">
        <is>
          <t>24 pr</t>
        </is>
      </c>
      <c r="M5882" s="12" t="inlineStr">
        <is>
          <t>18</t>
        </is>
      </c>
      <c r="N5882" s="12" t="n">
        <v>1</v>
      </c>
      <c r="O5882" s="12" t="n">
        <v>1</v>
      </c>
      <c r="P5882" s="12" t="n"/>
      <c r="Q5882" s="12" t="n"/>
      <c r="R5882" s="12" t="n"/>
      <c r="S5882" s="12" t="inlineStr">
        <is>
          <t>Tray</t>
        </is>
      </c>
      <c r="T5882" s="15" t="n">
        <v>0</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K-I-0009</t>
        </is>
      </c>
      <c r="B5883" s="12" t="inlineStr">
        <is>
          <t>K</t>
        </is>
      </c>
      <c r="C5883" s="12" t="inlineStr">
        <is>
          <t>Fuel supply (adjacent market)</t>
        </is>
      </c>
      <c r="D5883" s="12" t="inlineStr">
        <is>
          <t>Analog instrument to JB JB-H2 21: rectifier t-AI01: 12 x 1 pr (field cables)</t>
        </is>
      </c>
      <c r="E5883" s="12" t="inlineStr"/>
      <c r="F5883" s="12" t="inlineStr">
        <is>
          <t>H2 21: rectifier transformer 1 (7 MVA)</t>
        </is>
      </c>
      <c r="G5883" s="12" t="inlineStr">
        <is>
          <t>JB-H2 21: rectifier t-AI01</t>
        </is>
      </c>
      <c r="H5883" s="12" t="inlineStr">
        <is>
          <t>H2 21: rectifier transformer 1 (7 MVA)</t>
        </is>
      </c>
      <c r="I5883" s="12" t="inlineStr">
        <is>
          <t>Instrumentation</t>
        </is>
      </c>
      <c r="J5883" s="12" t="inlineStr">
        <is>
          <t>Instrumentation ITC / PLTC, IS, #18 shielded pairs, blue jacket</t>
        </is>
      </c>
      <c r="K5883" s="12" t="inlineStr">
        <is>
          <t>ITC|1 pr|16</t>
        </is>
      </c>
      <c r="L5883" s="12" t="inlineStr">
        <is>
          <t>1 pr</t>
        </is>
      </c>
      <c r="M5883" s="12" t="inlineStr">
        <is>
          <t>16</t>
        </is>
      </c>
      <c r="N5883" s="12" t="n">
        <v>12</v>
      </c>
      <c r="O5883" s="12" t="n">
        <v>1</v>
      </c>
      <c r="P5883" s="12" t="n"/>
      <c r="Q5883" s="12" t="n"/>
      <c r="R5883" s="12" t="n"/>
      <c r="S5883" s="12" t="inlineStr">
        <is>
          <t>Tray / conduit</t>
        </is>
      </c>
      <c r="T5883" s="15" t="n">
        <v>41</v>
      </c>
      <c r="U5883" s="15" t="n">
        <v>10</v>
      </c>
      <c r="V5883" s="15">
        <f>ROUNDUP((T5883+U5883+2*'Read Me'!$B$13)*(1+'Read Me'!$B$12),-1)</f>
        <v/>
      </c>
      <c r="W5883" s="15">
        <f>V5883*N5883*O5883</f>
        <v/>
      </c>
      <c r="X5883" s="12">
        <f>IF(LEFT(I5883,2)="MV",2*N5883*IF(L5883="1/C",O5883,1),0)</f>
        <v/>
      </c>
      <c r="Y5883" s="12">
        <f>IF(OR(LEFT(K5883,4)="LVAX",LEFT(K5883,6)="MV15AX",LEFT(K5883,4)="CTAX",LEFT(K5883,2)="W|"),2*N5883*O5883,0)</f>
        <v/>
      </c>
      <c r="Z5883" s="12" t="inlineStr">
        <is>
          <t>device-to-JB field wiring, one cable per device</t>
        </is>
      </c>
      <c r="AA5883" s="12">
        <f>N5883*O5883</f>
        <v/>
      </c>
    </row>
    <row r="5884">
      <c r="A5884" s="12" t="inlineStr">
        <is>
          <t>K-I-0010</t>
        </is>
      </c>
      <c r="B5884" s="12" t="inlineStr">
        <is>
          <t>K</t>
        </is>
      </c>
      <c r="C5884" s="12" t="inlineStr">
        <is>
          <t>Fuel supply (adjacent market)</t>
        </is>
      </c>
      <c r="D5884" s="12" t="inlineStr">
        <is>
          <t>Home run JB-H2 21: rectifier t-AI01 to the control / marshalling room</t>
        </is>
      </c>
      <c r="E5884" s="12" t="inlineStr"/>
      <c r="F5884" s="12" t="inlineStr">
        <is>
          <t>H2 20: 13.8 kV e-house</t>
        </is>
      </c>
      <c r="G5884" s="12" t="inlineStr">
        <is>
          <t>JB-H2 21: rectifier t-AI01</t>
        </is>
      </c>
      <c r="H5884" s="12" t="inlineStr">
        <is>
          <t>H2 21: rectifier transformer 1 (7 MVA)</t>
        </is>
      </c>
      <c r="I5884" s="12" t="inlineStr">
        <is>
          <t>Instrumentation</t>
        </is>
      </c>
      <c r="J5884" s="12" t="inlineStr">
        <is>
          <t>Instrumentation ITC / PLTC, IS, #18 shielded pairs, blue jacket</t>
        </is>
      </c>
      <c r="K5884" s="12" t="inlineStr">
        <is>
          <t>ITC|24 pr|18</t>
        </is>
      </c>
      <c r="L5884" s="12" t="inlineStr">
        <is>
          <t>24 pr</t>
        </is>
      </c>
      <c r="M5884" s="12" t="inlineStr">
        <is>
          <t>18</t>
        </is>
      </c>
      <c r="N5884" s="12" t="n">
        <v>1</v>
      </c>
      <c r="O5884" s="12" t="n">
        <v>1</v>
      </c>
      <c r="P5884" s="12" t="n"/>
      <c r="Q5884" s="12" t="n"/>
      <c r="R5884" s="12" t="n"/>
      <c r="S5884" s="12" t="inlineStr">
        <is>
          <t>Duct bank</t>
        </is>
      </c>
      <c r="T5884" s="15" t="n">
        <v>356</v>
      </c>
      <c r="U5884" s="15" t="n">
        <v>48</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K-I-0011</t>
        </is>
      </c>
      <c r="B5885" s="12" t="inlineStr">
        <is>
          <t>K</t>
        </is>
      </c>
      <c r="C5885" s="12" t="inlineStr">
        <is>
          <t>Fuel supply (adjacent market)</t>
        </is>
      </c>
      <c r="D5885" s="12" t="inlineStr">
        <is>
          <t>Discrete device to JB JB-H2 21: rectifier t-DI01: 12 x 1 pr (field cables)</t>
        </is>
      </c>
      <c r="E5885" s="12" t="inlineStr"/>
      <c r="F5885" s="12" t="inlineStr">
        <is>
          <t>H2 21: rectifier transformer 1 (7 MVA)</t>
        </is>
      </c>
      <c r="G5885" s="12" t="inlineStr">
        <is>
          <t>JB-H2 21: rectifier t-DI01</t>
        </is>
      </c>
      <c r="H5885" s="12" t="inlineStr">
        <is>
          <t>H2 21: rectifier transformer 1 (7 MVA)</t>
        </is>
      </c>
      <c r="I5885" s="12" t="inlineStr">
        <is>
          <t>Instrumentation</t>
        </is>
      </c>
      <c r="J5885" s="12" t="inlineStr">
        <is>
          <t>Instrumentation ITC / PLTC, IS, #18 shielded pairs, blue jacket</t>
        </is>
      </c>
      <c r="K5885" s="12" t="inlineStr">
        <is>
          <t>ITC|1 pr|16</t>
        </is>
      </c>
      <c r="L5885" s="12" t="inlineStr">
        <is>
          <t>1 pr</t>
        </is>
      </c>
      <c r="M5885" s="12" t="inlineStr">
        <is>
          <t>16</t>
        </is>
      </c>
      <c r="N5885" s="12" t="n">
        <v>12</v>
      </c>
      <c r="O5885" s="12" t="n">
        <v>1</v>
      </c>
      <c r="P5885" s="12" t="n"/>
      <c r="Q5885" s="12" t="n"/>
      <c r="R5885" s="12" t="n"/>
      <c r="S5885" s="12" t="inlineStr">
        <is>
          <t>Tray / conduit</t>
        </is>
      </c>
      <c r="T5885" s="15" t="n">
        <v>41</v>
      </c>
      <c r="U5885" s="15" t="n">
        <v>10</v>
      </c>
      <c r="V5885" s="15">
        <f>ROUNDUP((T5885+U5885+2*'Read Me'!$B$13)*(1+'Read Me'!$B$12),-1)</f>
        <v/>
      </c>
      <c r="W5885" s="15">
        <f>V5885*N5885*O5885</f>
        <v/>
      </c>
      <c r="X5885" s="12">
        <f>IF(LEFT(I5885,2)="MV",2*N5885*IF(L5885="1/C",O5885,1),0)</f>
        <v/>
      </c>
      <c r="Y5885" s="12">
        <f>IF(OR(LEFT(K5885,4)="LVAX",LEFT(K5885,6)="MV15AX",LEFT(K5885,4)="CTAX",LEFT(K5885,2)="W|"),2*N5885*O5885,0)</f>
        <v/>
      </c>
      <c r="Z5885" s="12" t="inlineStr">
        <is>
          <t>device-to-JB field wiring, one cable per device</t>
        </is>
      </c>
      <c r="AA5885" s="12">
        <f>N5885*O5885</f>
        <v/>
      </c>
    </row>
    <row r="5886">
      <c r="A5886" s="12" t="inlineStr">
        <is>
          <t>K-I-0012</t>
        </is>
      </c>
      <c r="B5886" s="12" t="inlineStr">
        <is>
          <t>K</t>
        </is>
      </c>
      <c r="C5886" s="12" t="inlineStr">
        <is>
          <t>Fuel supply (adjacent market)</t>
        </is>
      </c>
      <c r="D5886" s="12" t="inlineStr">
        <is>
          <t>Home run JB-H2 21: rectifier t-DI01 to the control / marshalling room</t>
        </is>
      </c>
      <c r="E5886" s="12" t="inlineStr"/>
      <c r="F5886" s="12" t="inlineStr">
        <is>
          <t>H2 20: 13.8 kV e-house</t>
        </is>
      </c>
      <c r="G5886" s="12" t="inlineStr">
        <is>
          <t>JB-H2 21: rectifier t-DI01</t>
        </is>
      </c>
      <c r="H5886" s="12" t="inlineStr">
        <is>
          <t>H2 21: rectifier transformer 1 (7 MVA)</t>
        </is>
      </c>
      <c r="I5886" s="12" t="inlineStr">
        <is>
          <t>Instrumentation</t>
        </is>
      </c>
      <c r="J5886" s="12" t="inlineStr">
        <is>
          <t>Instrumentation ITC / PLTC, IS, #18 shielded pairs, blue jacket</t>
        </is>
      </c>
      <c r="K5886" s="12" t="inlineStr">
        <is>
          <t>ITC|24 pr|18</t>
        </is>
      </c>
      <c r="L5886" s="12" t="inlineStr">
        <is>
          <t>24 pr</t>
        </is>
      </c>
      <c r="M5886" s="12" t="inlineStr">
        <is>
          <t>18</t>
        </is>
      </c>
      <c r="N5886" s="12" t="n">
        <v>1</v>
      </c>
      <c r="O5886" s="12" t="n">
        <v>1</v>
      </c>
      <c r="P5886" s="12" t="n"/>
      <c r="Q5886" s="12" t="n"/>
      <c r="R5886" s="12" t="n"/>
      <c r="S5886" s="12" t="inlineStr">
        <is>
          <t>Duct bank</t>
        </is>
      </c>
      <c r="T5886" s="15" t="n">
        <v>356</v>
      </c>
      <c r="U5886" s="15" t="n">
        <v>48</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K-I-0013</t>
        </is>
      </c>
      <c r="B5887" s="12" t="inlineStr">
        <is>
          <t>K</t>
        </is>
      </c>
      <c r="C5887" s="12" t="inlineStr">
        <is>
          <t>Fuel supply (adjacent market)</t>
        </is>
      </c>
      <c r="D5887" s="12" t="inlineStr">
        <is>
          <t>Analog instrument to JB JB-H2 21: rectifier t-AI01: 12 x 1 pr (field cables)</t>
        </is>
      </c>
      <c r="E5887" s="12" t="inlineStr"/>
      <c r="F5887" s="12" t="inlineStr">
        <is>
          <t>H2 21: rectifier transformer 2 (7 MVA)</t>
        </is>
      </c>
      <c r="G5887" s="12" t="inlineStr">
        <is>
          <t>JB-H2 21: rectifier t-AI01</t>
        </is>
      </c>
      <c r="H5887" s="12" t="inlineStr">
        <is>
          <t>H2 21: rectifier transformer 2 (7 MVA)</t>
        </is>
      </c>
      <c r="I5887" s="12" t="inlineStr">
        <is>
          <t>Instrumentation</t>
        </is>
      </c>
      <c r="J5887" s="12" t="inlineStr">
        <is>
          <t>Instrumentation ITC / PLTC, IS, #18 shielded pairs, blue jacket</t>
        </is>
      </c>
      <c r="K5887" s="12" t="inlineStr">
        <is>
          <t>ITC|1 pr|16</t>
        </is>
      </c>
      <c r="L5887" s="12" t="inlineStr">
        <is>
          <t>1 pr</t>
        </is>
      </c>
      <c r="M5887" s="12" t="inlineStr">
        <is>
          <t>16</t>
        </is>
      </c>
      <c r="N5887" s="12" t="n">
        <v>12</v>
      </c>
      <c r="O5887" s="12" t="n">
        <v>1</v>
      </c>
      <c r="P5887" s="12" t="n"/>
      <c r="Q5887" s="12" t="n"/>
      <c r="R5887" s="12" t="n"/>
      <c r="S5887" s="12" t="inlineStr">
        <is>
          <t>Tray / conduit</t>
        </is>
      </c>
      <c r="T5887" s="15" t="n">
        <v>41</v>
      </c>
      <c r="U5887" s="15" t="n">
        <v>10</v>
      </c>
      <c r="V5887" s="15">
        <f>ROUNDUP((T5887+U5887+2*'Read Me'!$B$13)*(1+'Read Me'!$B$12),-1)</f>
        <v/>
      </c>
      <c r="W5887" s="15">
        <f>V5887*N5887*O5887</f>
        <v/>
      </c>
      <c r="X5887" s="12">
        <f>IF(LEFT(I5887,2)="MV",2*N5887*IF(L5887="1/C",O5887,1),0)</f>
        <v/>
      </c>
      <c r="Y5887" s="12">
        <f>IF(OR(LEFT(K5887,4)="LVAX",LEFT(K5887,6)="MV15AX",LEFT(K5887,4)="CTAX",LEFT(K5887,2)="W|"),2*N5887*O5887,0)</f>
        <v/>
      </c>
      <c r="Z5887" s="12" t="inlineStr">
        <is>
          <t>device-to-JB field wiring, one cable per device</t>
        </is>
      </c>
      <c r="AA5887" s="12">
        <f>N5887*O5887</f>
        <v/>
      </c>
    </row>
    <row r="5888">
      <c r="A5888" s="12" t="inlineStr">
        <is>
          <t>K-I-0014</t>
        </is>
      </c>
      <c r="B5888" s="12" t="inlineStr">
        <is>
          <t>K</t>
        </is>
      </c>
      <c r="C5888" s="12" t="inlineStr">
        <is>
          <t>Fuel supply (adjacent market)</t>
        </is>
      </c>
      <c r="D5888" s="12" t="inlineStr">
        <is>
          <t>Home run JB-H2 21: rectifier t-AI01 to the control / marshalling room</t>
        </is>
      </c>
      <c r="E5888" s="12" t="inlineStr"/>
      <c r="F5888" s="12" t="inlineStr">
        <is>
          <t>H2 20: 13.8 kV e-house</t>
        </is>
      </c>
      <c r="G5888" s="12" t="inlineStr">
        <is>
          <t>JB-H2 21: rectifier t-AI01</t>
        </is>
      </c>
      <c r="H5888" s="12" t="inlineStr">
        <is>
          <t>H2 21: rectifier transformer 2 (7 MVA)</t>
        </is>
      </c>
      <c r="I5888" s="12" t="inlineStr">
        <is>
          <t>Instrumentation</t>
        </is>
      </c>
      <c r="J5888" s="12" t="inlineStr">
        <is>
          <t>Instrumentation ITC / PLTC, IS, #18 shielded pairs, blue jacket</t>
        </is>
      </c>
      <c r="K5888" s="12" t="inlineStr">
        <is>
          <t>ITC|24 pr|18</t>
        </is>
      </c>
      <c r="L5888" s="12" t="inlineStr">
        <is>
          <t>24 pr</t>
        </is>
      </c>
      <c r="M5888" s="12" t="inlineStr">
        <is>
          <t>18</t>
        </is>
      </c>
      <c r="N5888" s="12" t="n">
        <v>1</v>
      </c>
      <c r="O5888" s="12" t="n">
        <v>1</v>
      </c>
      <c r="P5888" s="12" t="n"/>
      <c r="Q5888" s="12" t="n"/>
      <c r="R5888" s="12" t="n"/>
      <c r="S5888" s="12" t="inlineStr">
        <is>
          <t>Duct bank</t>
        </is>
      </c>
      <c r="T5888" s="15" t="n">
        <v>356</v>
      </c>
      <c r="U5888" s="15" t="n">
        <v>32</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K-I-0015</t>
        </is>
      </c>
      <c r="B5889" s="12" t="inlineStr">
        <is>
          <t>K</t>
        </is>
      </c>
      <c r="C5889" s="12" t="inlineStr">
        <is>
          <t>Fuel supply (adjacent market)</t>
        </is>
      </c>
      <c r="D5889" s="12" t="inlineStr">
        <is>
          <t>Discrete device to JB JB-H2 21: rectifier t-DI01: 12 x 1 pr (field cables)</t>
        </is>
      </c>
      <c r="E5889" s="12" t="inlineStr"/>
      <c r="F5889" s="12" t="inlineStr">
        <is>
          <t>H2 21: rectifier transformer 2 (7 MVA)</t>
        </is>
      </c>
      <c r="G5889" s="12" t="inlineStr">
        <is>
          <t>JB-H2 21: rectifier t-DI01</t>
        </is>
      </c>
      <c r="H5889" s="12" t="inlineStr">
        <is>
          <t>H2 21: rectifier transformer 2 (7 MVA)</t>
        </is>
      </c>
      <c r="I5889" s="12" t="inlineStr">
        <is>
          <t>Instrumentation</t>
        </is>
      </c>
      <c r="J5889" s="12" t="inlineStr">
        <is>
          <t>Instrumentation ITC / PLTC, IS, #18 shielded pairs, blue jacket</t>
        </is>
      </c>
      <c r="K5889" s="12" t="inlineStr">
        <is>
          <t>ITC|1 pr|16</t>
        </is>
      </c>
      <c r="L5889" s="12" t="inlineStr">
        <is>
          <t>1 pr</t>
        </is>
      </c>
      <c r="M5889" s="12" t="inlineStr">
        <is>
          <t>16</t>
        </is>
      </c>
      <c r="N5889" s="12" t="n">
        <v>12</v>
      </c>
      <c r="O5889" s="12" t="n">
        <v>1</v>
      </c>
      <c r="P5889" s="12" t="n"/>
      <c r="Q5889" s="12" t="n"/>
      <c r="R5889" s="12" t="n"/>
      <c r="S5889" s="12" t="inlineStr">
        <is>
          <t>Tray / conduit</t>
        </is>
      </c>
      <c r="T5889" s="15" t="n">
        <v>41</v>
      </c>
      <c r="U5889" s="15" t="n">
        <v>10</v>
      </c>
      <c r="V5889" s="15">
        <f>ROUNDUP((T5889+U5889+2*'Read Me'!$B$13)*(1+'Read Me'!$B$12),-1)</f>
        <v/>
      </c>
      <c r="W5889" s="15">
        <f>V5889*N5889*O5889</f>
        <v/>
      </c>
      <c r="X5889" s="12">
        <f>IF(LEFT(I5889,2)="MV",2*N5889*IF(L5889="1/C",O5889,1),0)</f>
        <v/>
      </c>
      <c r="Y5889" s="12">
        <f>IF(OR(LEFT(K5889,4)="LVAX",LEFT(K5889,6)="MV15AX",LEFT(K5889,4)="CTAX",LEFT(K5889,2)="W|"),2*N5889*O5889,0)</f>
        <v/>
      </c>
      <c r="Z5889" s="12" t="inlineStr">
        <is>
          <t>device-to-JB field wiring, one cable per device</t>
        </is>
      </c>
      <c r="AA5889" s="12">
        <f>N5889*O5889</f>
        <v/>
      </c>
    </row>
    <row r="5890">
      <c r="A5890" s="12" t="inlineStr">
        <is>
          <t>K-I-0016</t>
        </is>
      </c>
      <c r="B5890" s="12" t="inlineStr">
        <is>
          <t>K</t>
        </is>
      </c>
      <c r="C5890" s="12" t="inlineStr">
        <is>
          <t>Fuel supply (adjacent market)</t>
        </is>
      </c>
      <c r="D5890" s="12" t="inlineStr">
        <is>
          <t>Home run JB-H2 21: rectifier t-DI01 to the control / marshalling room</t>
        </is>
      </c>
      <c r="E5890" s="12" t="inlineStr"/>
      <c r="F5890" s="12" t="inlineStr">
        <is>
          <t>H2 20: 13.8 kV e-house</t>
        </is>
      </c>
      <c r="G5890" s="12" t="inlineStr">
        <is>
          <t>JB-H2 21: rectifier t-DI01</t>
        </is>
      </c>
      <c r="H5890" s="12" t="inlineStr">
        <is>
          <t>H2 21: rectifier transformer 2 (7 MVA)</t>
        </is>
      </c>
      <c r="I5890" s="12" t="inlineStr">
        <is>
          <t>Instrumentation</t>
        </is>
      </c>
      <c r="J5890" s="12" t="inlineStr">
        <is>
          <t>Instrumentation ITC / PLTC, IS, #18 shielded pairs, blue jacket</t>
        </is>
      </c>
      <c r="K5890" s="12" t="inlineStr">
        <is>
          <t>ITC|24 pr|18</t>
        </is>
      </c>
      <c r="L5890" s="12" t="inlineStr">
        <is>
          <t>24 pr</t>
        </is>
      </c>
      <c r="M5890" s="12" t="inlineStr">
        <is>
          <t>18</t>
        </is>
      </c>
      <c r="N5890" s="12" t="n">
        <v>1</v>
      </c>
      <c r="O5890" s="12" t="n">
        <v>1</v>
      </c>
      <c r="P5890" s="12" t="n"/>
      <c r="Q5890" s="12" t="n"/>
      <c r="R5890" s="12" t="n"/>
      <c r="S5890" s="12" t="inlineStr">
        <is>
          <t>Duct bank</t>
        </is>
      </c>
      <c r="T5890" s="15" t="n">
        <v>356</v>
      </c>
      <c r="U5890" s="15" t="n">
        <v>32</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K-I-0017</t>
        </is>
      </c>
      <c r="B5891" s="12" t="inlineStr">
        <is>
          <t>K</t>
        </is>
      </c>
      <c r="C5891" s="12" t="inlineStr">
        <is>
          <t>Fuel supply (adjacent market)</t>
        </is>
      </c>
      <c r="D5891" s="12" t="inlineStr">
        <is>
          <t>Analog instrument to JB JB-H2 21: rectifier t-AI01: 12 x 1 pr (field cables)</t>
        </is>
      </c>
      <c r="E5891" s="12" t="inlineStr"/>
      <c r="F5891" s="12" t="inlineStr">
        <is>
          <t>H2 21: rectifier transformer 3 (7 MVA)</t>
        </is>
      </c>
      <c r="G5891" s="12" t="inlineStr">
        <is>
          <t>JB-H2 21: rectifier t-AI01</t>
        </is>
      </c>
      <c r="H5891" s="12" t="inlineStr">
        <is>
          <t>H2 21: rectifier transformer 3 (7 MVA)</t>
        </is>
      </c>
      <c r="I5891" s="12" t="inlineStr">
        <is>
          <t>Instrumentation</t>
        </is>
      </c>
      <c r="J5891" s="12" t="inlineStr">
        <is>
          <t>Instrumentation ITC / PLTC, IS, #18 shielded pairs, blue jacket</t>
        </is>
      </c>
      <c r="K5891" s="12" t="inlineStr">
        <is>
          <t>ITC|1 pr|16</t>
        </is>
      </c>
      <c r="L5891" s="12" t="inlineStr">
        <is>
          <t>1 pr</t>
        </is>
      </c>
      <c r="M5891" s="12" t="inlineStr">
        <is>
          <t>16</t>
        </is>
      </c>
      <c r="N5891" s="12" t="n">
        <v>12</v>
      </c>
      <c r="O5891" s="12" t="n">
        <v>1</v>
      </c>
      <c r="P5891" s="12" t="n"/>
      <c r="Q5891" s="12" t="n"/>
      <c r="R5891" s="12" t="n"/>
      <c r="S5891" s="12" t="inlineStr">
        <is>
          <t>Tray / conduit</t>
        </is>
      </c>
      <c r="T5891" s="15" t="n">
        <v>41</v>
      </c>
      <c r="U5891" s="15" t="n">
        <v>10</v>
      </c>
      <c r="V5891" s="15">
        <f>ROUNDUP((T5891+U5891+2*'Read Me'!$B$13)*(1+'Read Me'!$B$12),-1)</f>
        <v/>
      </c>
      <c r="W5891" s="15">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K-I-0018</t>
        </is>
      </c>
      <c r="B5892" s="12" t="inlineStr">
        <is>
          <t>K</t>
        </is>
      </c>
      <c r="C5892" s="12" t="inlineStr">
        <is>
          <t>Fuel supply (adjacent market)</t>
        </is>
      </c>
      <c r="D5892" s="12" t="inlineStr">
        <is>
          <t>Home run JB-H2 21: rectifier t-AI01 to the control / marshalling room</t>
        </is>
      </c>
      <c r="E5892" s="12" t="inlineStr"/>
      <c r="F5892" s="12" t="inlineStr">
        <is>
          <t>H2 20: 13.8 kV e-house</t>
        </is>
      </c>
      <c r="G5892" s="12" t="inlineStr">
        <is>
          <t>JB-H2 21: rectifier t-AI01</t>
        </is>
      </c>
      <c r="H5892" s="12" t="inlineStr">
        <is>
          <t>H2 21: rectifier transformer 3 (7 MVA)</t>
        </is>
      </c>
      <c r="I5892" s="12" t="inlineStr">
        <is>
          <t>Instrumentation</t>
        </is>
      </c>
      <c r="J5892" s="12" t="inlineStr">
        <is>
          <t>Instrumentation ITC / PLTC, IS, #18 shielded pairs, blue jacket</t>
        </is>
      </c>
      <c r="K5892" s="12" t="inlineStr">
        <is>
          <t>ITC|24 pr|18</t>
        </is>
      </c>
      <c r="L5892" s="12" t="inlineStr">
        <is>
          <t>24 pr</t>
        </is>
      </c>
      <c r="M5892" s="12" t="inlineStr">
        <is>
          <t>18</t>
        </is>
      </c>
      <c r="N5892" s="12" t="n">
        <v>1</v>
      </c>
      <c r="O5892" s="12" t="n">
        <v>1</v>
      </c>
      <c r="P5892" s="12" t="n"/>
      <c r="Q5892" s="12" t="n"/>
      <c r="R5892" s="12" t="n"/>
      <c r="S5892" s="12" t="inlineStr">
        <is>
          <t>Duct bank</t>
        </is>
      </c>
      <c r="T5892" s="15" t="n">
        <v>334</v>
      </c>
      <c r="U5892" s="15" t="n">
        <v>32</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K-I-0019</t>
        </is>
      </c>
      <c r="B5893" s="12" t="inlineStr">
        <is>
          <t>K</t>
        </is>
      </c>
      <c r="C5893" s="12" t="inlineStr">
        <is>
          <t>Fuel supply (adjacent market)</t>
        </is>
      </c>
      <c r="D5893" s="12" t="inlineStr">
        <is>
          <t>Discrete device to JB JB-H2 21: rectifier t-DI01: 12 x 1 pr (field cables)</t>
        </is>
      </c>
      <c r="E5893" s="12" t="inlineStr"/>
      <c r="F5893" s="12" t="inlineStr">
        <is>
          <t>H2 21: rectifier transformer 3 (7 MVA)</t>
        </is>
      </c>
      <c r="G5893" s="12" t="inlineStr">
        <is>
          <t>JB-H2 21: rectifier t-DI01</t>
        </is>
      </c>
      <c r="H5893" s="12" t="inlineStr">
        <is>
          <t>H2 21: rectifier transformer 3 (7 MVA)</t>
        </is>
      </c>
      <c r="I5893" s="12" t="inlineStr">
        <is>
          <t>Instrumentation</t>
        </is>
      </c>
      <c r="J5893" s="12" t="inlineStr">
        <is>
          <t>Instrumentation ITC / PLTC, IS, #18 shielded pairs, blue jacket</t>
        </is>
      </c>
      <c r="K5893" s="12" t="inlineStr">
        <is>
          <t>ITC|1 pr|16</t>
        </is>
      </c>
      <c r="L5893" s="12" t="inlineStr">
        <is>
          <t>1 pr</t>
        </is>
      </c>
      <c r="M5893" s="12" t="inlineStr">
        <is>
          <t>16</t>
        </is>
      </c>
      <c r="N5893" s="12" t="n">
        <v>12</v>
      </c>
      <c r="O5893" s="12" t="n">
        <v>1</v>
      </c>
      <c r="P5893" s="12" t="n"/>
      <c r="Q5893" s="12" t="n"/>
      <c r="R5893" s="12" t="n"/>
      <c r="S5893" s="12" t="inlineStr">
        <is>
          <t>Tray / conduit</t>
        </is>
      </c>
      <c r="T5893" s="15" t="n">
        <v>41</v>
      </c>
      <c r="U5893" s="15" t="n">
        <v>10</v>
      </c>
      <c r="V5893" s="15">
        <f>ROUNDUP((T5893+U5893+2*'Read Me'!$B$13)*(1+'Read Me'!$B$12),-1)</f>
        <v/>
      </c>
      <c r="W5893" s="15">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K-I-0020</t>
        </is>
      </c>
      <c r="B5894" s="12" t="inlineStr">
        <is>
          <t>K</t>
        </is>
      </c>
      <c r="C5894" s="12" t="inlineStr">
        <is>
          <t>Fuel supply (adjacent market)</t>
        </is>
      </c>
      <c r="D5894" s="12" t="inlineStr">
        <is>
          <t>Home run JB-H2 21: rectifier t-DI01 to the control / marshalling room</t>
        </is>
      </c>
      <c r="E5894" s="12" t="inlineStr"/>
      <c r="F5894" s="12" t="inlineStr">
        <is>
          <t>H2 20: 13.8 kV e-house</t>
        </is>
      </c>
      <c r="G5894" s="12" t="inlineStr">
        <is>
          <t>JB-H2 21: rectifier t-DI01</t>
        </is>
      </c>
      <c r="H5894" s="12" t="inlineStr">
        <is>
          <t>H2 21: rectifier transformer 3 (7 MVA)</t>
        </is>
      </c>
      <c r="I5894" s="12" t="inlineStr">
        <is>
          <t>Instrumentation</t>
        </is>
      </c>
      <c r="J5894" s="12" t="inlineStr">
        <is>
          <t>Instrumentation ITC / PLTC, IS, #18 shielded pairs, blue jacket</t>
        </is>
      </c>
      <c r="K5894" s="12" t="inlineStr">
        <is>
          <t>ITC|24 pr|18</t>
        </is>
      </c>
      <c r="L5894" s="12" t="inlineStr">
        <is>
          <t>24 pr</t>
        </is>
      </c>
      <c r="M5894" s="12" t="inlineStr">
        <is>
          <t>18</t>
        </is>
      </c>
      <c r="N5894" s="12" t="n">
        <v>1</v>
      </c>
      <c r="O5894" s="12" t="n">
        <v>1</v>
      </c>
      <c r="P5894" s="12" t="n"/>
      <c r="Q5894" s="12" t="n"/>
      <c r="R5894" s="12" t="n"/>
      <c r="S5894" s="12" t="inlineStr">
        <is>
          <t>Duct bank</t>
        </is>
      </c>
      <c r="T5894" s="15" t="n">
        <v>334</v>
      </c>
      <c r="U5894" s="15" t="n">
        <v>32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K-I-0021</t>
        </is>
      </c>
      <c r="B5895" s="12" t="inlineStr">
        <is>
          <t>K</t>
        </is>
      </c>
      <c r="C5895" s="12" t="inlineStr">
        <is>
          <t>Fuel supply (adjacent market)</t>
        </is>
      </c>
      <c r="D5895" s="12" t="inlineStr">
        <is>
          <t>Analog instrument to JB JB-H2 21: rectifier t-AI01: 12 x 1 pr (field cables)</t>
        </is>
      </c>
      <c r="E5895" s="12" t="inlineStr"/>
      <c r="F5895" s="12" t="inlineStr">
        <is>
          <t>H2 21: rectifier transformer 4 (7 MVA)</t>
        </is>
      </c>
      <c r="G5895" s="12" t="inlineStr">
        <is>
          <t>JB-H2 21: rectifier t-AI01</t>
        </is>
      </c>
      <c r="H5895" s="12" t="inlineStr">
        <is>
          <t>H2 21: rectifier transformer 4 (7 MVA)</t>
        </is>
      </c>
      <c r="I5895" s="12" t="inlineStr">
        <is>
          <t>Instrumentation</t>
        </is>
      </c>
      <c r="J5895" s="12" t="inlineStr">
        <is>
          <t>Instrumentation ITC / PLTC, IS, #18 shielded pairs, blue jacket</t>
        </is>
      </c>
      <c r="K5895" s="12" t="inlineStr">
        <is>
          <t>ITC|1 pr|16</t>
        </is>
      </c>
      <c r="L5895" s="12" t="inlineStr">
        <is>
          <t>1 pr</t>
        </is>
      </c>
      <c r="M5895" s="12" t="inlineStr">
        <is>
          <t>16</t>
        </is>
      </c>
      <c r="N5895" s="12" t="n">
        <v>12</v>
      </c>
      <c r="O5895" s="12" t="n">
        <v>1</v>
      </c>
      <c r="P5895" s="12" t="n"/>
      <c r="Q5895" s="12" t="n"/>
      <c r="R5895" s="12" t="n"/>
      <c r="S5895" s="12" t="inlineStr">
        <is>
          <t>Tray / conduit</t>
        </is>
      </c>
      <c r="T5895" s="15" t="n">
        <v>41</v>
      </c>
      <c r="U5895" s="15" t="n">
        <v>10</v>
      </c>
      <c r="V5895" s="15">
        <f>ROUNDUP((T5895+U5895+2*'Read Me'!$B$13)*(1+'Read Me'!$B$12),-1)</f>
        <v/>
      </c>
      <c r="W5895" s="15">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K-I-0022</t>
        </is>
      </c>
      <c r="B5896" s="12" t="inlineStr">
        <is>
          <t>K</t>
        </is>
      </c>
      <c r="C5896" s="12" t="inlineStr">
        <is>
          <t>Fuel supply (adjacent market)</t>
        </is>
      </c>
      <c r="D5896" s="12" t="inlineStr">
        <is>
          <t>Home run JB-H2 21: rectifier t-AI01 to the control / marshalling room</t>
        </is>
      </c>
      <c r="E5896" s="12" t="inlineStr"/>
      <c r="F5896" s="12" t="inlineStr">
        <is>
          <t>H2 20: 13.8 kV e-house</t>
        </is>
      </c>
      <c r="G5896" s="12" t="inlineStr">
        <is>
          <t>JB-H2 21: rectifier t-AI01</t>
        </is>
      </c>
      <c r="H5896" s="12" t="inlineStr">
        <is>
          <t>H2 21: rectifier transformer 4 (7 MVA)</t>
        </is>
      </c>
      <c r="I5896" s="12" t="inlineStr">
        <is>
          <t>Instrumentation</t>
        </is>
      </c>
      <c r="J5896" s="12" t="inlineStr">
        <is>
          <t>Instrumentation ITC / PLTC, IS, #18 shielded pairs, blue jacket</t>
        </is>
      </c>
      <c r="K5896" s="12" t="inlineStr">
        <is>
          <t>ITC|24 pr|18</t>
        </is>
      </c>
      <c r="L5896" s="12" t="inlineStr">
        <is>
          <t>24 pr</t>
        </is>
      </c>
      <c r="M5896" s="12" t="inlineStr">
        <is>
          <t>18</t>
        </is>
      </c>
      <c r="N5896" s="12" t="n">
        <v>1</v>
      </c>
      <c r="O5896" s="12" t="n">
        <v>1</v>
      </c>
      <c r="P5896" s="12" t="n"/>
      <c r="Q5896" s="12" t="n"/>
      <c r="R5896" s="12" t="n"/>
      <c r="S5896" s="12" t="inlineStr">
        <is>
          <t>Duct bank</t>
        </is>
      </c>
      <c r="T5896" s="15" t="n">
        <v>312</v>
      </c>
      <c r="U5896" s="15" t="n">
        <v>32</v>
      </c>
      <c r="V5896" s="15">
        <f>ROUNDUP((T5896+U5896+2*'Read Me'!$B$13)*(1+'Read Me'!$B$12),-1)</f>
        <v/>
      </c>
      <c r="W5896" s="15">
        <f>V5896*N5896*O5896</f>
        <v/>
      </c>
      <c r="X5896" s="12">
        <f>IF(LEFT(I5896,2)="MV",2*N5896*IF(L5896="1/C",O5896,1),0)</f>
        <v/>
      </c>
      <c r="Y5896" s="12">
        <f>IF(OR(LEFT(K5896,4)="LVAX",LEFT(K5896,6)="MV15AX",LEFT(K5896,4)="CTAX",LEFT(K5896,2)="W|"),2*N5896*O5896,0)</f>
        <v/>
      </c>
      <c r="Z5896" s="12" t="inlineStr"/>
      <c r="AA5896" s="12">
        <f>N5896*O5896</f>
        <v/>
      </c>
    </row>
    <row r="5897">
      <c r="A5897" s="12" t="inlineStr">
        <is>
          <t>K-I-0023</t>
        </is>
      </c>
      <c r="B5897" s="12" t="inlineStr">
        <is>
          <t>K</t>
        </is>
      </c>
      <c r="C5897" s="12" t="inlineStr">
        <is>
          <t>Fuel supply (adjacent market)</t>
        </is>
      </c>
      <c r="D5897" s="12" t="inlineStr">
        <is>
          <t>Discrete device to JB JB-H2 21: rectifier t-DI01: 12 x 1 pr (field cables)</t>
        </is>
      </c>
      <c r="E5897" s="12" t="inlineStr"/>
      <c r="F5897" s="12" t="inlineStr">
        <is>
          <t>H2 21: rectifier transformer 4 (7 MVA)</t>
        </is>
      </c>
      <c r="G5897" s="12" t="inlineStr">
        <is>
          <t>JB-H2 21: rectifier t-DI01</t>
        </is>
      </c>
      <c r="H5897" s="12" t="inlineStr">
        <is>
          <t>H2 21: rectifier transformer 4 (7 MVA)</t>
        </is>
      </c>
      <c r="I5897" s="12" t="inlineStr">
        <is>
          <t>Instrumentation</t>
        </is>
      </c>
      <c r="J5897" s="12" t="inlineStr">
        <is>
          <t>Instrumentation ITC / PLTC, IS, #18 shielded pairs, blue jacket</t>
        </is>
      </c>
      <c r="K5897" s="12" t="inlineStr">
        <is>
          <t>ITC|1 pr|16</t>
        </is>
      </c>
      <c r="L5897" s="12" t="inlineStr">
        <is>
          <t>1 pr</t>
        </is>
      </c>
      <c r="M5897" s="12" t="inlineStr">
        <is>
          <t>16</t>
        </is>
      </c>
      <c r="N5897" s="12" t="n">
        <v>12</v>
      </c>
      <c r="O5897" s="12" t="n">
        <v>1</v>
      </c>
      <c r="P5897" s="12" t="n"/>
      <c r="Q5897" s="12" t="n"/>
      <c r="R5897" s="12" t="n"/>
      <c r="S5897" s="12" t="inlineStr">
        <is>
          <t>Tray / conduit</t>
        </is>
      </c>
      <c r="T5897" s="15" t="n">
        <v>41</v>
      </c>
      <c r="U5897" s="15" t="n">
        <v>10</v>
      </c>
      <c r="V5897" s="15">
        <f>ROUNDUP((T5897+U5897+2*'Read Me'!$B$13)*(1+'Read Me'!$B$12),-1)</f>
        <v/>
      </c>
      <c r="W5897" s="15">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K-I-0024</t>
        </is>
      </c>
      <c r="B5898" s="12" t="inlineStr">
        <is>
          <t>K</t>
        </is>
      </c>
      <c r="C5898" s="12" t="inlineStr">
        <is>
          <t>Fuel supply (adjacent market)</t>
        </is>
      </c>
      <c r="D5898" s="12" t="inlineStr">
        <is>
          <t>Home run JB-H2 21: rectifier t-DI01 to the control / marshalling room</t>
        </is>
      </c>
      <c r="E5898" s="12" t="inlineStr"/>
      <c r="F5898" s="12" t="inlineStr">
        <is>
          <t>H2 20: 13.8 kV e-house</t>
        </is>
      </c>
      <c r="G5898" s="12" t="inlineStr">
        <is>
          <t>JB-H2 21: rectifier t-DI01</t>
        </is>
      </c>
      <c r="H5898" s="12" t="inlineStr">
        <is>
          <t>H2 21: rectifier transformer 4 (7 MVA)</t>
        </is>
      </c>
      <c r="I5898" s="12" t="inlineStr">
        <is>
          <t>Instrumentation</t>
        </is>
      </c>
      <c r="J5898" s="12" t="inlineStr">
        <is>
          <t>Instrumentation ITC / PLTC, IS, #18 shielded pairs, blue jacket</t>
        </is>
      </c>
      <c r="K5898" s="12" t="inlineStr">
        <is>
          <t>ITC|24 pr|18</t>
        </is>
      </c>
      <c r="L5898" s="12" t="inlineStr">
        <is>
          <t>24 pr</t>
        </is>
      </c>
      <c r="M5898" s="12" t="inlineStr">
        <is>
          <t>18</t>
        </is>
      </c>
      <c r="N5898" s="12" t="n">
        <v>1</v>
      </c>
      <c r="O5898" s="12" t="n">
        <v>1</v>
      </c>
      <c r="P5898" s="12" t="n"/>
      <c r="Q5898" s="12" t="n"/>
      <c r="R5898" s="12" t="n"/>
      <c r="S5898" s="12" t="inlineStr">
        <is>
          <t>Duct bank</t>
        </is>
      </c>
      <c r="T5898" s="15" t="n">
        <v>312</v>
      </c>
      <c r="U5898" s="15" t="n">
        <v>32</v>
      </c>
      <c r="V5898" s="15">
        <f>ROUNDUP((T5898+U5898+2*'Read Me'!$B$13)*(1+'Read Me'!$B$12),-1)</f>
        <v/>
      </c>
      <c r="W5898" s="15">
        <f>V5898*N5898*O5898</f>
        <v/>
      </c>
      <c r="X5898" s="12">
        <f>IF(LEFT(I5898,2)="MV",2*N5898*IF(L5898="1/C",O5898,1),0)</f>
        <v/>
      </c>
      <c r="Y5898" s="12">
        <f>IF(OR(LEFT(K5898,4)="LVAX",LEFT(K5898,6)="MV15AX",LEFT(K5898,4)="CTAX",LEFT(K5898,2)="W|"),2*N5898*O5898,0)</f>
        <v/>
      </c>
      <c r="Z5898" s="12" t="inlineStr"/>
      <c r="AA5898" s="12">
        <f>N5898*O5898</f>
        <v/>
      </c>
    </row>
    <row r="5899">
      <c r="A5899" s="12" t="inlineStr">
        <is>
          <t>K-I-0025</t>
        </is>
      </c>
      <c r="B5899" s="12" t="inlineStr">
        <is>
          <t>K</t>
        </is>
      </c>
      <c r="C5899" s="12" t="inlineStr">
        <is>
          <t>Fuel supply (adjacent market)</t>
        </is>
      </c>
      <c r="D5899" s="12" t="inlineStr">
        <is>
          <t>Analog instrument to JB JB-H2 21: rectifier t-AI01: 12 x 1 pr (field cables)</t>
        </is>
      </c>
      <c r="E5899" s="12" t="inlineStr"/>
      <c r="F5899" s="12" t="inlineStr">
        <is>
          <t>H2 21: rectifier transformer 5 (7 MVA)</t>
        </is>
      </c>
      <c r="G5899" s="12" t="inlineStr">
        <is>
          <t>JB-H2 21: rectifier t-AI01</t>
        </is>
      </c>
      <c r="H5899" s="12" t="inlineStr">
        <is>
          <t>H2 21: rectifier transformer 5 (7 MVA)</t>
        </is>
      </c>
      <c r="I5899" s="12" t="inlineStr">
        <is>
          <t>Instrumentation</t>
        </is>
      </c>
      <c r="J5899" s="12" t="inlineStr">
        <is>
          <t>Instrumentation ITC / PLTC, IS, #18 shielded pairs, blue jacket</t>
        </is>
      </c>
      <c r="K5899" s="12" t="inlineStr">
        <is>
          <t>ITC|1 pr|16</t>
        </is>
      </c>
      <c r="L5899" s="12" t="inlineStr">
        <is>
          <t>1 pr</t>
        </is>
      </c>
      <c r="M5899" s="12" t="inlineStr">
        <is>
          <t>16</t>
        </is>
      </c>
      <c r="N5899" s="12" t="n">
        <v>12</v>
      </c>
      <c r="O5899" s="12" t="n">
        <v>1</v>
      </c>
      <c r="P5899" s="12" t="n"/>
      <c r="Q5899" s="12" t="n"/>
      <c r="R5899" s="12" t="n"/>
      <c r="S5899" s="12" t="inlineStr">
        <is>
          <t>Tray / conduit</t>
        </is>
      </c>
      <c r="T5899" s="15" t="n">
        <v>41</v>
      </c>
      <c r="U5899" s="15" t="n">
        <v>10</v>
      </c>
      <c r="V5899" s="15">
        <f>ROUNDUP((T5899+U5899+2*'Read Me'!$B$13)*(1+'Read Me'!$B$12),-1)</f>
        <v/>
      </c>
      <c r="W5899" s="15">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K-I-0026</t>
        </is>
      </c>
      <c r="B5900" s="12" t="inlineStr">
        <is>
          <t>K</t>
        </is>
      </c>
      <c r="C5900" s="12" t="inlineStr">
        <is>
          <t>Fuel supply (adjacent market)</t>
        </is>
      </c>
      <c r="D5900" s="12" t="inlineStr">
        <is>
          <t>Home run JB-H2 21: rectifier t-AI01 to the control / marshalling room</t>
        </is>
      </c>
      <c r="E5900" s="12" t="inlineStr"/>
      <c r="F5900" s="12" t="inlineStr">
        <is>
          <t>H2 20: 13.8 kV e-house</t>
        </is>
      </c>
      <c r="G5900" s="12" t="inlineStr">
        <is>
          <t>JB-H2 21: rectifier t-AI01</t>
        </is>
      </c>
      <c r="H5900" s="12" t="inlineStr">
        <is>
          <t>H2 21: rectifier transformer 5 (7 MVA)</t>
        </is>
      </c>
      <c r="I5900" s="12" t="inlineStr">
        <is>
          <t>Instrumentation</t>
        </is>
      </c>
      <c r="J5900" s="12" t="inlineStr">
        <is>
          <t>Instrumentation ITC / PLTC, IS, #18 shielded pairs, blue jacket</t>
        </is>
      </c>
      <c r="K5900" s="12" t="inlineStr">
        <is>
          <t>ITC|24 pr|18</t>
        </is>
      </c>
      <c r="L5900" s="12" t="inlineStr">
        <is>
          <t>24 pr</t>
        </is>
      </c>
      <c r="M5900" s="12" t="inlineStr">
        <is>
          <t>18</t>
        </is>
      </c>
      <c r="N5900" s="12" t="n">
        <v>1</v>
      </c>
      <c r="O5900" s="12" t="n">
        <v>1</v>
      </c>
      <c r="P5900" s="12" t="n"/>
      <c r="Q5900" s="12" t="n"/>
      <c r="R5900" s="12" t="n"/>
      <c r="S5900" s="12" t="inlineStr">
        <is>
          <t>Duct bank</t>
        </is>
      </c>
      <c r="T5900" s="15" t="n">
        <v>254</v>
      </c>
      <c r="U5900" s="15" t="n">
        <v>32</v>
      </c>
      <c r="V5900" s="15">
        <f>ROUNDUP((T5900+U5900+2*'Read Me'!$B$13)*(1+'Read Me'!$B$12),-1)</f>
        <v/>
      </c>
      <c r="W5900" s="15">
        <f>V5900*N5900*O5900</f>
        <v/>
      </c>
      <c r="X5900" s="12">
        <f>IF(LEFT(I5900,2)="MV",2*N5900*IF(L5900="1/C",O5900,1),0)</f>
        <v/>
      </c>
      <c r="Y5900" s="12">
        <f>IF(OR(LEFT(K5900,4)="LVAX",LEFT(K5900,6)="MV15AX",LEFT(K5900,4)="CTAX",LEFT(K5900,2)="W|"),2*N5900*O5900,0)</f>
        <v/>
      </c>
      <c r="Z5900" s="12" t="inlineStr"/>
      <c r="AA5900" s="12">
        <f>N5900*O5900</f>
        <v/>
      </c>
    </row>
    <row r="5901">
      <c r="A5901" s="12" t="inlineStr">
        <is>
          <t>K-I-0027</t>
        </is>
      </c>
      <c r="B5901" s="12" t="inlineStr">
        <is>
          <t>K</t>
        </is>
      </c>
      <c r="C5901" s="12" t="inlineStr">
        <is>
          <t>Fuel supply (adjacent market)</t>
        </is>
      </c>
      <c r="D5901" s="12" t="inlineStr">
        <is>
          <t>Discrete device to JB JB-H2 21: rectifier t-DI01: 12 x 1 pr (field cables)</t>
        </is>
      </c>
      <c r="E5901" s="12" t="inlineStr"/>
      <c r="F5901" s="12" t="inlineStr">
        <is>
          <t>H2 21: rectifier transformer 5 (7 MVA)</t>
        </is>
      </c>
      <c r="G5901" s="12" t="inlineStr">
        <is>
          <t>JB-H2 21: rectifier t-DI01</t>
        </is>
      </c>
      <c r="H5901" s="12" t="inlineStr">
        <is>
          <t>H2 21: rectifier transformer 5 (7 MVA)</t>
        </is>
      </c>
      <c r="I5901" s="12" t="inlineStr">
        <is>
          <t>Instrumentation</t>
        </is>
      </c>
      <c r="J5901" s="12" t="inlineStr">
        <is>
          <t>Instrumentation ITC / PLTC, IS, #18 shielded pairs, blue jacket</t>
        </is>
      </c>
      <c r="K5901" s="12" t="inlineStr">
        <is>
          <t>ITC|1 pr|16</t>
        </is>
      </c>
      <c r="L5901" s="12" t="inlineStr">
        <is>
          <t>1 pr</t>
        </is>
      </c>
      <c r="M5901" s="12" t="inlineStr">
        <is>
          <t>16</t>
        </is>
      </c>
      <c r="N5901" s="12" t="n">
        <v>12</v>
      </c>
      <c r="O5901" s="12" t="n">
        <v>1</v>
      </c>
      <c r="P5901" s="12" t="n"/>
      <c r="Q5901" s="12" t="n"/>
      <c r="R5901" s="12" t="n"/>
      <c r="S5901" s="12" t="inlineStr">
        <is>
          <t>Tray / conduit</t>
        </is>
      </c>
      <c r="T5901" s="15" t="n">
        <v>41</v>
      </c>
      <c r="U5901" s="15" t="n">
        <v>10</v>
      </c>
      <c r="V5901" s="15">
        <f>ROUNDUP((T5901+U5901+2*'Read Me'!$B$13)*(1+'Read Me'!$B$12),-1)</f>
        <v/>
      </c>
      <c r="W5901" s="15">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K-I-0028</t>
        </is>
      </c>
      <c r="B5902" s="12" t="inlineStr">
        <is>
          <t>K</t>
        </is>
      </c>
      <c r="C5902" s="12" t="inlineStr">
        <is>
          <t>Fuel supply (adjacent market)</t>
        </is>
      </c>
      <c r="D5902" s="12" t="inlineStr">
        <is>
          <t>Home run JB-H2 21: rectifier t-DI01 to the control / marshalling room</t>
        </is>
      </c>
      <c r="E5902" s="12" t="inlineStr"/>
      <c r="F5902" s="12" t="inlineStr">
        <is>
          <t>H2 20: 13.8 kV e-house</t>
        </is>
      </c>
      <c r="G5902" s="12" t="inlineStr">
        <is>
          <t>JB-H2 21: rectifier t-DI01</t>
        </is>
      </c>
      <c r="H5902" s="12" t="inlineStr">
        <is>
          <t>H2 21: rectifier transformer 5 (7 MVA)</t>
        </is>
      </c>
      <c r="I5902" s="12" t="inlineStr">
        <is>
          <t>Instrumentation</t>
        </is>
      </c>
      <c r="J5902" s="12" t="inlineStr">
        <is>
          <t>Instrumentation ITC / PLTC, IS, #18 shielded pairs, blue jacket</t>
        </is>
      </c>
      <c r="K5902" s="12" t="inlineStr">
        <is>
          <t>ITC|24 pr|18</t>
        </is>
      </c>
      <c r="L5902" s="12" t="inlineStr">
        <is>
          <t>24 pr</t>
        </is>
      </c>
      <c r="M5902" s="12" t="inlineStr">
        <is>
          <t>18</t>
        </is>
      </c>
      <c r="N5902" s="12" t="n">
        <v>1</v>
      </c>
      <c r="O5902" s="12" t="n">
        <v>1</v>
      </c>
      <c r="P5902" s="12" t="n"/>
      <c r="Q5902" s="12" t="n"/>
      <c r="R5902" s="12" t="n"/>
      <c r="S5902" s="12" t="inlineStr">
        <is>
          <t>Duct bank</t>
        </is>
      </c>
      <c r="T5902" s="15" t="n">
        <v>254</v>
      </c>
      <c r="U5902" s="15" t="n">
        <v>32</v>
      </c>
      <c r="V5902" s="15">
        <f>ROUNDUP((T5902+U5902+2*'Read Me'!$B$13)*(1+'Read Me'!$B$12),-1)</f>
        <v/>
      </c>
      <c r="W5902" s="15">
        <f>V5902*N5902*O5902</f>
        <v/>
      </c>
      <c r="X5902" s="12">
        <f>IF(LEFT(I5902,2)="MV",2*N5902*IF(L5902="1/C",O5902,1),0)</f>
        <v/>
      </c>
      <c r="Y5902" s="12">
        <f>IF(OR(LEFT(K5902,4)="LVAX",LEFT(K5902,6)="MV15AX",LEFT(K5902,4)="CTAX",LEFT(K5902,2)="W|"),2*N5902*O5902,0)</f>
        <v/>
      </c>
      <c r="Z5902" s="12" t="inlineStr"/>
      <c r="AA5902" s="12">
        <f>N5902*O5902</f>
        <v/>
      </c>
    </row>
    <row r="5903">
      <c r="A5903" s="12" t="inlineStr">
        <is>
          <t>K-I-0029</t>
        </is>
      </c>
      <c r="B5903" s="12" t="inlineStr">
        <is>
          <t>K</t>
        </is>
      </c>
      <c r="C5903" s="12" t="inlineStr">
        <is>
          <t>Fuel supply (adjacent market)</t>
        </is>
      </c>
      <c r="D5903" s="12" t="inlineStr">
        <is>
          <t>Analog instrument to JB JB-H2-EL-AI01: 12 x 1 pr (field cables)</t>
        </is>
      </c>
      <c r="E5903" s="12" t="inlineStr">
        <is>
          <t>H2-EL</t>
        </is>
      </c>
      <c r="F5903" s="12" t="inlineStr">
        <is>
          <t>H2 22: electrolyzer building (5 x HyLYZER-1000 + 5 rectifiers)</t>
        </is>
      </c>
      <c r="G5903" s="12" t="inlineStr">
        <is>
          <t>JB-H2-EL-AI01</t>
        </is>
      </c>
      <c r="H5903" s="12" t="inlineStr">
        <is>
          <t>H2 22: electrolyzer building (5 x HyLYZER-1000 + 5 rectifiers)</t>
        </is>
      </c>
      <c r="I5903" s="12" t="inlineStr">
        <is>
          <t>Instrumentation</t>
        </is>
      </c>
      <c r="J5903" s="12" t="inlineStr">
        <is>
          <t>Instrumentation ITC / PLTC, IS, #18 shielded pairs, blue jacket</t>
        </is>
      </c>
      <c r="K5903" s="12" t="inlineStr">
        <is>
          <t>ITC|1 pr|16</t>
        </is>
      </c>
      <c r="L5903" s="12" t="inlineStr">
        <is>
          <t>1 pr</t>
        </is>
      </c>
      <c r="M5903" s="12" t="inlineStr">
        <is>
          <t>16</t>
        </is>
      </c>
      <c r="N5903" s="12" t="n">
        <v>12</v>
      </c>
      <c r="O5903" s="12" t="n">
        <v>1</v>
      </c>
      <c r="P5903" s="12" t="n"/>
      <c r="Q5903" s="12" t="n"/>
      <c r="R5903" s="12" t="n"/>
      <c r="S5903" s="12" t="inlineStr">
        <is>
          <t>Tray / conduit</t>
        </is>
      </c>
      <c r="T5903" s="15" t="n">
        <v>157</v>
      </c>
      <c r="U5903" s="15" t="n">
        <v>10</v>
      </c>
      <c r="V5903" s="15">
        <f>ROUNDUP((T5903+U5903+2*'Read Me'!$B$13)*(1+'Read Me'!$B$12),-1)</f>
        <v/>
      </c>
      <c r="W5903" s="15">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K-I-0030</t>
        </is>
      </c>
      <c r="B5904" s="12" t="inlineStr">
        <is>
          <t>K</t>
        </is>
      </c>
      <c r="C5904" s="12" t="inlineStr">
        <is>
          <t>Fuel supply (adjacent market)</t>
        </is>
      </c>
      <c r="D5904" s="12" t="inlineStr">
        <is>
          <t>Home run JB-H2-EL-AI01 to the control / marshalling room</t>
        </is>
      </c>
      <c r="E5904" s="12" t="inlineStr"/>
      <c r="F5904" s="12" t="inlineStr">
        <is>
          <t>H2 20: 13.8 kV e-house</t>
        </is>
      </c>
      <c r="G5904" s="12" t="inlineStr">
        <is>
          <t>JB-H2-EL-AI01</t>
        </is>
      </c>
      <c r="H5904" s="12" t="inlineStr">
        <is>
          <t>H2 22: electrolyzer building (5 x HyLYZER-1000 + 5 rectifiers)</t>
        </is>
      </c>
      <c r="I5904" s="12" t="inlineStr">
        <is>
          <t>Instrumentation</t>
        </is>
      </c>
      <c r="J5904" s="12" t="inlineStr">
        <is>
          <t>Instrumentation ITC / PLTC, IS, #18 shielded pairs, blue jacket</t>
        </is>
      </c>
      <c r="K5904" s="12" t="inlineStr">
        <is>
          <t>ITC|24 pr|18</t>
        </is>
      </c>
      <c r="L5904" s="12" t="inlineStr">
        <is>
          <t>24 pr</t>
        </is>
      </c>
      <c r="M5904" s="12" t="inlineStr">
        <is>
          <t>18</t>
        </is>
      </c>
      <c r="N5904" s="12" t="n">
        <v>1</v>
      </c>
      <c r="O5904" s="12" t="n">
        <v>1</v>
      </c>
      <c r="P5904" s="12" t="n"/>
      <c r="Q5904" s="12" t="n"/>
      <c r="R5904" s="12" t="n"/>
      <c r="S5904" s="12" t="inlineStr">
        <is>
          <t>Duct bank</t>
        </is>
      </c>
      <c r="T5904" s="15" t="n">
        <v>346</v>
      </c>
      <c r="U5904" s="15" t="n">
        <v>32</v>
      </c>
      <c r="V5904" s="15">
        <f>ROUNDUP((T5904+U5904+2*'Read Me'!$B$13)*(1+'Read Me'!$B$12),-1)</f>
        <v/>
      </c>
      <c r="W5904" s="15">
        <f>V5904*N5904*O5904</f>
        <v/>
      </c>
      <c r="X5904" s="12">
        <f>IF(LEFT(I5904,2)="MV",2*N5904*IF(L5904="1/C",O5904,1),0)</f>
        <v/>
      </c>
      <c r="Y5904" s="12">
        <f>IF(OR(LEFT(K5904,4)="LVAX",LEFT(K5904,6)="MV15AX",LEFT(K5904,4)="CTAX",LEFT(K5904,2)="W|"),2*N5904*O5904,0)</f>
        <v/>
      </c>
      <c r="Z5904" s="12" t="inlineStr"/>
      <c r="AA5904" s="12">
        <f>N5904*O5904</f>
        <v/>
      </c>
    </row>
    <row r="5905">
      <c r="A5905" s="12" t="inlineStr">
        <is>
          <t>K-I-0031</t>
        </is>
      </c>
      <c r="B5905" s="12" t="inlineStr">
        <is>
          <t>K</t>
        </is>
      </c>
      <c r="C5905" s="12" t="inlineStr">
        <is>
          <t>Fuel supply (adjacent market)</t>
        </is>
      </c>
      <c r="D5905" s="12" t="inlineStr">
        <is>
          <t>Discrete device to JB JB-H2-EL-DI01: 12 x 1 pr (field cables)</t>
        </is>
      </c>
      <c r="E5905" s="12" t="inlineStr">
        <is>
          <t>H2-EL</t>
        </is>
      </c>
      <c r="F5905" s="12" t="inlineStr">
        <is>
          <t>H2 22: electrolyzer building (5 x HyLYZER-1000 + 5 rectifiers)</t>
        </is>
      </c>
      <c r="G5905" s="12" t="inlineStr">
        <is>
          <t>JB-H2-EL-DI01</t>
        </is>
      </c>
      <c r="H5905" s="12" t="inlineStr">
        <is>
          <t>H2 22: electrolyzer building (5 x HyLYZER-1000 + 5 rectifiers)</t>
        </is>
      </c>
      <c r="I5905" s="12" t="inlineStr">
        <is>
          <t>Instrumentation</t>
        </is>
      </c>
      <c r="J5905" s="12" t="inlineStr">
        <is>
          <t>Instrumentation ITC / PLTC, IS, #18 shielded pairs, blue jacket</t>
        </is>
      </c>
      <c r="K5905" s="12" t="inlineStr">
        <is>
          <t>ITC|1 pr|16</t>
        </is>
      </c>
      <c r="L5905" s="12" t="inlineStr">
        <is>
          <t>1 pr</t>
        </is>
      </c>
      <c r="M5905" s="12" t="inlineStr">
        <is>
          <t>16</t>
        </is>
      </c>
      <c r="N5905" s="12" t="n">
        <v>12</v>
      </c>
      <c r="O5905" s="12" t="n">
        <v>1</v>
      </c>
      <c r="P5905" s="12" t="n"/>
      <c r="Q5905" s="12" t="n"/>
      <c r="R5905" s="12" t="n"/>
      <c r="S5905" s="12" t="inlineStr">
        <is>
          <t>Tray / conduit</t>
        </is>
      </c>
      <c r="T5905" s="15" t="n">
        <v>157</v>
      </c>
      <c r="U5905" s="15" t="n">
        <v>10</v>
      </c>
      <c r="V5905" s="15">
        <f>ROUNDUP((T5905+U5905+2*'Read Me'!$B$13)*(1+'Read Me'!$B$12),-1)</f>
        <v/>
      </c>
      <c r="W5905" s="15">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K-I-0032</t>
        </is>
      </c>
      <c r="B5906" s="12" t="inlineStr">
        <is>
          <t>K</t>
        </is>
      </c>
      <c r="C5906" s="12" t="inlineStr">
        <is>
          <t>Fuel supply (adjacent market)</t>
        </is>
      </c>
      <c r="D5906" s="12" t="inlineStr">
        <is>
          <t>Home run JB-H2-EL-DI01 to the control / marshalling room</t>
        </is>
      </c>
      <c r="E5906" s="12" t="inlineStr"/>
      <c r="F5906" s="12" t="inlineStr">
        <is>
          <t>H2 20: 13.8 kV e-house</t>
        </is>
      </c>
      <c r="G5906" s="12" t="inlineStr">
        <is>
          <t>JB-H2-EL-DI01</t>
        </is>
      </c>
      <c r="H5906" s="12" t="inlineStr">
        <is>
          <t>H2 22: electrolyzer building (5 x HyLYZER-1000 + 5 rectifiers)</t>
        </is>
      </c>
      <c r="I5906" s="12" t="inlineStr">
        <is>
          <t>Instrumentation</t>
        </is>
      </c>
      <c r="J5906" s="12" t="inlineStr">
        <is>
          <t>Instrumentation ITC / PLTC, IS, #18 shielded pairs, blue jacket</t>
        </is>
      </c>
      <c r="K5906" s="12" t="inlineStr">
        <is>
          <t>ITC|24 pr|18</t>
        </is>
      </c>
      <c r="L5906" s="12" t="inlineStr">
        <is>
          <t>24 pr</t>
        </is>
      </c>
      <c r="M5906" s="12" t="inlineStr">
        <is>
          <t>18</t>
        </is>
      </c>
      <c r="N5906" s="12" t="n">
        <v>1</v>
      </c>
      <c r="O5906" s="12" t="n">
        <v>1</v>
      </c>
      <c r="P5906" s="12" t="n"/>
      <c r="Q5906" s="12" t="n"/>
      <c r="R5906" s="12" t="n"/>
      <c r="S5906" s="12" t="inlineStr">
        <is>
          <t>Duct bank</t>
        </is>
      </c>
      <c r="T5906" s="15" t="n">
        <v>346</v>
      </c>
      <c r="U5906" s="15" t="n">
        <v>32</v>
      </c>
      <c r="V5906" s="15">
        <f>ROUNDUP((T5906+U5906+2*'Read Me'!$B$13)*(1+'Read Me'!$B$12),-1)</f>
        <v/>
      </c>
      <c r="W5906" s="15">
        <f>V5906*N5906*O5906</f>
        <v/>
      </c>
      <c r="X5906" s="12">
        <f>IF(LEFT(I5906,2)="MV",2*N5906*IF(L5906="1/C",O5906,1),0)</f>
        <v/>
      </c>
      <c r="Y5906" s="12">
        <f>IF(OR(LEFT(K5906,4)="LVAX",LEFT(K5906,6)="MV15AX",LEFT(K5906,4)="CTAX",LEFT(K5906,2)="W|"),2*N5906*O5906,0)</f>
        <v/>
      </c>
      <c r="Z5906" s="12" t="inlineStr"/>
      <c r="AA5906" s="12">
        <f>N5906*O5906</f>
        <v/>
      </c>
    </row>
    <row r="5907">
      <c r="A5907" s="12" t="inlineStr">
        <is>
          <t>K-I-0033</t>
        </is>
      </c>
      <c r="B5907" s="12" t="inlineStr">
        <is>
          <t>K</t>
        </is>
      </c>
      <c r="C5907" s="12" t="inlineStr">
        <is>
          <t>Fuel supply (adjacent market)</t>
        </is>
      </c>
      <c r="D5907" s="12" t="inlineStr">
        <is>
          <t>Analog instrument to JB JB-H2 23: dry coolers-AI01: 12 x 1 pr (field cables)</t>
        </is>
      </c>
      <c r="E5907" s="12" t="inlineStr"/>
      <c r="F5907" s="12" t="inlineStr">
        <is>
          <t>H2 23: dry coolers</t>
        </is>
      </c>
      <c r="G5907" s="12" t="inlineStr">
        <is>
          <t>JB-H2 23: dry coolers-AI01</t>
        </is>
      </c>
      <c r="H5907" s="12" t="inlineStr">
        <is>
          <t>H2 23: dry coolers</t>
        </is>
      </c>
      <c r="I5907" s="12" t="inlineStr">
        <is>
          <t>Instrumentation</t>
        </is>
      </c>
      <c r="J5907" s="12" t="inlineStr">
        <is>
          <t>Instrumentation ITC / PLTC, IS, #18 shielded pairs, blue jacket</t>
        </is>
      </c>
      <c r="K5907" s="12" t="inlineStr">
        <is>
          <t>ITC|1 pr|16</t>
        </is>
      </c>
      <c r="L5907" s="12" t="inlineStr">
        <is>
          <t>1 pr</t>
        </is>
      </c>
      <c r="M5907" s="12" t="inlineStr">
        <is>
          <t>16</t>
        </is>
      </c>
      <c r="N5907" s="12" t="n">
        <v>12</v>
      </c>
      <c r="O5907" s="12" t="n">
        <v>1</v>
      </c>
      <c r="P5907" s="12" t="n"/>
      <c r="Q5907" s="12" t="n"/>
      <c r="R5907" s="12" t="n"/>
      <c r="S5907" s="12" t="inlineStr">
        <is>
          <t>Tray / conduit</t>
        </is>
      </c>
      <c r="T5907" s="15" t="n">
        <v>111</v>
      </c>
      <c r="U5907" s="15" t="n">
        <v>10</v>
      </c>
      <c r="V5907" s="15">
        <f>ROUNDUP((T5907+U5907+2*'Read Me'!$B$13)*(1+'Read Me'!$B$12),-1)</f>
        <v/>
      </c>
      <c r="W5907" s="15">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K-I-0034</t>
        </is>
      </c>
      <c r="B5908" s="12" t="inlineStr">
        <is>
          <t>K</t>
        </is>
      </c>
      <c r="C5908" s="12" t="inlineStr">
        <is>
          <t>Fuel supply (adjacent market)</t>
        </is>
      </c>
      <c r="D5908" s="12" t="inlineStr">
        <is>
          <t>Home run JB-H2 23: dry coolers-AI01 to the control / marshalling room</t>
        </is>
      </c>
      <c r="E5908" s="12" t="inlineStr"/>
      <c r="F5908" s="12" t="inlineStr">
        <is>
          <t>H2 20: 13.8 kV e-house</t>
        </is>
      </c>
      <c r="G5908" s="12" t="inlineStr">
        <is>
          <t>JB-H2 23: dry coolers-AI01</t>
        </is>
      </c>
      <c r="H5908" s="12" t="inlineStr">
        <is>
          <t>H2 23: dry coolers</t>
        </is>
      </c>
      <c r="I5908" s="12" t="inlineStr">
        <is>
          <t>Instrumentation</t>
        </is>
      </c>
      <c r="J5908" s="12" t="inlineStr">
        <is>
          <t>Instrumentation ITC / PLTC, IS, #18 shielded pairs, blue jacket</t>
        </is>
      </c>
      <c r="K5908" s="12" t="inlineStr">
        <is>
          <t>ITC|24 pr|18</t>
        </is>
      </c>
      <c r="L5908" s="12" t="inlineStr">
        <is>
          <t>24 pr</t>
        </is>
      </c>
      <c r="M5908" s="12" t="inlineStr">
        <is>
          <t>18</t>
        </is>
      </c>
      <c r="N5908" s="12" t="n">
        <v>1</v>
      </c>
      <c r="O5908" s="12" t="n">
        <v>1</v>
      </c>
      <c r="P5908" s="12" t="n"/>
      <c r="Q5908" s="12" t="n"/>
      <c r="R5908" s="12" t="n"/>
      <c r="S5908" s="12" t="inlineStr">
        <is>
          <t>Duct bank</t>
        </is>
      </c>
      <c r="T5908" s="15" t="n">
        <v>100</v>
      </c>
      <c r="U5908" s="15" t="n">
        <v>32</v>
      </c>
      <c r="V5908" s="15">
        <f>ROUNDUP((T5908+U5908+2*'Read Me'!$B$13)*(1+'Read Me'!$B$12),-1)</f>
        <v/>
      </c>
      <c r="W5908" s="15">
        <f>V5908*N5908*O5908</f>
        <v/>
      </c>
      <c r="X5908" s="12">
        <f>IF(LEFT(I5908,2)="MV",2*N5908*IF(L5908="1/C",O5908,1),0)</f>
        <v/>
      </c>
      <c r="Y5908" s="12">
        <f>IF(OR(LEFT(K5908,4)="LVAX",LEFT(K5908,6)="MV15AX",LEFT(K5908,4)="CTAX",LEFT(K5908,2)="W|"),2*N5908*O5908,0)</f>
        <v/>
      </c>
      <c r="Z5908" s="12" t="inlineStr"/>
      <c r="AA5908" s="12">
        <f>N5908*O5908</f>
        <v/>
      </c>
    </row>
    <row r="5909">
      <c r="A5909" s="12" t="inlineStr">
        <is>
          <t>K-I-0035</t>
        </is>
      </c>
      <c r="B5909" s="12" t="inlineStr">
        <is>
          <t>K</t>
        </is>
      </c>
      <c r="C5909" s="12" t="inlineStr">
        <is>
          <t>Fuel supply (adjacent market)</t>
        </is>
      </c>
      <c r="D5909" s="12" t="inlineStr">
        <is>
          <t>Discrete device to JB JB-H2 23: dry coolers-DI01: 12 x 1 pr (field cables)</t>
        </is>
      </c>
      <c r="E5909" s="12" t="inlineStr"/>
      <c r="F5909" s="12" t="inlineStr">
        <is>
          <t>H2 23: dry coolers</t>
        </is>
      </c>
      <c r="G5909" s="12" t="inlineStr">
        <is>
          <t>JB-H2 23: dry coolers-DI01</t>
        </is>
      </c>
      <c r="H5909" s="12" t="inlineStr">
        <is>
          <t>H2 23: dry coolers</t>
        </is>
      </c>
      <c r="I5909" s="12" t="inlineStr">
        <is>
          <t>Instrumentation</t>
        </is>
      </c>
      <c r="J5909" s="12" t="inlineStr">
        <is>
          <t>Instrumentation ITC / PLTC, IS, #18 shielded pairs, blue jacket</t>
        </is>
      </c>
      <c r="K5909" s="12" t="inlineStr">
        <is>
          <t>ITC|1 pr|16</t>
        </is>
      </c>
      <c r="L5909" s="12" t="inlineStr">
        <is>
          <t>1 pr</t>
        </is>
      </c>
      <c r="M5909" s="12" t="inlineStr">
        <is>
          <t>16</t>
        </is>
      </c>
      <c r="N5909" s="12" t="n">
        <v>12</v>
      </c>
      <c r="O5909" s="12" t="n">
        <v>1</v>
      </c>
      <c r="P5909" s="12" t="n"/>
      <c r="Q5909" s="12" t="n"/>
      <c r="R5909" s="12" t="n"/>
      <c r="S5909" s="12" t="inlineStr">
        <is>
          <t>Tray / conduit</t>
        </is>
      </c>
      <c r="T5909" s="15" t="n">
        <v>111</v>
      </c>
      <c r="U5909" s="15" t="n">
        <v>10</v>
      </c>
      <c r="V5909" s="15">
        <f>ROUNDUP((T5909+U5909+2*'Read Me'!$B$13)*(1+'Read Me'!$B$12),-1)</f>
        <v/>
      </c>
      <c r="W5909" s="15">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K-I-0036</t>
        </is>
      </c>
      <c r="B5910" s="12" t="inlineStr">
        <is>
          <t>K</t>
        </is>
      </c>
      <c r="C5910" s="12" t="inlineStr">
        <is>
          <t>Fuel supply (adjacent market)</t>
        </is>
      </c>
      <c r="D5910" s="12" t="inlineStr">
        <is>
          <t>Home run JB-H2 23: dry coolers-DI01 to the control / marshalling room</t>
        </is>
      </c>
      <c r="E5910" s="12" t="inlineStr"/>
      <c r="F5910" s="12" t="inlineStr">
        <is>
          <t>H2 20: 13.8 kV e-house</t>
        </is>
      </c>
      <c r="G5910" s="12" t="inlineStr">
        <is>
          <t>JB-H2 23: dry coolers-DI01</t>
        </is>
      </c>
      <c r="H5910" s="12" t="inlineStr">
        <is>
          <t>H2 23: dry coolers</t>
        </is>
      </c>
      <c r="I5910" s="12" t="inlineStr">
        <is>
          <t>Instrumentation</t>
        </is>
      </c>
      <c r="J5910" s="12" t="inlineStr">
        <is>
          <t>Instrumentation ITC / PLTC, IS, #18 shielded pairs, blue jacket</t>
        </is>
      </c>
      <c r="K5910" s="12" t="inlineStr">
        <is>
          <t>ITC|24 pr|18</t>
        </is>
      </c>
      <c r="L5910" s="12" t="inlineStr">
        <is>
          <t>24 pr</t>
        </is>
      </c>
      <c r="M5910" s="12" t="inlineStr">
        <is>
          <t>18</t>
        </is>
      </c>
      <c r="N5910" s="12" t="n">
        <v>1</v>
      </c>
      <c r="O5910" s="12" t="n">
        <v>1</v>
      </c>
      <c r="P5910" s="12" t="n"/>
      <c r="Q5910" s="12" t="n"/>
      <c r="R5910" s="12" t="n"/>
      <c r="S5910" s="12" t="inlineStr">
        <is>
          <t>Duct bank</t>
        </is>
      </c>
      <c r="T5910" s="15" t="n">
        <v>100</v>
      </c>
      <c r="U5910" s="15" t="n">
        <v>32</v>
      </c>
      <c r="V5910" s="15">
        <f>ROUNDUP((T5910+U5910+2*'Read Me'!$B$13)*(1+'Read Me'!$B$12),-1)</f>
        <v/>
      </c>
      <c r="W5910" s="15">
        <f>V5910*N5910*O5910</f>
        <v/>
      </c>
      <c r="X5910" s="12">
        <f>IF(LEFT(I5910,2)="MV",2*N5910*IF(L5910="1/C",O5910,1),0)</f>
        <v/>
      </c>
      <c r="Y5910" s="12">
        <f>IF(OR(LEFT(K5910,4)="LVAX",LEFT(K5910,6)="MV15AX",LEFT(K5910,4)="CTAX",LEFT(K5910,2)="W|"),2*N5910*O5910,0)</f>
        <v/>
      </c>
      <c r="Z5910" s="12" t="inlineStr"/>
      <c r="AA5910" s="12">
        <f>N5910*O5910</f>
        <v/>
      </c>
    </row>
    <row r="5911">
      <c r="A5911" s="12" t="inlineStr">
        <is>
          <t>K-I-0037</t>
        </is>
      </c>
      <c r="B5911" s="12" t="inlineStr">
        <is>
          <t>K</t>
        </is>
      </c>
      <c r="C5911" s="12" t="inlineStr">
        <is>
          <t>Fuel supply (adjacent market)</t>
        </is>
      </c>
      <c r="D5911" s="12" t="inlineStr">
        <is>
          <t>Analog instrument to JB JB-H2 24: water purif-AI01: 12 x 1 pr (field cables)</t>
        </is>
      </c>
      <c r="E5911" s="12" t="inlineStr"/>
      <c r="F5911" s="12" t="inlineStr">
        <is>
          <t>H2 24: water purification (RO / EDI)</t>
        </is>
      </c>
      <c r="G5911" s="12" t="inlineStr">
        <is>
          <t>JB-H2 24: water purif-AI01</t>
        </is>
      </c>
      <c r="H5911" s="12" t="inlineStr">
        <is>
          <t>H2 24: water purification (RO / EDI)</t>
        </is>
      </c>
      <c r="I5911" s="12" t="inlineStr">
        <is>
          <t>Instrumentation</t>
        </is>
      </c>
      <c r="J5911" s="12" t="inlineStr">
        <is>
          <t>Instrumentation ITC / PLTC, IS, #18 shielded pairs, blue jacket</t>
        </is>
      </c>
      <c r="K5911" s="12" t="inlineStr">
        <is>
          <t>ITC|1 pr|16</t>
        </is>
      </c>
      <c r="L5911" s="12" t="inlineStr">
        <is>
          <t>1 pr</t>
        </is>
      </c>
      <c r="M5911" s="12" t="inlineStr">
        <is>
          <t>16</t>
        </is>
      </c>
      <c r="N5911" s="12" t="n">
        <v>12</v>
      </c>
      <c r="O5911" s="12" t="n">
        <v>1</v>
      </c>
      <c r="P5911" s="12" t="n"/>
      <c r="Q5911" s="12" t="n"/>
      <c r="R5911" s="12" t="n"/>
      <c r="S5911" s="12" t="inlineStr">
        <is>
          <t>Tray / conduit</t>
        </is>
      </c>
      <c r="T5911" s="15" t="n">
        <v>60</v>
      </c>
      <c r="U5911" s="15" t="n">
        <v>10</v>
      </c>
      <c r="V5911" s="15">
        <f>ROUNDUP((T5911+U5911+2*'Read Me'!$B$13)*(1+'Read Me'!$B$12),-1)</f>
        <v/>
      </c>
      <c r="W5911" s="15">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K-I-0038</t>
        </is>
      </c>
      <c r="B5912" s="12" t="inlineStr">
        <is>
          <t>K</t>
        </is>
      </c>
      <c r="C5912" s="12" t="inlineStr">
        <is>
          <t>Fuel supply (adjacent market)</t>
        </is>
      </c>
      <c r="D5912" s="12" t="inlineStr">
        <is>
          <t>Home run JB-H2 24: water purif-AI01 to the control / marshalling room</t>
        </is>
      </c>
      <c r="E5912" s="12" t="inlineStr"/>
      <c r="F5912" s="12" t="inlineStr">
        <is>
          <t>H2 20: 13.8 kV e-house</t>
        </is>
      </c>
      <c r="G5912" s="12" t="inlineStr">
        <is>
          <t>JB-H2 24: water purif-AI01</t>
        </is>
      </c>
      <c r="H5912" s="12" t="inlineStr">
        <is>
          <t>H2 24: water purification (RO / EDI)</t>
        </is>
      </c>
      <c r="I5912" s="12" t="inlineStr">
        <is>
          <t>Instrumentation</t>
        </is>
      </c>
      <c r="J5912" s="12" t="inlineStr">
        <is>
          <t>Instrumentation ITC / PLTC, IS, #18 shielded pairs, blue jacket</t>
        </is>
      </c>
      <c r="K5912" s="12" t="inlineStr">
        <is>
          <t>ITC|24 pr|18</t>
        </is>
      </c>
      <c r="L5912" s="12" t="inlineStr">
        <is>
          <t>24 pr</t>
        </is>
      </c>
      <c r="M5912" s="12" t="inlineStr">
        <is>
          <t>18</t>
        </is>
      </c>
      <c r="N5912" s="12" t="n">
        <v>1</v>
      </c>
      <c r="O5912" s="12" t="n">
        <v>1</v>
      </c>
      <c r="P5912" s="12" t="n"/>
      <c r="Q5912" s="12" t="n"/>
      <c r="R5912" s="12" t="n"/>
      <c r="S5912" s="12" t="inlineStr">
        <is>
          <t>Duct bank</t>
        </is>
      </c>
      <c r="T5912" s="15" t="n">
        <v>146</v>
      </c>
      <c r="U5912" s="15" t="n">
        <v>32</v>
      </c>
      <c r="V5912" s="15">
        <f>ROUNDUP((T5912+U5912+2*'Read Me'!$B$13)*(1+'Read Me'!$B$12),-1)</f>
        <v/>
      </c>
      <c r="W5912" s="15">
        <f>V5912*N5912*O5912</f>
        <v/>
      </c>
      <c r="X5912" s="12">
        <f>IF(LEFT(I5912,2)="MV",2*N5912*IF(L5912="1/C",O5912,1),0)</f>
        <v/>
      </c>
      <c r="Y5912" s="12">
        <f>IF(OR(LEFT(K5912,4)="LVAX",LEFT(K5912,6)="MV15AX",LEFT(K5912,4)="CTAX",LEFT(K5912,2)="W|"),2*N5912*O5912,0)</f>
        <v/>
      </c>
      <c r="Z5912" s="12" t="inlineStr"/>
      <c r="AA5912" s="12">
        <f>N5912*O5912</f>
        <v/>
      </c>
    </row>
    <row r="5913">
      <c r="A5913" s="12" t="inlineStr">
        <is>
          <t>K-I-0039</t>
        </is>
      </c>
      <c r="B5913" s="12" t="inlineStr">
        <is>
          <t>K</t>
        </is>
      </c>
      <c r="C5913" s="12" t="inlineStr">
        <is>
          <t>Fuel supply (adjacent market)</t>
        </is>
      </c>
      <c r="D5913" s="12" t="inlineStr">
        <is>
          <t>Discrete device to JB JB-H2 24: water purif-DI01: 12 x 1 pr (field cables)</t>
        </is>
      </c>
      <c r="E5913" s="12" t="inlineStr"/>
      <c r="F5913" s="12" t="inlineStr">
        <is>
          <t>H2 24: water purification (RO / EDI)</t>
        </is>
      </c>
      <c r="G5913" s="12" t="inlineStr">
        <is>
          <t>JB-H2 24: water purif-DI01</t>
        </is>
      </c>
      <c r="H5913" s="12" t="inlineStr">
        <is>
          <t>H2 24: water purification (RO / EDI)</t>
        </is>
      </c>
      <c r="I5913" s="12" t="inlineStr">
        <is>
          <t>Instrumentation</t>
        </is>
      </c>
      <c r="J5913" s="12" t="inlineStr">
        <is>
          <t>Instrumentation ITC / PLTC, IS, #18 shielded pairs, blue jacket</t>
        </is>
      </c>
      <c r="K5913" s="12" t="inlineStr">
        <is>
          <t>ITC|1 pr|16</t>
        </is>
      </c>
      <c r="L5913" s="12" t="inlineStr">
        <is>
          <t>1 pr</t>
        </is>
      </c>
      <c r="M5913" s="12" t="inlineStr">
        <is>
          <t>16</t>
        </is>
      </c>
      <c r="N5913" s="12" t="n">
        <v>12</v>
      </c>
      <c r="O5913" s="12" t="n">
        <v>1</v>
      </c>
      <c r="P5913" s="12" t="n"/>
      <c r="Q5913" s="12" t="n"/>
      <c r="R5913" s="12" t="n"/>
      <c r="S5913" s="12" t="inlineStr">
        <is>
          <t>Tray / conduit</t>
        </is>
      </c>
      <c r="T5913" s="15" t="n">
        <v>60</v>
      </c>
      <c r="U5913" s="15" t="n">
        <v>10</v>
      </c>
      <c r="V5913" s="15">
        <f>ROUNDUP((T5913+U5913+2*'Read Me'!$B$13)*(1+'Read Me'!$B$12),-1)</f>
        <v/>
      </c>
      <c r="W5913" s="15">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K-I-0040</t>
        </is>
      </c>
      <c r="B5914" s="12" t="inlineStr">
        <is>
          <t>K</t>
        </is>
      </c>
      <c r="C5914" s="12" t="inlineStr">
        <is>
          <t>Fuel supply (adjacent market)</t>
        </is>
      </c>
      <c r="D5914" s="12" t="inlineStr">
        <is>
          <t>Home run JB-H2 24: water purif-DI01 to the control / marshalling room</t>
        </is>
      </c>
      <c r="E5914" s="12" t="inlineStr"/>
      <c r="F5914" s="12" t="inlineStr">
        <is>
          <t>H2 20: 13.8 kV e-house</t>
        </is>
      </c>
      <c r="G5914" s="12" t="inlineStr">
        <is>
          <t>JB-H2 24: water purif-DI01</t>
        </is>
      </c>
      <c r="H5914" s="12" t="inlineStr">
        <is>
          <t>H2 24: water purification (RO / EDI)</t>
        </is>
      </c>
      <c r="I5914" s="12" t="inlineStr">
        <is>
          <t>Instrumentation</t>
        </is>
      </c>
      <c r="J5914" s="12" t="inlineStr">
        <is>
          <t>Instrumentation ITC / PLTC, IS, #18 shielded pairs, blue jacket</t>
        </is>
      </c>
      <c r="K5914" s="12" t="inlineStr">
        <is>
          <t>ITC|24 pr|18</t>
        </is>
      </c>
      <c r="L5914" s="12" t="inlineStr">
        <is>
          <t>24 pr</t>
        </is>
      </c>
      <c r="M5914" s="12" t="inlineStr">
        <is>
          <t>18</t>
        </is>
      </c>
      <c r="N5914" s="12" t="n">
        <v>1</v>
      </c>
      <c r="O5914" s="12" t="n">
        <v>1</v>
      </c>
      <c r="P5914" s="12" t="n"/>
      <c r="Q5914" s="12" t="n"/>
      <c r="R5914" s="12" t="n"/>
      <c r="S5914" s="12" t="inlineStr">
        <is>
          <t>Duct bank</t>
        </is>
      </c>
      <c r="T5914" s="15" t="n">
        <v>146</v>
      </c>
      <c r="U5914" s="15" t="n">
        <v>32</v>
      </c>
      <c r="V5914" s="15">
        <f>ROUNDUP((T5914+U5914+2*'Read Me'!$B$13)*(1+'Read Me'!$B$12),-1)</f>
        <v/>
      </c>
      <c r="W5914" s="15">
        <f>V5914*N5914*O5914</f>
        <v/>
      </c>
      <c r="X5914" s="12">
        <f>IF(LEFT(I5914,2)="MV",2*N5914*IF(L5914="1/C",O5914,1),0)</f>
        <v/>
      </c>
      <c r="Y5914" s="12">
        <f>IF(OR(LEFT(K5914,4)="LVAX",LEFT(K5914,6)="MV15AX",LEFT(K5914,4)="CTAX",LEFT(K5914,2)="W|"),2*N5914*O5914,0)</f>
        <v/>
      </c>
      <c r="Z5914" s="12" t="inlineStr"/>
      <c r="AA5914" s="12">
        <f>N5914*O5914</f>
        <v/>
      </c>
    </row>
    <row r="5915">
      <c r="A5915" s="12" t="inlineStr">
        <is>
          <t>K-I-0041</t>
        </is>
      </c>
      <c r="B5915" s="12" t="inlineStr">
        <is>
          <t>K</t>
        </is>
      </c>
      <c r="C5915" s="12" t="inlineStr">
        <is>
          <t>Fuel supply (adjacent market)</t>
        </is>
      </c>
      <c r="D5915" s="12" t="inlineStr">
        <is>
          <t>Analog instrument to JB JB-H2 25: H2 dryer / -AI01: 12 x 1 pr (field cables)</t>
        </is>
      </c>
      <c r="E5915" s="12" t="inlineStr"/>
      <c r="F5915" s="12" t="inlineStr">
        <is>
          <t>H2 25: H2 dryer / purification</t>
        </is>
      </c>
      <c r="G5915" s="12" t="inlineStr">
        <is>
          <t>JB-H2 25: H2 dryer / -AI01</t>
        </is>
      </c>
      <c r="H5915" s="12" t="inlineStr">
        <is>
          <t>H2 25: H2 dryer / purification</t>
        </is>
      </c>
      <c r="I5915" s="12" t="inlineStr">
        <is>
          <t>Instrumentation</t>
        </is>
      </c>
      <c r="J5915" s="12" t="inlineStr">
        <is>
          <t>Instrumentation ITC / PLTC, IS, #18 shielded pairs, blue jacket</t>
        </is>
      </c>
      <c r="K5915" s="12" t="inlineStr">
        <is>
          <t>ITC|1 pr|16</t>
        </is>
      </c>
      <c r="L5915" s="12" t="inlineStr">
        <is>
          <t>1 pr</t>
        </is>
      </c>
      <c r="M5915" s="12" t="inlineStr">
        <is>
          <t>16</t>
        </is>
      </c>
      <c r="N5915" s="12" t="n">
        <v>12</v>
      </c>
      <c r="O5915" s="12" t="n">
        <v>1</v>
      </c>
      <c r="P5915" s="12" t="n"/>
      <c r="Q5915" s="12" t="n"/>
      <c r="R5915" s="12" t="n"/>
      <c r="S5915" s="12" t="inlineStr">
        <is>
          <t>Tray / conduit</t>
        </is>
      </c>
      <c r="T5915" s="15" t="n">
        <v>60</v>
      </c>
      <c r="U5915" s="15" t="n">
        <v>10</v>
      </c>
      <c r="V5915" s="15">
        <f>ROUNDUP((T5915+U5915+2*'Read Me'!$B$13)*(1+'Read Me'!$B$12),-1)</f>
        <v/>
      </c>
      <c r="W5915" s="15">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K-I-0042</t>
        </is>
      </c>
      <c r="B5916" s="12" t="inlineStr">
        <is>
          <t>K</t>
        </is>
      </c>
      <c r="C5916" s="12" t="inlineStr">
        <is>
          <t>Fuel supply (adjacent market)</t>
        </is>
      </c>
      <c r="D5916" s="12" t="inlineStr">
        <is>
          <t>Home run JB-H2 25: H2 dryer / -AI01 to the control / marshalling room</t>
        </is>
      </c>
      <c r="E5916" s="12" t="inlineStr"/>
      <c r="F5916" s="12" t="inlineStr">
        <is>
          <t>H2 20: 13.8 kV e-house</t>
        </is>
      </c>
      <c r="G5916" s="12" t="inlineStr">
        <is>
          <t>JB-H2 25: H2 dryer / -AI01</t>
        </is>
      </c>
      <c r="H5916" s="12" t="inlineStr">
        <is>
          <t>H2 25: H2 dryer / purification</t>
        </is>
      </c>
      <c r="I5916" s="12" t="inlineStr">
        <is>
          <t>Instrumentation</t>
        </is>
      </c>
      <c r="J5916" s="12" t="inlineStr">
        <is>
          <t>Instrumentation ITC / PLTC, IS, #18 shielded pairs, blue jacket</t>
        </is>
      </c>
      <c r="K5916" s="12" t="inlineStr">
        <is>
          <t>ITC|24 pr|18</t>
        </is>
      </c>
      <c r="L5916" s="12" t="inlineStr">
        <is>
          <t>24 pr</t>
        </is>
      </c>
      <c r="M5916" s="12" t="inlineStr">
        <is>
          <t>18</t>
        </is>
      </c>
      <c r="N5916" s="12" t="n">
        <v>1</v>
      </c>
      <c r="O5916" s="12" t="n">
        <v>1</v>
      </c>
      <c r="P5916" s="12" t="n"/>
      <c r="Q5916" s="12" t="n"/>
      <c r="R5916" s="12" t="n"/>
      <c r="S5916" s="12" t="inlineStr">
        <is>
          <t>Duct bank</t>
        </is>
      </c>
      <c r="T5916" s="15" t="n">
        <v>0</v>
      </c>
      <c r="U5916" s="15" t="n">
        <v>49</v>
      </c>
      <c r="V5916" s="15">
        <f>ROUNDUP((T5916+U5916+2*'Read Me'!$B$13)*(1+'Read Me'!$B$12),-1)</f>
        <v/>
      </c>
      <c r="W5916" s="15">
        <f>V5916*N5916*O5916</f>
        <v/>
      </c>
      <c r="X5916" s="12">
        <f>IF(LEFT(I5916,2)="MV",2*N5916*IF(L5916="1/C",O5916,1),0)</f>
        <v/>
      </c>
      <c r="Y5916" s="12">
        <f>IF(OR(LEFT(K5916,4)="LVAX",LEFT(K5916,6)="MV15AX",LEFT(K5916,4)="CTAX",LEFT(K5916,2)="W|"),2*N5916*O5916,0)</f>
        <v/>
      </c>
      <c r="Z5916" s="12" t="inlineStr"/>
      <c r="AA5916" s="12">
        <f>N5916*O5916</f>
        <v/>
      </c>
    </row>
    <row r="5917">
      <c r="A5917" s="12" t="inlineStr">
        <is>
          <t>K-I-0043</t>
        </is>
      </c>
      <c r="B5917" s="12" t="inlineStr">
        <is>
          <t>K</t>
        </is>
      </c>
      <c r="C5917" s="12" t="inlineStr">
        <is>
          <t>Fuel supply (adjacent market)</t>
        </is>
      </c>
      <c r="D5917" s="12" t="inlineStr">
        <is>
          <t>Discrete device to JB JB-H2 25: H2 dryer / -DI01: 12 x 1 pr (field cables)</t>
        </is>
      </c>
      <c r="E5917" s="12" t="inlineStr"/>
      <c r="F5917" s="12" t="inlineStr">
        <is>
          <t>H2 25: H2 dryer / purification</t>
        </is>
      </c>
      <c r="G5917" s="12" t="inlineStr">
        <is>
          <t>JB-H2 25: H2 dryer / -DI01</t>
        </is>
      </c>
      <c r="H5917" s="12" t="inlineStr">
        <is>
          <t>H2 25: H2 dryer / purification</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5" t="n">
        <v>60</v>
      </c>
      <c r="U5917" s="15" t="n">
        <v>10</v>
      </c>
      <c r="V5917" s="15">
        <f>ROUNDUP((T5917+U5917+2*'Read Me'!$B$13)*(1+'Read Me'!$B$12),-1)</f>
        <v/>
      </c>
      <c r="W5917" s="15">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K-I-0044</t>
        </is>
      </c>
      <c r="B5918" s="12" t="inlineStr">
        <is>
          <t>K</t>
        </is>
      </c>
      <c r="C5918" s="12" t="inlineStr">
        <is>
          <t>Fuel supply (adjacent market)</t>
        </is>
      </c>
      <c r="D5918" s="12" t="inlineStr">
        <is>
          <t>Home run JB-H2 25: H2 dryer / -DI01 to the control / marshalling room</t>
        </is>
      </c>
      <c r="E5918" s="12" t="inlineStr"/>
      <c r="F5918" s="12" t="inlineStr">
        <is>
          <t>H2 20: 13.8 kV e-house</t>
        </is>
      </c>
      <c r="G5918" s="12" t="inlineStr">
        <is>
          <t>JB-H2 25: H2 dryer / -DI01</t>
        </is>
      </c>
      <c r="H5918" s="12" t="inlineStr">
        <is>
          <t>H2 25: H2 dryer / purification</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5" t="n">
        <v>0</v>
      </c>
      <c r="U5918" s="15" t="n">
        <v>49</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K-I-0045</t>
        </is>
      </c>
      <c r="B5919" s="12" t="inlineStr">
        <is>
          <t>K</t>
        </is>
      </c>
      <c r="C5919" s="12" t="inlineStr">
        <is>
          <t>Fuel supply (adjacent market)</t>
        </is>
      </c>
      <c r="D5919" s="12" t="inlineStr">
        <is>
          <t>Analog instrument to JB JB-H2 26: H2 compress-AI01: 12 x 1 pr (field cables)</t>
        </is>
      </c>
      <c r="E5919" s="12" t="inlineStr"/>
      <c r="F5919" s="12" t="inlineStr">
        <is>
          <t>H2 26: H2 compressor 1 (40 ft ISO)</t>
        </is>
      </c>
      <c r="G5919" s="12" t="inlineStr">
        <is>
          <t>JB-H2 26: H2 compress-AI01</t>
        </is>
      </c>
      <c r="H5919" s="12" t="inlineStr">
        <is>
          <t>H2 26: H2 compressor 1 (40 ft ISO)</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5" t="n">
        <v>53</v>
      </c>
      <c r="U5919" s="15" t="n">
        <v>10</v>
      </c>
      <c r="V5919" s="15">
        <f>ROUNDUP((T5919+U5919+2*'Read Me'!$B$13)*(1+'Read Me'!$B$12),-1)</f>
        <v/>
      </c>
      <c r="W5919" s="15">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K-I-0046</t>
        </is>
      </c>
      <c r="B5920" s="12" t="inlineStr">
        <is>
          <t>K</t>
        </is>
      </c>
      <c r="C5920" s="12" t="inlineStr">
        <is>
          <t>Fuel supply (adjacent market)</t>
        </is>
      </c>
      <c r="D5920" s="12" t="inlineStr">
        <is>
          <t>Home run JB-H2 26: H2 compress-AI01 to the control / marshalling room</t>
        </is>
      </c>
      <c r="E5920" s="12" t="inlineStr"/>
      <c r="F5920" s="12" t="inlineStr">
        <is>
          <t>H2 20: 13.8 kV e-house</t>
        </is>
      </c>
      <c r="G5920" s="12" t="inlineStr">
        <is>
          <t>JB-H2 26: H2 compress-AI01</t>
        </is>
      </c>
      <c r="H5920" s="12" t="inlineStr">
        <is>
          <t>H2 26: H2 compressor 1 (40 ft ISO)</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5" t="n">
        <v>50</v>
      </c>
      <c r="U5920" s="15" t="n">
        <v>32</v>
      </c>
      <c r="V5920" s="15">
        <f>ROUNDUP((T5920+U5920+2*'Read Me'!$B$13)*(1+'Read Me'!$B$12),-1)</f>
        <v/>
      </c>
      <c r="W5920" s="15">
        <f>V5920*N5920*O5920</f>
        <v/>
      </c>
      <c r="X5920" s="12">
        <f>IF(LEFT(I5920,2)="MV",2*N5920*IF(L5920="1/C",O5920,1),0)</f>
        <v/>
      </c>
      <c r="Y5920" s="12">
        <f>IF(OR(LEFT(K5920,4)="LVAX",LEFT(K5920,6)="MV15AX",LEFT(K5920,4)="CTAX",LEFT(K5920,2)="W|"),2*N5920*O5920,0)</f>
        <v/>
      </c>
      <c r="Z5920" s="12" t="inlineStr"/>
      <c r="AA5920" s="12">
        <f>N5920*O5920</f>
        <v/>
      </c>
    </row>
    <row r="5921">
      <c r="A5921" s="12" t="inlineStr">
        <is>
          <t>K-I-0047</t>
        </is>
      </c>
      <c r="B5921" s="12" t="inlineStr">
        <is>
          <t>K</t>
        </is>
      </c>
      <c r="C5921" s="12" t="inlineStr">
        <is>
          <t>Fuel supply (adjacent market)</t>
        </is>
      </c>
      <c r="D5921" s="12" t="inlineStr">
        <is>
          <t>Discrete device to JB JB-H2 26: H2 compress-DI01: 12 x 1 pr (field cables)</t>
        </is>
      </c>
      <c r="E5921" s="12" t="inlineStr"/>
      <c r="F5921" s="12" t="inlineStr">
        <is>
          <t>H2 26: H2 compressor 1 (40 ft ISO)</t>
        </is>
      </c>
      <c r="G5921" s="12" t="inlineStr">
        <is>
          <t>JB-H2 26: H2 compress-DI01</t>
        </is>
      </c>
      <c r="H5921" s="12" t="inlineStr">
        <is>
          <t>H2 26: H2 compressor 1 (40 ft ISO)</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5" t="n">
        <v>53</v>
      </c>
      <c r="U5921" s="15" t="n">
        <v>10</v>
      </c>
      <c r="V5921" s="15">
        <f>ROUNDUP((T5921+U5921+2*'Read Me'!$B$13)*(1+'Read Me'!$B$12),-1)</f>
        <v/>
      </c>
      <c r="W5921" s="15">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K-I-0048</t>
        </is>
      </c>
      <c r="B5922" s="12" t="inlineStr">
        <is>
          <t>K</t>
        </is>
      </c>
      <c r="C5922" s="12" t="inlineStr">
        <is>
          <t>Fuel supply (adjacent market)</t>
        </is>
      </c>
      <c r="D5922" s="12" t="inlineStr">
        <is>
          <t>Home run JB-H2 26: H2 compress-DI01 to the control / marshalling room</t>
        </is>
      </c>
      <c r="E5922" s="12" t="inlineStr"/>
      <c r="F5922" s="12" t="inlineStr">
        <is>
          <t>H2 20: 13.8 kV e-house</t>
        </is>
      </c>
      <c r="G5922" s="12" t="inlineStr">
        <is>
          <t>JB-H2 26: H2 compress-DI01</t>
        </is>
      </c>
      <c r="H5922" s="12" t="inlineStr">
        <is>
          <t>H2 26: H2 compressor 1 (40 ft ISO)</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Duct bank</t>
        </is>
      </c>
      <c r="T5922" s="15" t="n">
        <v>50</v>
      </c>
      <c r="U5922" s="15" t="n">
        <v>32</v>
      </c>
      <c r="V5922" s="15">
        <f>ROUNDUP((T5922+U5922+2*'Read Me'!$B$13)*(1+'Read Me'!$B$12),-1)</f>
        <v/>
      </c>
      <c r="W5922" s="15">
        <f>V5922*N5922*O5922</f>
        <v/>
      </c>
      <c r="X5922" s="12">
        <f>IF(LEFT(I5922,2)="MV",2*N5922*IF(L5922="1/C",O5922,1),0)</f>
        <v/>
      </c>
      <c r="Y5922" s="12">
        <f>IF(OR(LEFT(K5922,4)="LVAX",LEFT(K5922,6)="MV15AX",LEFT(K5922,4)="CTAX",LEFT(K5922,2)="W|"),2*N5922*O5922,0)</f>
        <v/>
      </c>
      <c r="Z5922" s="12" t="inlineStr"/>
      <c r="AA5922" s="12">
        <f>N5922*O5922</f>
        <v/>
      </c>
    </row>
    <row r="5923">
      <c r="A5923" s="12" t="inlineStr">
        <is>
          <t>K-I-0049</t>
        </is>
      </c>
      <c r="B5923" s="12" t="inlineStr">
        <is>
          <t>K</t>
        </is>
      </c>
      <c r="C5923" s="12" t="inlineStr">
        <is>
          <t>Fuel supply (adjacent market)</t>
        </is>
      </c>
      <c r="D5923" s="12" t="inlineStr">
        <is>
          <t>Analog instrument to JB JB-H2 26: H2 compress-AI01: 12 x 1 pr (field cables)</t>
        </is>
      </c>
      <c r="E5923" s="12" t="inlineStr"/>
      <c r="F5923" s="12" t="inlineStr">
        <is>
          <t>H2 26: H2 compressor 2 (40 ft ISO)</t>
        </is>
      </c>
      <c r="G5923" s="12" t="inlineStr">
        <is>
          <t>JB-H2 26: H2 compress-AI01</t>
        </is>
      </c>
      <c r="H5923" s="12" t="inlineStr">
        <is>
          <t>H2 26: H2 compressor 2 (40 ft ISO)</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5" t="n">
        <v>53</v>
      </c>
      <c r="U5923" s="15" t="n">
        <v>10</v>
      </c>
      <c r="V5923" s="15">
        <f>ROUNDUP((T5923+U5923+2*'Read Me'!$B$13)*(1+'Read Me'!$B$12),-1)</f>
        <v/>
      </c>
      <c r="W5923" s="15">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K-I-0050</t>
        </is>
      </c>
      <c r="B5924" s="12" t="inlineStr">
        <is>
          <t>K</t>
        </is>
      </c>
      <c r="C5924" s="12" t="inlineStr">
        <is>
          <t>Fuel supply (adjacent market)</t>
        </is>
      </c>
      <c r="D5924" s="12" t="inlineStr">
        <is>
          <t>Home run JB-H2 26: H2 compress-AI01 to the control / marshalling room</t>
        </is>
      </c>
      <c r="E5924" s="12" t="inlineStr"/>
      <c r="F5924" s="12" t="inlineStr">
        <is>
          <t>H2 20: 13.8 kV e-house</t>
        </is>
      </c>
      <c r="G5924" s="12" t="inlineStr">
        <is>
          <t>JB-H2 26: H2 compress-AI01</t>
        </is>
      </c>
      <c r="H5924" s="12" t="inlineStr">
        <is>
          <t>H2 26: H2 compressor 2 (40 ft ISO)</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Duct bank</t>
        </is>
      </c>
      <c r="T5924" s="15" t="n">
        <v>50</v>
      </c>
      <c r="U5924" s="15" t="n">
        <v>47</v>
      </c>
      <c r="V5924" s="15">
        <f>ROUNDUP((T5924+U5924+2*'Read Me'!$B$13)*(1+'Read Me'!$B$12),-1)</f>
        <v/>
      </c>
      <c r="W5924" s="15">
        <f>V5924*N5924*O5924</f>
        <v/>
      </c>
      <c r="X5924" s="12">
        <f>IF(LEFT(I5924,2)="MV",2*N5924*IF(L5924="1/C",O5924,1),0)</f>
        <v/>
      </c>
      <c r="Y5924" s="12">
        <f>IF(OR(LEFT(K5924,4)="LVAX",LEFT(K5924,6)="MV15AX",LEFT(K5924,4)="CTAX",LEFT(K5924,2)="W|"),2*N5924*O5924,0)</f>
        <v/>
      </c>
      <c r="Z5924" s="12" t="inlineStr"/>
      <c r="AA5924" s="12">
        <f>N5924*O5924</f>
        <v/>
      </c>
    </row>
    <row r="5925">
      <c r="A5925" s="12" t="inlineStr">
        <is>
          <t>K-I-0051</t>
        </is>
      </c>
      <c r="B5925" s="12" t="inlineStr">
        <is>
          <t>K</t>
        </is>
      </c>
      <c r="C5925" s="12" t="inlineStr">
        <is>
          <t>Fuel supply (adjacent market)</t>
        </is>
      </c>
      <c r="D5925" s="12" t="inlineStr">
        <is>
          <t>Discrete device to JB JB-H2 26: H2 compress-DI01: 12 x 1 pr (field cables)</t>
        </is>
      </c>
      <c r="E5925" s="12" t="inlineStr"/>
      <c r="F5925" s="12" t="inlineStr">
        <is>
          <t>H2 26: H2 compressor 2 (40 ft ISO)</t>
        </is>
      </c>
      <c r="G5925" s="12" t="inlineStr">
        <is>
          <t>JB-H2 26: H2 compress-DI01</t>
        </is>
      </c>
      <c r="H5925" s="12" t="inlineStr">
        <is>
          <t>H2 26: H2 compressor 2 (40 ft ISO)</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5" t="n">
        <v>53</v>
      </c>
      <c r="U5925" s="15" t="n">
        <v>10</v>
      </c>
      <c r="V5925" s="15">
        <f>ROUNDUP((T5925+U5925+2*'Read Me'!$B$13)*(1+'Read Me'!$B$12),-1)</f>
        <v/>
      </c>
      <c r="W5925" s="15">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K-I-0052</t>
        </is>
      </c>
      <c r="B5926" s="12" t="inlineStr">
        <is>
          <t>K</t>
        </is>
      </c>
      <c r="C5926" s="12" t="inlineStr">
        <is>
          <t>Fuel supply (adjacent market)</t>
        </is>
      </c>
      <c r="D5926" s="12" t="inlineStr">
        <is>
          <t>Home run JB-H2 26: H2 compress-DI01 to the control / marshalling room</t>
        </is>
      </c>
      <c r="E5926" s="12" t="inlineStr"/>
      <c r="F5926" s="12" t="inlineStr">
        <is>
          <t>H2 20: 13.8 kV e-house</t>
        </is>
      </c>
      <c r="G5926" s="12" t="inlineStr">
        <is>
          <t>JB-H2 26: H2 compress-DI01</t>
        </is>
      </c>
      <c r="H5926" s="12" t="inlineStr">
        <is>
          <t>H2 26: H2 compressor 2 (40 ft ISO)</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5" t="n">
        <v>50</v>
      </c>
      <c r="U5926" s="15" t="n">
        <v>47</v>
      </c>
      <c r="V5926" s="15">
        <f>ROUNDUP((T5926+U5926+2*'Read Me'!$B$13)*(1+'Read Me'!$B$12),-1)</f>
        <v/>
      </c>
      <c r="W5926" s="15">
        <f>V5926*N5926*O5926</f>
        <v/>
      </c>
      <c r="X5926" s="12">
        <f>IF(LEFT(I5926,2)="MV",2*N5926*IF(L5926="1/C",O5926,1),0)</f>
        <v/>
      </c>
      <c r="Y5926" s="12">
        <f>IF(OR(LEFT(K5926,4)="LVAX",LEFT(K5926,6)="MV15AX",LEFT(K5926,4)="CTAX",LEFT(K5926,2)="W|"),2*N5926*O5926,0)</f>
        <v/>
      </c>
      <c r="Z5926" s="12" t="inlineStr"/>
      <c r="AA5926" s="12">
        <f>N5926*O5926</f>
        <v/>
      </c>
    </row>
    <row r="5927">
      <c r="A5927" s="12" t="inlineStr">
        <is>
          <t>K-I-0053</t>
        </is>
      </c>
      <c r="B5927" s="12" t="inlineStr">
        <is>
          <t>K</t>
        </is>
      </c>
      <c r="C5927" s="12" t="inlineStr">
        <is>
          <t>Fuel supply (adjacent market)</t>
        </is>
      </c>
      <c r="D5927" s="12" t="inlineStr">
        <is>
          <t>Analog instrument to JB JB-H2 27: storage tub-AI01: 12 x 1 pr (field cables)</t>
        </is>
      </c>
      <c r="E5927" s="12" t="inlineStr"/>
      <c r="F5927" s="12" t="inlineStr">
        <is>
          <t>H2 27: storage tube bank (~40 ft tubes)</t>
        </is>
      </c>
      <c r="G5927" s="12" t="inlineStr">
        <is>
          <t>JB-H2 27: storage tub-AI01</t>
        </is>
      </c>
      <c r="H5927" s="12" t="inlineStr">
        <is>
          <t>H2 27: storage tube bank (~40 ft tubes)</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5" t="n">
        <v>54</v>
      </c>
      <c r="U5927" s="15" t="n">
        <v>10</v>
      </c>
      <c r="V5927" s="15">
        <f>ROUNDUP((T5927+U5927+2*'Read Me'!$B$13)*(1+'Read Me'!$B$12),-1)</f>
        <v/>
      </c>
      <c r="W5927" s="15">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K-I-0054</t>
        </is>
      </c>
      <c r="B5928" s="12" t="inlineStr">
        <is>
          <t>K</t>
        </is>
      </c>
      <c r="C5928" s="12" t="inlineStr">
        <is>
          <t>Fuel supply (adjacent market)</t>
        </is>
      </c>
      <c r="D5928" s="12" t="inlineStr">
        <is>
          <t>Home run JB-H2 27: storage tub-AI01 to the control / marshalling room</t>
        </is>
      </c>
      <c r="E5928" s="12" t="inlineStr"/>
      <c r="F5928" s="12" t="inlineStr">
        <is>
          <t>H2 20: 13.8 kV e-house</t>
        </is>
      </c>
      <c r="G5928" s="12" t="inlineStr">
        <is>
          <t>JB-H2 27: storage tub-AI01</t>
        </is>
      </c>
      <c r="H5928" s="12" t="inlineStr">
        <is>
          <t>H2 27: storage tube bank (~40 ft tubes)</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5" t="n">
        <v>50</v>
      </c>
      <c r="U5928" s="15" t="n">
        <v>97</v>
      </c>
      <c r="V5928" s="15">
        <f>ROUNDUP((T5928+U5928+2*'Read Me'!$B$13)*(1+'Read Me'!$B$12),-1)</f>
        <v/>
      </c>
      <c r="W5928" s="15">
        <f>V5928*N5928*O5928</f>
        <v/>
      </c>
      <c r="X5928" s="12">
        <f>IF(LEFT(I5928,2)="MV",2*N5928*IF(L5928="1/C",O5928,1),0)</f>
        <v/>
      </c>
      <c r="Y5928" s="12">
        <f>IF(OR(LEFT(K5928,4)="LVAX",LEFT(K5928,6)="MV15AX",LEFT(K5928,4)="CTAX",LEFT(K5928,2)="W|"),2*N5928*O5928,0)</f>
        <v/>
      </c>
      <c r="Z5928" s="12" t="inlineStr"/>
      <c r="AA5928" s="12">
        <f>N5928*O5928</f>
        <v/>
      </c>
    </row>
    <row r="5929">
      <c r="A5929" s="12" t="inlineStr">
        <is>
          <t>K-I-0055</t>
        </is>
      </c>
      <c r="B5929" s="12" t="inlineStr">
        <is>
          <t>K</t>
        </is>
      </c>
      <c r="C5929" s="12" t="inlineStr">
        <is>
          <t>Fuel supply (adjacent market)</t>
        </is>
      </c>
      <c r="D5929" s="12" t="inlineStr">
        <is>
          <t>Discrete device to JB JB-H2 27: storage tub-DI01: 12 x 1 pr (field cables)</t>
        </is>
      </c>
      <c r="E5929" s="12" t="inlineStr"/>
      <c r="F5929" s="12" t="inlineStr">
        <is>
          <t>H2 27: storage tube bank (~40 ft tubes)</t>
        </is>
      </c>
      <c r="G5929" s="12" t="inlineStr">
        <is>
          <t>JB-H2 27: storage tub-DI01</t>
        </is>
      </c>
      <c r="H5929" s="12" t="inlineStr">
        <is>
          <t>H2 27: storage tube bank (~40 ft tubes)</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5" t="n">
        <v>54</v>
      </c>
      <c r="U5929" s="15" t="n">
        <v>10</v>
      </c>
      <c r="V5929" s="15">
        <f>ROUNDUP((T5929+U5929+2*'Read Me'!$B$13)*(1+'Read Me'!$B$12),-1)</f>
        <v/>
      </c>
      <c r="W5929" s="15">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K-I-0056</t>
        </is>
      </c>
      <c r="B5930" s="12" t="inlineStr">
        <is>
          <t>K</t>
        </is>
      </c>
      <c r="C5930" s="12" t="inlineStr">
        <is>
          <t>Fuel supply (adjacent market)</t>
        </is>
      </c>
      <c r="D5930" s="12" t="inlineStr">
        <is>
          <t>Home run JB-H2 27: storage tub-DI01 to the control / marshalling room</t>
        </is>
      </c>
      <c r="E5930" s="12" t="inlineStr"/>
      <c r="F5930" s="12" t="inlineStr">
        <is>
          <t>H2 20: 13.8 kV e-house</t>
        </is>
      </c>
      <c r="G5930" s="12" t="inlineStr">
        <is>
          <t>JB-H2 27: storage tub-DI01</t>
        </is>
      </c>
      <c r="H5930" s="12" t="inlineStr">
        <is>
          <t>H2 27: storage tube bank (~40 ft tubes)</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5" t="n">
        <v>50</v>
      </c>
      <c r="U5930" s="15" t="n">
        <v>97</v>
      </c>
      <c r="V5930" s="15">
        <f>ROUNDUP((T5930+U5930+2*'Read Me'!$B$13)*(1+'Read Me'!$B$12),-1)</f>
        <v/>
      </c>
      <c r="W5930" s="15">
        <f>V5930*N5930*O5930</f>
        <v/>
      </c>
      <c r="X5930" s="12">
        <f>IF(LEFT(I5930,2)="MV",2*N5930*IF(L5930="1/C",O5930,1),0)</f>
        <v/>
      </c>
      <c r="Y5930" s="12">
        <f>IF(OR(LEFT(K5930,4)="LVAX",LEFT(K5930,6)="MV15AX",LEFT(K5930,4)="CTAX",LEFT(K5930,2)="W|"),2*N5930*O5930,0)</f>
        <v/>
      </c>
      <c r="Z5930" s="12" t="inlineStr"/>
      <c r="AA5930" s="12">
        <f>N5930*O5930</f>
        <v/>
      </c>
    </row>
    <row r="5931">
      <c r="A5931" s="12" t="inlineStr">
        <is>
          <t>K-I-0057</t>
        </is>
      </c>
      <c r="B5931" s="12" t="inlineStr">
        <is>
          <t>K</t>
        </is>
      </c>
      <c r="C5931" s="12" t="inlineStr">
        <is>
          <t>Fuel supply (adjacent market)</t>
        </is>
      </c>
      <c r="D5931" s="12" t="inlineStr">
        <is>
          <t>Analog instrument to JB JB-H2 27: storage tub-AI01: 12 x 1 pr (field cables)</t>
        </is>
      </c>
      <c r="E5931" s="12" t="inlineStr"/>
      <c r="F5931" s="12" t="inlineStr">
        <is>
          <t>H2 27: storage tube bank (~40 ft tubes)</t>
        </is>
      </c>
      <c r="G5931" s="12" t="inlineStr">
        <is>
          <t>JB-H2 27: storage tub-AI01</t>
        </is>
      </c>
      <c r="H5931" s="12" t="inlineStr">
        <is>
          <t>H2 27: storage tube bank (~40 ft tubes)</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5" t="n">
        <v>54</v>
      </c>
      <c r="U5931" s="15" t="n">
        <v>10</v>
      </c>
      <c r="V5931" s="15">
        <f>ROUNDUP((T5931+U5931+2*'Read Me'!$B$13)*(1+'Read Me'!$B$12),-1)</f>
        <v/>
      </c>
      <c r="W5931" s="15">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K-I-0058</t>
        </is>
      </c>
      <c r="B5932" s="12" t="inlineStr">
        <is>
          <t>K</t>
        </is>
      </c>
      <c r="C5932" s="12" t="inlineStr">
        <is>
          <t>Fuel supply (adjacent market)</t>
        </is>
      </c>
      <c r="D5932" s="12" t="inlineStr">
        <is>
          <t>Home run JB-H2 27: storage tub-AI01 to the control / marshalling room</t>
        </is>
      </c>
      <c r="E5932" s="12" t="inlineStr"/>
      <c r="F5932" s="12" t="inlineStr">
        <is>
          <t>H2 20: 13.8 kV e-house</t>
        </is>
      </c>
      <c r="G5932" s="12" t="inlineStr">
        <is>
          <t>JB-H2 27: storage tub-AI01</t>
        </is>
      </c>
      <c r="H5932" s="12" t="inlineStr">
        <is>
          <t>H2 27: storage tube bank (~40 ft tubes)</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5" t="n">
        <v>50</v>
      </c>
      <c r="U5932" s="15" t="n">
        <v>117</v>
      </c>
      <c r="V5932" s="15">
        <f>ROUNDUP((T5932+U5932+2*'Read Me'!$B$13)*(1+'Read Me'!$B$12),-1)</f>
        <v/>
      </c>
      <c r="W5932" s="15">
        <f>V5932*N5932*O5932</f>
        <v/>
      </c>
      <c r="X5932" s="12">
        <f>IF(LEFT(I5932,2)="MV",2*N5932*IF(L5932="1/C",O5932,1),0)</f>
        <v/>
      </c>
      <c r="Y5932" s="12">
        <f>IF(OR(LEFT(K5932,4)="LVAX",LEFT(K5932,6)="MV15AX",LEFT(K5932,4)="CTAX",LEFT(K5932,2)="W|"),2*N5932*O5932,0)</f>
        <v/>
      </c>
      <c r="Z5932" s="12" t="inlineStr"/>
      <c r="AA5932" s="12">
        <f>N5932*O5932</f>
        <v/>
      </c>
    </row>
    <row r="5933">
      <c r="A5933" s="12" t="inlineStr">
        <is>
          <t>K-I-0059</t>
        </is>
      </c>
      <c r="B5933" s="12" t="inlineStr">
        <is>
          <t>K</t>
        </is>
      </c>
      <c r="C5933" s="12" t="inlineStr">
        <is>
          <t>Fuel supply (adjacent market)</t>
        </is>
      </c>
      <c r="D5933" s="12" t="inlineStr">
        <is>
          <t>Discrete device to JB JB-H2 27: storage tub-DI01: 12 x 1 pr (field cables)</t>
        </is>
      </c>
      <c r="E5933" s="12" t="inlineStr"/>
      <c r="F5933" s="12" t="inlineStr">
        <is>
          <t>H2 27: storage tube bank (~40 ft tubes)</t>
        </is>
      </c>
      <c r="G5933" s="12" t="inlineStr">
        <is>
          <t>JB-H2 27: storage tub-DI01</t>
        </is>
      </c>
      <c r="H5933" s="12" t="inlineStr">
        <is>
          <t>H2 27: storage tube bank (~40 ft tubes)</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5" t="n">
        <v>54</v>
      </c>
      <c r="U5933" s="15" t="n">
        <v>10</v>
      </c>
      <c r="V5933" s="15">
        <f>ROUNDUP((T5933+U5933+2*'Read Me'!$B$13)*(1+'Read Me'!$B$12),-1)</f>
        <v/>
      </c>
      <c r="W5933" s="15">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K-I-0060</t>
        </is>
      </c>
      <c r="B5934" s="12" t="inlineStr">
        <is>
          <t>K</t>
        </is>
      </c>
      <c r="C5934" s="12" t="inlineStr">
        <is>
          <t>Fuel supply (adjacent market)</t>
        </is>
      </c>
      <c r="D5934" s="12" t="inlineStr">
        <is>
          <t>Home run JB-H2 27: storage tub-DI01 to the control / marshalling room</t>
        </is>
      </c>
      <c r="E5934" s="12" t="inlineStr"/>
      <c r="F5934" s="12" t="inlineStr">
        <is>
          <t>H2 20: 13.8 kV e-house</t>
        </is>
      </c>
      <c r="G5934" s="12" t="inlineStr">
        <is>
          <t>JB-H2 27: storage tub-DI01</t>
        </is>
      </c>
      <c r="H5934" s="12" t="inlineStr">
        <is>
          <t>H2 27: storage tube bank (~40 ft tubes)</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5" t="n">
        <v>50</v>
      </c>
      <c r="U5934" s="15" t="n">
        <v>117</v>
      </c>
      <c r="V5934" s="15">
        <f>ROUNDUP((T5934+U5934+2*'Read Me'!$B$13)*(1+'Read Me'!$B$12),-1)</f>
        <v/>
      </c>
      <c r="W5934" s="15">
        <f>V5934*N5934*O5934</f>
        <v/>
      </c>
      <c r="X5934" s="12">
        <f>IF(LEFT(I5934,2)="MV",2*N5934*IF(L5934="1/C",O5934,1),0)</f>
        <v/>
      </c>
      <c r="Y5934" s="12">
        <f>IF(OR(LEFT(K5934,4)="LVAX",LEFT(K5934,6)="MV15AX",LEFT(K5934,4)="CTAX",LEFT(K5934,2)="W|"),2*N5934*O5934,0)</f>
        <v/>
      </c>
      <c r="Z5934" s="12" t="inlineStr"/>
      <c r="AA5934" s="12">
        <f>N5934*O5934</f>
        <v/>
      </c>
    </row>
    <row r="5935">
      <c r="A5935" s="12" t="inlineStr">
        <is>
          <t>K-I-0061</t>
        </is>
      </c>
      <c r="B5935" s="12" t="inlineStr">
        <is>
          <t>K</t>
        </is>
      </c>
      <c r="C5935" s="12" t="inlineStr">
        <is>
          <t>Fuel supply (adjacent market)</t>
        </is>
      </c>
      <c r="D5935" s="12" t="inlineStr">
        <is>
          <t>Analog instrument to JB JB-H2 27: storage tub-AI01: 12 x 1 pr (field cables)</t>
        </is>
      </c>
      <c r="E5935" s="12" t="inlineStr"/>
      <c r="F5935" s="12" t="inlineStr">
        <is>
          <t>H2 27: storage tube bank (~40 ft tubes)</t>
        </is>
      </c>
      <c r="G5935" s="12" t="inlineStr">
        <is>
          <t>JB-H2 27: storage tub-AI01</t>
        </is>
      </c>
      <c r="H5935" s="12" t="inlineStr">
        <is>
          <t>H2 27: storage tube bank (~40 ft tubes)</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5" t="n">
        <v>54</v>
      </c>
      <c r="U5935" s="15" t="n">
        <v>10</v>
      </c>
      <c r="V5935" s="15">
        <f>ROUNDUP((T5935+U5935+2*'Read Me'!$B$13)*(1+'Read Me'!$B$12),-1)</f>
        <v/>
      </c>
      <c r="W5935" s="15">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K-I-0062</t>
        </is>
      </c>
      <c r="B5936" s="12" t="inlineStr">
        <is>
          <t>K</t>
        </is>
      </c>
      <c r="C5936" s="12" t="inlineStr">
        <is>
          <t>Fuel supply (adjacent market)</t>
        </is>
      </c>
      <c r="D5936" s="12" t="inlineStr">
        <is>
          <t>Home run JB-H2 27: storage tub-AI01 to the control / marshalling room</t>
        </is>
      </c>
      <c r="E5936" s="12" t="inlineStr"/>
      <c r="F5936" s="12" t="inlineStr">
        <is>
          <t>H2 20: 13.8 kV e-house</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5" t="n">
        <v>50</v>
      </c>
      <c r="U5936" s="15" t="n">
        <v>97</v>
      </c>
      <c r="V5936" s="15">
        <f>ROUNDUP((T5936+U5936+2*'Read Me'!$B$13)*(1+'Read Me'!$B$12),-1)</f>
        <v/>
      </c>
      <c r="W5936" s="15">
        <f>V5936*N5936*O5936</f>
        <v/>
      </c>
      <c r="X5936" s="12">
        <f>IF(LEFT(I5936,2)="MV",2*N5936*IF(L5936="1/C",O5936,1),0)</f>
        <v/>
      </c>
      <c r="Y5936" s="12">
        <f>IF(OR(LEFT(K5936,4)="LVAX",LEFT(K5936,6)="MV15AX",LEFT(K5936,4)="CTAX",LEFT(K5936,2)="W|"),2*N5936*O5936,0)</f>
        <v/>
      </c>
      <c r="Z5936" s="12" t="inlineStr"/>
      <c r="AA5936" s="12">
        <f>N5936*O5936</f>
        <v/>
      </c>
    </row>
    <row r="5937">
      <c r="A5937" s="12" t="inlineStr">
        <is>
          <t>K-I-0063</t>
        </is>
      </c>
      <c r="B5937" s="12" t="inlineStr">
        <is>
          <t>K</t>
        </is>
      </c>
      <c r="C5937" s="12" t="inlineStr">
        <is>
          <t>Fuel supply (adjacent market)</t>
        </is>
      </c>
      <c r="D5937" s="12" t="inlineStr">
        <is>
          <t>Discrete device to JB JB-H2 27: storage tub-DI01: 12 x 1 pr (field cables)</t>
        </is>
      </c>
      <c r="E5937" s="12" t="inlineStr"/>
      <c r="F5937" s="12" t="inlineStr">
        <is>
          <t>H2 27: storage tube bank (~40 ft tubes)</t>
        </is>
      </c>
      <c r="G5937" s="12" t="inlineStr">
        <is>
          <t>JB-H2 27: storage tub-DI01</t>
        </is>
      </c>
      <c r="H5937" s="12" t="inlineStr">
        <is>
          <t>H2 27: storage tube bank (~40 ft tubes)</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5" t="n">
        <v>54</v>
      </c>
      <c r="U5937" s="15" t="n">
        <v>10</v>
      </c>
      <c r="V5937" s="15">
        <f>ROUNDUP((T5937+U5937+2*'Read Me'!$B$13)*(1+'Read Me'!$B$12),-1)</f>
        <v/>
      </c>
      <c r="W5937" s="15">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K-I-0064</t>
        </is>
      </c>
      <c r="B5938" s="12" t="inlineStr">
        <is>
          <t>K</t>
        </is>
      </c>
      <c r="C5938" s="12" t="inlineStr">
        <is>
          <t>Fuel supply (adjacent market)</t>
        </is>
      </c>
      <c r="D5938" s="12" t="inlineStr">
        <is>
          <t>Home run JB-H2 27: storage tub-DI01 to the control / marshalling room</t>
        </is>
      </c>
      <c r="E5938" s="12" t="inlineStr"/>
      <c r="F5938" s="12" t="inlineStr">
        <is>
          <t>H2 20: 13.8 kV e-house</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5" t="n">
        <v>50</v>
      </c>
      <c r="U5938" s="15" t="n">
        <v>97</v>
      </c>
      <c r="V5938" s="15">
        <f>ROUNDUP((T5938+U5938+2*'Read Me'!$B$13)*(1+'Read Me'!$B$12),-1)</f>
        <v/>
      </c>
      <c r="W5938" s="15">
        <f>V5938*N5938*O5938</f>
        <v/>
      </c>
      <c r="X5938" s="12">
        <f>IF(LEFT(I5938,2)="MV",2*N5938*IF(L5938="1/C",O5938,1),0)</f>
        <v/>
      </c>
      <c r="Y5938" s="12">
        <f>IF(OR(LEFT(K5938,4)="LVAX",LEFT(K5938,6)="MV15AX",LEFT(K5938,4)="CTAX",LEFT(K5938,2)="W|"),2*N5938*O5938,0)</f>
        <v/>
      </c>
      <c r="Z5938" s="12" t="inlineStr"/>
      <c r="AA5938" s="12">
        <f>N5938*O5938</f>
        <v/>
      </c>
    </row>
    <row r="5939">
      <c r="A5939" s="12" t="inlineStr">
        <is>
          <t>K-I-0065</t>
        </is>
      </c>
      <c r="B5939" s="12" t="inlineStr">
        <is>
          <t>K</t>
        </is>
      </c>
      <c r="C5939" s="12" t="inlineStr">
        <is>
          <t>Fuel supply (adjacent market)</t>
        </is>
      </c>
      <c r="D5939" s="12" t="inlineStr">
        <is>
          <t>Analog instrument to JB JB-H2 27: storage tub-AI01: 12 x 1 pr (field cables)</t>
        </is>
      </c>
      <c r="E5939" s="12" t="inlineStr"/>
      <c r="F5939" s="12" t="inlineStr">
        <is>
          <t>H2 27: storage tube bank (~40 ft tubes)</t>
        </is>
      </c>
      <c r="G5939" s="12" t="inlineStr">
        <is>
          <t>JB-H2 27: storage tub-AI01</t>
        </is>
      </c>
      <c r="H5939" s="12" t="inlineStr">
        <is>
          <t>H2 27: storage tube bank (~40 ft tubes)</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5" t="n">
        <v>54</v>
      </c>
      <c r="U5939" s="15" t="n">
        <v>10</v>
      </c>
      <c r="V5939" s="15">
        <f>ROUNDUP((T5939+U5939+2*'Read Me'!$B$13)*(1+'Read Me'!$B$12),-1)</f>
        <v/>
      </c>
      <c r="W5939" s="15">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K-I-0066</t>
        </is>
      </c>
      <c r="B5940" s="12" t="inlineStr">
        <is>
          <t>K</t>
        </is>
      </c>
      <c r="C5940" s="12" t="inlineStr">
        <is>
          <t>Fuel supply (adjacent market)</t>
        </is>
      </c>
      <c r="D5940" s="12" t="inlineStr">
        <is>
          <t>Home run JB-H2 27: storage tub-AI01 to the control / marshalling room</t>
        </is>
      </c>
      <c r="E5940" s="12" t="inlineStr"/>
      <c r="F5940" s="12" t="inlineStr">
        <is>
          <t>H2 20: 13.8 kV e-house</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5" t="n">
        <v>50</v>
      </c>
      <c r="U5940" s="15" t="n">
        <v>117</v>
      </c>
      <c r="V5940" s="15">
        <f>ROUNDUP((T5940+U5940+2*'Read Me'!$B$13)*(1+'Read Me'!$B$12),-1)</f>
        <v/>
      </c>
      <c r="W5940" s="15">
        <f>V5940*N5940*O5940</f>
        <v/>
      </c>
      <c r="X5940" s="12">
        <f>IF(LEFT(I5940,2)="MV",2*N5940*IF(L5940="1/C",O5940,1),0)</f>
        <v/>
      </c>
      <c r="Y5940" s="12">
        <f>IF(OR(LEFT(K5940,4)="LVAX",LEFT(K5940,6)="MV15AX",LEFT(K5940,4)="CTAX",LEFT(K5940,2)="W|"),2*N5940*O5940,0)</f>
        <v/>
      </c>
      <c r="Z5940" s="12" t="inlineStr"/>
      <c r="AA5940" s="12">
        <f>N5940*O5940</f>
        <v/>
      </c>
    </row>
    <row r="5941">
      <c r="A5941" s="12" t="inlineStr">
        <is>
          <t>K-I-0067</t>
        </is>
      </c>
      <c r="B5941" s="12" t="inlineStr">
        <is>
          <t>K</t>
        </is>
      </c>
      <c r="C5941" s="12" t="inlineStr">
        <is>
          <t>Fuel supply (adjacent market)</t>
        </is>
      </c>
      <c r="D5941" s="12" t="inlineStr">
        <is>
          <t>Discrete device to JB JB-H2 27: storage tub-DI01: 12 x 1 pr (field cables)</t>
        </is>
      </c>
      <c r="E5941" s="12" t="inlineStr"/>
      <c r="F5941" s="12" t="inlineStr">
        <is>
          <t>H2 27: storage tube bank (~40 ft tubes)</t>
        </is>
      </c>
      <c r="G5941" s="12" t="inlineStr">
        <is>
          <t>JB-H2 27: storage tub-DI01</t>
        </is>
      </c>
      <c r="H5941" s="12" t="inlineStr">
        <is>
          <t>H2 27: storage tube bank (~40 ft tubes)</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5" t="n">
        <v>54</v>
      </c>
      <c r="U5941" s="15" t="n">
        <v>10</v>
      </c>
      <c r="V5941" s="15">
        <f>ROUNDUP((T5941+U5941+2*'Read Me'!$B$13)*(1+'Read Me'!$B$12),-1)</f>
        <v/>
      </c>
      <c r="W5941" s="15">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K-I-0068</t>
        </is>
      </c>
      <c r="B5942" s="12" t="inlineStr">
        <is>
          <t>K</t>
        </is>
      </c>
      <c r="C5942" s="12" t="inlineStr">
        <is>
          <t>Fuel supply (adjacent market)</t>
        </is>
      </c>
      <c r="D5942" s="12" t="inlineStr">
        <is>
          <t>Home run JB-H2 27: storage tub-DI01 to the control / marshalling room</t>
        </is>
      </c>
      <c r="E5942" s="12" t="inlineStr"/>
      <c r="F5942" s="12" t="inlineStr">
        <is>
          <t>H2 20: 13.8 kV e-house</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5" t="n">
        <v>50</v>
      </c>
      <c r="U5942" s="15" t="n">
        <v>117</v>
      </c>
      <c r="V5942" s="15">
        <f>ROUNDUP((T5942+U5942+2*'Read Me'!$B$13)*(1+'Read Me'!$B$12),-1)</f>
        <v/>
      </c>
      <c r="W5942" s="15">
        <f>V5942*N5942*O5942</f>
        <v/>
      </c>
      <c r="X5942" s="12">
        <f>IF(LEFT(I5942,2)="MV",2*N5942*IF(L5942="1/C",O5942,1),0)</f>
        <v/>
      </c>
      <c r="Y5942" s="12">
        <f>IF(OR(LEFT(K5942,4)="LVAX",LEFT(K5942,6)="MV15AX",LEFT(K5942,4)="CTAX",LEFT(K5942,2)="W|"),2*N5942*O5942,0)</f>
        <v/>
      </c>
      <c r="Z5942" s="12" t="inlineStr"/>
      <c r="AA5942" s="12">
        <f>N5942*O5942</f>
        <v/>
      </c>
    </row>
    <row r="5943">
      <c r="A5943" s="12" t="inlineStr">
        <is>
          <t>K-I-0069</t>
        </is>
      </c>
      <c r="B5943" s="12" t="inlineStr">
        <is>
          <t>K</t>
        </is>
      </c>
      <c r="C5943" s="12" t="inlineStr">
        <is>
          <t>Fuel supply (adjacent market)</t>
        </is>
      </c>
      <c r="D5943" s="12" t="inlineStr">
        <is>
          <t>Analog instrument to JB JB-H2 28: N2 purge su-AI01: 12 x 1 pr (field cables)</t>
        </is>
      </c>
      <c r="E5943" s="12" t="inlineStr"/>
      <c r="F5943" s="12" t="inlineStr">
        <is>
          <t>H2 28: N2 purge supply</t>
        </is>
      </c>
      <c r="G5943" s="12" t="inlineStr">
        <is>
          <t>JB-H2 28: N2 purge su-AI01</t>
        </is>
      </c>
      <c r="H5943" s="12" t="inlineStr">
        <is>
          <t>H2 28: N2 purge supply</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5" t="n">
        <v>56</v>
      </c>
      <c r="U5943" s="15" t="n">
        <v>10</v>
      </c>
      <c r="V5943" s="15">
        <f>ROUNDUP((T5943+U5943+2*'Read Me'!$B$13)*(1+'Read Me'!$B$12),-1)</f>
        <v/>
      </c>
      <c r="W5943" s="15">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K-I-0070</t>
        </is>
      </c>
      <c r="B5944" s="12" t="inlineStr">
        <is>
          <t>K</t>
        </is>
      </c>
      <c r="C5944" s="12" t="inlineStr">
        <is>
          <t>Fuel supply (adjacent market)</t>
        </is>
      </c>
      <c r="D5944" s="12" t="inlineStr">
        <is>
          <t>Home run JB-H2 28: N2 purge su-AI01 to the control / marshalling room</t>
        </is>
      </c>
      <c r="E5944" s="12" t="inlineStr"/>
      <c r="F5944" s="12" t="inlineStr">
        <is>
          <t>H2 20: 13.8 kV e-house</t>
        </is>
      </c>
      <c r="G5944" s="12" t="inlineStr">
        <is>
          <t>JB-H2 28: N2 purge su-AI01</t>
        </is>
      </c>
      <c r="H5944" s="12" t="inlineStr">
        <is>
          <t>H2 28: N2 purge supply</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5" t="n">
        <v>53</v>
      </c>
      <c r="U5944" s="15" t="n">
        <v>36</v>
      </c>
      <c r="V5944" s="15">
        <f>ROUNDUP((T5944+U5944+2*'Read Me'!$B$13)*(1+'Read Me'!$B$12),-1)</f>
        <v/>
      </c>
      <c r="W5944" s="15">
        <f>V5944*N5944*O5944</f>
        <v/>
      </c>
      <c r="X5944" s="12">
        <f>IF(LEFT(I5944,2)="MV",2*N5944*IF(L5944="1/C",O5944,1),0)</f>
        <v/>
      </c>
      <c r="Y5944" s="12">
        <f>IF(OR(LEFT(K5944,4)="LVAX",LEFT(K5944,6)="MV15AX",LEFT(K5944,4)="CTAX",LEFT(K5944,2)="W|"),2*N5944*O5944,0)</f>
        <v/>
      </c>
      <c r="Z5944" s="12" t="inlineStr"/>
      <c r="AA5944" s="12">
        <f>N5944*O5944</f>
        <v/>
      </c>
    </row>
    <row r="5945">
      <c r="A5945" s="12" t="inlineStr">
        <is>
          <t>K-I-0071</t>
        </is>
      </c>
      <c r="B5945" s="12" t="inlineStr">
        <is>
          <t>K</t>
        </is>
      </c>
      <c r="C5945" s="12" t="inlineStr">
        <is>
          <t>Fuel supply (adjacent market)</t>
        </is>
      </c>
      <c r="D5945" s="12" t="inlineStr">
        <is>
          <t>Discrete device to JB JB-H2 28: N2 purge su-DI01: 12 x 1 pr (field cables)</t>
        </is>
      </c>
      <c r="E5945" s="12" t="inlineStr"/>
      <c r="F5945" s="12" t="inlineStr">
        <is>
          <t>H2 28: N2 purge supply</t>
        </is>
      </c>
      <c r="G5945" s="12" t="inlineStr">
        <is>
          <t>JB-H2 28: N2 purge su-DI01</t>
        </is>
      </c>
      <c r="H5945" s="12" t="inlineStr">
        <is>
          <t>H2 28: N2 purge supply</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5" t="n">
        <v>56</v>
      </c>
      <c r="U5945" s="15" t="n">
        <v>10</v>
      </c>
      <c r="V5945" s="15">
        <f>ROUNDUP((T5945+U5945+2*'Read Me'!$B$13)*(1+'Read Me'!$B$12),-1)</f>
        <v/>
      </c>
      <c r="W5945" s="15">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K-I-0072</t>
        </is>
      </c>
      <c r="B5946" s="12" t="inlineStr">
        <is>
          <t>K</t>
        </is>
      </c>
      <c r="C5946" s="12" t="inlineStr">
        <is>
          <t>Fuel supply (adjacent market)</t>
        </is>
      </c>
      <c r="D5946" s="12" t="inlineStr">
        <is>
          <t>Home run JB-H2 28: N2 purge su-DI01 to the control / marshalling room</t>
        </is>
      </c>
      <c r="E5946" s="12" t="inlineStr"/>
      <c r="F5946" s="12" t="inlineStr">
        <is>
          <t>H2 20: 13.8 kV e-house</t>
        </is>
      </c>
      <c r="G5946" s="12" t="inlineStr">
        <is>
          <t>JB-H2 28: N2 purge su-DI01</t>
        </is>
      </c>
      <c r="H5946" s="12" t="inlineStr">
        <is>
          <t>H2 28: N2 purge supply</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5" t="n">
        <v>53</v>
      </c>
      <c r="U5946" s="15" t="n">
        <v>36</v>
      </c>
      <c r="V5946" s="15">
        <f>ROUNDUP((T5946+U5946+2*'Read Me'!$B$13)*(1+'Read Me'!$B$12),-1)</f>
        <v/>
      </c>
      <c r="W5946" s="15">
        <f>V5946*N5946*O5946</f>
        <v/>
      </c>
      <c r="X5946" s="12">
        <f>IF(LEFT(I5946,2)="MV",2*N5946*IF(L5946="1/C",O5946,1),0)</f>
        <v/>
      </c>
      <c r="Y5946" s="12">
        <f>IF(OR(LEFT(K5946,4)="LVAX",LEFT(K5946,6)="MV15AX",LEFT(K5946,4)="CTAX",LEFT(K5946,2)="W|"),2*N5946*O5946,0)</f>
        <v/>
      </c>
      <c r="Z5946" s="12" t="inlineStr"/>
      <c r="AA5946" s="12">
        <f>N5946*O5946</f>
        <v/>
      </c>
    </row>
    <row r="5947">
      <c r="A5947" s="12" t="inlineStr">
        <is>
          <t>K-I-0073</t>
        </is>
      </c>
      <c r="B5947" s="12" t="inlineStr">
        <is>
          <t>K</t>
        </is>
      </c>
      <c r="C5947" s="12" t="inlineStr">
        <is>
          <t>Fuel supply (adjacent market)</t>
        </is>
      </c>
      <c r="D5947" s="12" t="inlineStr">
        <is>
          <t>Analog instrument to JB JB-H2 29: vent stack-AI01: 12 x 1 pr (field cables)</t>
        </is>
      </c>
      <c r="E5947" s="12" t="inlineStr"/>
      <c r="F5947" s="12" t="inlineStr">
        <is>
          <t>H2 29: vent stack</t>
        </is>
      </c>
      <c r="G5947" s="12" t="inlineStr">
        <is>
          <t>JB-H2 29: vent stack-AI01</t>
        </is>
      </c>
      <c r="H5947" s="12" t="inlineStr">
        <is>
          <t>H2 29: vent stack</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5" t="n">
        <v>45</v>
      </c>
      <c r="U5947" s="15" t="n">
        <v>10</v>
      </c>
      <c r="V5947" s="15">
        <f>ROUNDUP((T5947+U5947+2*'Read Me'!$B$13)*(1+'Read Me'!$B$12),-1)</f>
        <v/>
      </c>
      <c r="W5947" s="15">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K-I-0074</t>
        </is>
      </c>
      <c r="B5948" s="12" t="inlineStr">
        <is>
          <t>K</t>
        </is>
      </c>
      <c r="C5948" s="12" t="inlineStr">
        <is>
          <t>Fuel supply (adjacent market)</t>
        </is>
      </c>
      <c r="D5948" s="12" t="inlineStr">
        <is>
          <t>Home run JB-H2 29: vent stack-AI01 to the control / marshalling room</t>
        </is>
      </c>
      <c r="E5948" s="12" t="inlineStr"/>
      <c r="F5948" s="12" t="inlineStr">
        <is>
          <t>H2 20: 13.8 kV e-house</t>
        </is>
      </c>
      <c r="G5948" s="12" t="inlineStr">
        <is>
          <t>JB-H2 29: vent stack-AI01</t>
        </is>
      </c>
      <c r="H5948" s="12" t="inlineStr">
        <is>
          <t>H2 29: vent stack</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5" t="n">
        <v>55</v>
      </c>
      <c r="U5948" s="15" t="n">
        <v>205</v>
      </c>
      <c r="V5948" s="15">
        <f>ROUNDUP((T5948+U5948+2*'Read Me'!$B$13)*(1+'Read Me'!$B$12),-1)</f>
        <v/>
      </c>
      <c r="W5948" s="15">
        <f>V5948*N5948*O5948</f>
        <v/>
      </c>
      <c r="X5948" s="12">
        <f>IF(LEFT(I5948,2)="MV",2*N5948*IF(L5948="1/C",O5948,1),0)</f>
        <v/>
      </c>
      <c r="Y5948" s="12">
        <f>IF(OR(LEFT(K5948,4)="LVAX",LEFT(K5948,6)="MV15AX",LEFT(K5948,4)="CTAX",LEFT(K5948,2)="W|"),2*N5948*O5948,0)</f>
        <v/>
      </c>
      <c r="Z5948" s="12" t="inlineStr"/>
      <c r="AA5948" s="12">
        <f>N5948*O5948</f>
        <v/>
      </c>
    </row>
    <row r="5949">
      <c r="A5949" s="12" t="inlineStr">
        <is>
          <t>K-I-0075</t>
        </is>
      </c>
      <c r="B5949" s="12" t="inlineStr">
        <is>
          <t>K</t>
        </is>
      </c>
      <c r="C5949" s="12" t="inlineStr">
        <is>
          <t>Fuel supply (adjacent market)</t>
        </is>
      </c>
      <c r="D5949" s="12" t="inlineStr">
        <is>
          <t>Discrete device to JB JB-H2 29: vent stack-DI01: 12 x 1 pr (field cables)</t>
        </is>
      </c>
      <c r="E5949" s="12" t="inlineStr"/>
      <c r="F5949" s="12" t="inlineStr">
        <is>
          <t>H2 29: vent stack</t>
        </is>
      </c>
      <c r="G5949" s="12" t="inlineStr">
        <is>
          <t>JB-H2 29: vent stack-DI01</t>
        </is>
      </c>
      <c r="H5949" s="12" t="inlineStr">
        <is>
          <t>H2 29: vent stack</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5" t="n">
        <v>45</v>
      </c>
      <c r="U5949" s="15" t="n">
        <v>10</v>
      </c>
      <c r="V5949" s="15">
        <f>ROUNDUP((T5949+U5949+2*'Read Me'!$B$13)*(1+'Read Me'!$B$12),-1)</f>
        <v/>
      </c>
      <c r="W5949" s="15">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K-I-0076</t>
        </is>
      </c>
      <c r="B5950" s="12" t="inlineStr">
        <is>
          <t>K</t>
        </is>
      </c>
      <c r="C5950" s="12" t="inlineStr">
        <is>
          <t>Fuel supply (adjacent market)</t>
        </is>
      </c>
      <c r="D5950" s="12" t="inlineStr">
        <is>
          <t>Home run JB-H2 29: vent stack-DI01 to the control / marshalling room</t>
        </is>
      </c>
      <c r="E5950" s="12" t="inlineStr"/>
      <c r="F5950" s="12" t="inlineStr">
        <is>
          <t>H2 20: 13.8 kV e-house</t>
        </is>
      </c>
      <c r="G5950" s="12" t="inlineStr">
        <is>
          <t>JB-H2 29: vent stack-DI01</t>
        </is>
      </c>
      <c r="H5950" s="12" t="inlineStr">
        <is>
          <t>H2 29: vent stack</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5" t="n">
        <v>55</v>
      </c>
      <c r="U5950" s="15" t="n">
        <v>205</v>
      </c>
      <c r="V5950" s="15">
        <f>ROUNDUP((T5950+U5950+2*'Read Me'!$B$13)*(1+'Read Me'!$B$12),-1)</f>
        <v/>
      </c>
      <c r="W5950" s="15">
        <f>V5950*N5950*O5950</f>
        <v/>
      </c>
      <c r="X5950" s="12">
        <f>IF(LEFT(I5950,2)="MV",2*N5950*IF(L5950="1/C",O5950,1),0)</f>
        <v/>
      </c>
      <c r="Y5950" s="12">
        <f>IF(OR(LEFT(K5950,4)="LVAX",LEFT(K5950,6)="MV15AX",LEFT(K5950,4)="CTAX",LEFT(K5950,2)="W|"),2*N5950*O5950,0)</f>
        <v/>
      </c>
      <c r="Z5950" s="12" t="inlineStr"/>
      <c r="AA5950" s="12">
        <f>N5950*O5950</f>
        <v/>
      </c>
    </row>
    <row r="5951">
      <c r="A5951" s="12" t="inlineStr">
        <is>
          <t>K-I-0077</t>
        </is>
      </c>
      <c r="B5951" s="12" t="inlineStr">
        <is>
          <t>K</t>
        </is>
      </c>
      <c r="C5951" s="12" t="inlineStr">
        <is>
          <t>Fuel supply (adjacent market)</t>
        </is>
      </c>
      <c r="D5951" s="12" t="inlineStr">
        <is>
          <t>Analog instrument to JB JB-H2 30: H2 / gas bl-AI01: 12 x 1 pr (field cables)</t>
        </is>
      </c>
      <c r="E5951" s="12" t="inlineStr"/>
      <c r="F5951" s="12" t="inlineStr">
        <is>
          <t>H2 30: H2 / gas blending station (plant gas yard)</t>
        </is>
      </c>
      <c r="G5951" s="12" t="inlineStr">
        <is>
          <t>JB-H2 30: H2 / gas bl-AI01</t>
        </is>
      </c>
      <c r="H5951" s="12" t="inlineStr">
        <is>
          <t>H2 30: H2 / gas blending station (plant gas yard)</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5" t="n">
        <v>129</v>
      </c>
      <c r="U5951" s="15" t="n">
        <v>10</v>
      </c>
      <c r="V5951" s="15">
        <f>ROUNDUP((T5951+U5951+2*'Read Me'!$B$13)*(1+'Read Me'!$B$12),-1)</f>
        <v/>
      </c>
      <c r="W5951" s="15">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K-I-0078</t>
        </is>
      </c>
      <c r="B5952" s="12" t="inlineStr">
        <is>
          <t>K</t>
        </is>
      </c>
      <c r="C5952" s="12" t="inlineStr">
        <is>
          <t>Fuel supply (adjacent market)</t>
        </is>
      </c>
      <c r="D5952" s="12" t="inlineStr">
        <is>
          <t>Home run JB-H2 30: H2 / gas bl-AI01 to the control / marshalling room</t>
        </is>
      </c>
      <c r="E5952" s="12" t="inlineStr"/>
      <c r="F5952" s="12" t="inlineStr">
        <is>
          <t>LNG 17: LNG e-house (13.8 kV / 480 V)</t>
        </is>
      </c>
      <c r="G5952" s="12" t="inlineStr">
        <is>
          <t>JB-H2 30: H2 / gas bl-AI01</t>
        </is>
      </c>
      <c r="H5952" s="12" t="inlineStr">
        <is>
          <t>H2 30: H2 / gas blending station (plant gas yard)</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5" t="n">
        <v>994</v>
      </c>
      <c r="U5952" s="15" t="n">
        <v>114</v>
      </c>
      <c r="V5952" s="15">
        <f>ROUNDUP((T5952+U5952+2*'Read Me'!$B$13)*(1+'Read Me'!$B$12),-1)</f>
        <v/>
      </c>
      <c r="W5952" s="15">
        <f>V5952*N5952*O5952</f>
        <v/>
      </c>
      <c r="X5952" s="12">
        <f>IF(LEFT(I5952,2)="MV",2*N5952*IF(L5952="1/C",O5952,1),0)</f>
        <v/>
      </c>
      <c r="Y5952" s="12">
        <f>IF(OR(LEFT(K5952,4)="LVAX",LEFT(K5952,6)="MV15AX",LEFT(K5952,4)="CTAX",LEFT(K5952,2)="W|"),2*N5952*O5952,0)</f>
        <v/>
      </c>
      <c r="Z5952" s="12" t="inlineStr"/>
      <c r="AA5952" s="12">
        <f>N5952*O5952</f>
        <v/>
      </c>
    </row>
    <row r="5953">
      <c r="A5953" s="12" t="inlineStr">
        <is>
          <t>K-I-0079</t>
        </is>
      </c>
      <c r="B5953" s="12" t="inlineStr">
        <is>
          <t>K</t>
        </is>
      </c>
      <c r="C5953" s="12" t="inlineStr">
        <is>
          <t>Fuel supply (adjacent market)</t>
        </is>
      </c>
      <c r="D5953" s="12" t="inlineStr">
        <is>
          <t>Discrete device to JB JB-H2 30: H2 / gas bl-DI01: 12 x 1 pr (field cables)</t>
        </is>
      </c>
      <c r="E5953" s="12" t="inlineStr"/>
      <c r="F5953" s="12" t="inlineStr">
        <is>
          <t>H2 30: H2 / gas blending station (plant gas yard)</t>
        </is>
      </c>
      <c r="G5953" s="12" t="inlineStr">
        <is>
          <t>JB-H2 30: H2 / gas bl-DI01</t>
        </is>
      </c>
      <c r="H5953" s="12" t="inlineStr">
        <is>
          <t>H2 30: H2 / gas blending station (plant gas yard)</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5" t="n">
        <v>129</v>
      </c>
      <c r="U5953" s="15" t="n">
        <v>10</v>
      </c>
      <c r="V5953" s="15">
        <f>ROUNDUP((T5953+U5953+2*'Read Me'!$B$13)*(1+'Read Me'!$B$12),-1)</f>
        <v/>
      </c>
      <c r="W5953" s="15">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K-I-0080</t>
        </is>
      </c>
      <c r="B5954" s="12" t="inlineStr">
        <is>
          <t>K</t>
        </is>
      </c>
      <c r="C5954" s="12" t="inlineStr">
        <is>
          <t>Fuel supply (adjacent market)</t>
        </is>
      </c>
      <c r="D5954" s="12" t="inlineStr">
        <is>
          <t>Home run JB-H2 30: H2 / gas bl-DI01 to the control / marshalling room</t>
        </is>
      </c>
      <c r="E5954" s="12" t="inlineStr"/>
      <c r="F5954" s="12" t="inlineStr">
        <is>
          <t>LNG 17: LNG e-house (13.8 kV / 480 V)</t>
        </is>
      </c>
      <c r="G5954" s="12" t="inlineStr">
        <is>
          <t>JB-H2 30: H2 / gas bl-DI01</t>
        </is>
      </c>
      <c r="H5954" s="12" t="inlineStr">
        <is>
          <t>H2 30: H2 / gas blending station (plant gas yard)</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5" t="n">
        <v>994</v>
      </c>
      <c r="U5954" s="15" t="n">
        <v>114</v>
      </c>
      <c r="V5954" s="15">
        <f>ROUNDUP((T5954+U5954+2*'Read Me'!$B$13)*(1+'Read Me'!$B$12),-1)</f>
        <v/>
      </c>
      <c r="W5954" s="15">
        <f>V5954*N5954*O5954</f>
        <v/>
      </c>
      <c r="X5954" s="12">
        <f>IF(LEFT(I5954,2)="MV",2*N5954*IF(L5954="1/C",O5954,1),0)</f>
        <v/>
      </c>
      <c r="Y5954" s="12">
        <f>IF(OR(LEFT(K5954,4)="LVAX",LEFT(K5954,6)="MV15AX",LEFT(K5954,4)="CTAX",LEFT(K5954,2)="W|"),2*N5954*O5954,0)</f>
        <v/>
      </c>
      <c r="Z5954" s="12" t="inlineStr"/>
      <c r="AA5954" s="12">
        <f>N5954*O5954</f>
        <v/>
      </c>
    </row>
    <row r="5955">
      <c r="A5955" s="12" t="inlineStr">
        <is>
          <t>K-I-0081</t>
        </is>
      </c>
      <c r="B5955" s="12" t="inlineStr">
        <is>
          <t>K</t>
        </is>
      </c>
      <c r="C5955" s="12" t="inlineStr">
        <is>
          <t>Fuel supply (adjacent market)</t>
        </is>
      </c>
      <c r="D5955" s="12" t="inlineStr">
        <is>
          <t>Analog instrument to JB JB-H2 pipe track and -AI01: 10 x 1 pr (field cables)</t>
        </is>
      </c>
      <c r="E5955" s="12" t="inlineStr"/>
      <c r="F5955" s="12" t="inlineStr">
        <is>
          <t>H2 pipe track and cable trench, hall -&gt; dryer / compressors (N2, instr</t>
        </is>
      </c>
      <c r="G5955" s="12" t="inlineStr">
        <is>
          <t>JB-H2 pipe track and -AI01</t>
        </is>
      </c>
      <c r="H5955" s="12" t="inlineStr">
        <is>
          <t>H2 pipe track and cable trench, hall -&gt; dryer / compressors (N2, instr</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10</v>
      </c>
      <c r="O5955" s="12" t="n">
        <v>1</v>
      </c>
      <c r="P5955" s="12" t="n"/>
      <c r="Q5955" s="12" t="n"/>
      <c r="R5955" s="12" t="n"/>
      <c r="S5955" s="12" t="inlineStr">
        <is>
          <t>Tray / conduit</t>
        </is>
      </c>
      <c r="T5955" s="15" t="n">
        <v>70</v>
      </c>
      <c r="U5955" s="15" t="n">
        <v>10</v>
      </c>
      <c r="V5955" s="15">
        <f>ROUNDUP((T5955+U5955+2*'Read Me'!$B$13)*(1+'Read Me'!$B$12),-1)</f>
        <v/>
      </c>
      <c r="W5955" s="15">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K-I-0082</t>
        </is>
      </c>
      <c r="B5956" s="12" t="inlineStr">
        <is>
          <t>K</t>
        </is>
      </c>
      <c r="C5956" s="12" t="inlineStr">
        <is>
          <t>Fuel supply (adjacent market)</t>
        </is>
      </c>
      <c r="D5956" s="12" t="inlineStr">
        <is>
          <t>Home run JB-H2 pipe track and -AI01 to the control / marshalling room</t>
        </is>
      </c>
      <c r="E5956" s="12" t="inlineStr"/>
      <c r="F5956" s="12" t="inlineStr">
        <is>
          <t>H2 20: 13.8 kV e-house</t>
        </is>
      </c>
      <c r="G5956" s="12" t="inlineStr">
        <is>
          <t>JB-H2 pipe track and -AI01</t>
        </is>
      </c>
      <c r="H5956" s="12" t="inlineStr">
        <is>
          <t>H2 pipe track and cable trench, hall -&gt; dryer / compressors (N2, instr</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5" t="n">
        <v>53</v>
      </c>
      <c r="U5956" s="15" t="n">
        <v>62</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K-I-0083</t>
        </is>
      </c>
      <c r="B5957" s="12" t="inlineStr">
        <is>
          <t>K</t>
        </is>
      </c>
      <c r="C5957" s="12" t="inlineStr">
        <is>
          <t>Fuel supply (adjacent market)</t>
        </is>
      </c>
      <c r="D5957" s="12" t="inlineStr">
        <is>
          <t>Discrete device to JB JB-H2 pipe track and -DI01: 10 x 1 pr (field cables)</t>
        </is>
      </c>
      <c r="E5957" s="12" t="inlineStr"/>
      <c r="F5957" s="12" t="inlineStr">
        <is>
          <t>H2 pipe track and cable trench, hall -&gt; dryer / compressors (N2, instr</t>
        </is>
      </c>
      <c r="G5957" s="12" t="inlineStr">
        <is>
          <t>JB-H2 pipe track and -DI01</t>
        </is>
      </c>
      <c r="H5957" s="12" t="inlineStr">
        <is>
          <t>H2 pipe track and cable trench, hall -&gt; dryer / compressors (N2, instr</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10</v>
      </c>
      <c r="O5957" s="12" t="n">
        <v>1</v>
      </c>
      <c r="P5957" s="12" t="n"/>
      <c r="Q5957" s="12" t="n"/>
      <c r="R5957" s="12" t="n"/>
      <c r="S5957" s="12" t="inlineStr">
        <is>
          <t>Tray / conduit</t>
        </is>
      </c>
      <c r="T5957" s="15" t="n">
        <v>70</v>
      </c>
      <c r="U5957" s="15" t="n">
        <v>10</v>
      </c>
      <c r="V5957" s="15">
        <f>ROUNDUP((T5957+U5957+2*'Read Me'!$B$13)*(1+'Read Me'!$B$12),-1)</f>
        <v/>
      </c>
      <c r="W5957" s="15">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K-I-0084</t>
        </is>
      </c>
      <c r="B5958" s="12" t="inlineStr">
        <is>
          <t>K</t>
        </is>
      </c>
      <c r="C5958" s="12" t="inlineStr">
        <is>
          <t>Fuel supply (adjacent market)</t>
        </is>
      </c>
      <c r="D5958" s="12" t="inlineStr">
        <is>
          <t>Home run JB-H2 pipe track and -DI01 to the control / marshalling room</t>
        </is>
      </c>
      <c r="E5958" s="12" t="inlineStr"/>
      <c r="F5958" s="12" t="inlineStr">
        <is>
          <t>H2 20: 13.8 kV e-house</t>
        </is>
      </c>
      <c r="G5958" s="12" t="inlineStr">
        <is>
          <t>JB-H2 pipe track and -DI01</t>
        </is>
      </c>
      <c r="H5958" s="12" t="inlineStr">
        <is>
          <t>H2 pipe track and cable trench, hall -&gt; dryer / compressors (N2, instr</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5" t="n">
        <v>53</v>
      </c>
      <c r="U5958" s="15" t="n">
        <v>62</v>
      </c>
      <c r="V5958" s="15">
        <f>ROUNDUP((T5958+U5958+2*'Read Me'!$B$13)*(1+'Read Me'!$B$12),-1)</f>
        <v/>
      </c>
      <c r="W5958" s="15">
        <f>V5958*N5958*O5958</f>
        <v/>
      </c>
      <c r="X5958" s="12">
        <f>IF(LEFT(I5958,2)="MV",2*N5958*IF(L5958="1/C",O5958,1),0)</f>
        <v/>
      </c>
      <c r="Y5958" s="12">
        <f>IF(OR(LEFT(K5958,4)="LVAX",LEFT(K5958,6)="MV15AX",LEFT(K5958,4)="CTAX",LEFT(K5958,2)="W|"),2*N5958*O5958,0)</f>
        <v/>
      </c>
      <c r="Z5958" s="12" t="inlineStr"/>
      <c r="AA5958" s="12">
        <f>N5958*O5958</f>
        <v/>
      </c>
    </row>
    <row r="5959">
      <c r="A5959" s="12" t="inlineStr">
        <is>
          <t>K-I-0085</t>
        </is>
      </c>
      <c r="B5959" s="12" t="inlineStr">
        <is>
          <t>K</t>
        </is>
      </c>
      <c r="C5959" s="12" t="inlineStr">
        <is>
          <t>Fuel supply (adjacent market)</t>
        </is>
      </c>
      <c r="D5959" s="12" t="inlineStr">
        <is>
          <t>Instrumentation</t>
        </is>
      </c>
      <c r="E5959" s="12" t="inlineStr"/>
      <c r="F5959" s="12" t="inlineStr">
        <is>
          <t>H2 20: 13.8 kV e-house</t>
        </is>
      </c>
      <c r="G5959" s="12" t="inlineStr">
        <is>
          <t>H2-ST</t>
        </is>
      </c>
      <c r="H5959" s="12" t="inlineStr">
        <is>
          <t>H2 storage tube banks x4</t>
        </is>
      </c>
      <c r="I5959" s="12" t="inlineStr">
        <is>
          <t>Instrumentation</t>
        </is>
      </c>
      <c r="J5959" s="12" t="inlineStr">
        <is>
          <t>Instrumentation ITC / PLTC, IS, #18 shielded pairs, blue jacket</t>
        </is>
      </c>
      <c r="K5959" s="12" t="inlineStr">
        <is>
          <t>ITC|4 pr|18</t>
        </is>
      </c>
      <c r="L5959" s="12" t="inlineStr">
        <is>
          <t>4 pr</t>
        </is>
      </c>
      <c r="M5959" s="12" t="inlineStr">
        <is>
          <t>18</t>
        </is>
      </c>
      <c r="N5959" s="12" t="n">
        <v>1</v>
      </c>
      <c r="O5959" s="12" t="n">
        <v>1</v>
      </c>
      <c r="P5959" s="12" t="n"/>
      <c r="Q5959" s="12" t="n"/>
      <c r="R5959" s="12" t="n"/>
      <c r="S5959" s="12" t="inlineStr">
        <is>
          <t>Duct bank</t>
        </is>
      </c>
      <c r="T5959" s="15" t="n">
        <v>50</v>
      </c>
      <c r="U5959" s="15" t="n">
        <v>92</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K-I-0086</t>
        </is>
      </c>
      <c r="B5960" s="12" t="inlineStr">
        <is>
          <t>K</t>
        </is>
      </c>
      <c r="C5960" s="12" t="inlineStr">
        <is>
          <t>Fuel supply (adjacent market)</t>
        </is>
      </c>
      <c r="D5960" s="12" t="inlineStr">
        <is>
          <t>Instrumentation</t>
        </is>
      </c>
      <c r="E5960" s="12" t="inlineStr"/>
      <c r="F5960" s="12" t="inlineStr">
        <is>
          <t>H2 20: 13.8 kV e-house</t>
        </is>
      </c>
      <c r="G5960" s="12" t="inlineStr">
        <is>
          <t>H2R</t>
        </is>
      </c>
      <c r="H5960" s="12" t="inlineStr">
        <is>
          <t>H2R: hydrogen pipeline receiving station (pig receiver, filters, meter</t>
        </is>
      </c>
      <c r="I5960" s="12" t="inlineStr">
        <is>
          <t>Instrumentation</t>
        </is>
      </c>
      <c r="J5960" s="12" t="inlineStr">
        <is>
          <t>Instrumentation ITC / PLTC, IS, #18 shielded pairs, blue jacket</t>
        </is>
      </c>
      <c r="K5960" s="12" t="inlineStr">
        <is>
          <t>ITC|4 pr|18</t>
        </is>
      </c>
      <c r="L5960" s="12" t="inlineStr">
        <is>
          <t>4 pr</t>
        </is>
      </c>
      <c r="M5960" s="12" t="inlineStr">
        <is>
          <t>18</t>
        </is>
      </c>
      <c r="N5960" s="12" t="n">
        <v>1</v>
      </c>
      <c r="O5960" s="12" t="n">
        <v>1</v>
      </c>
      <c r="P5960" s="12" t="n"/>
      <c r="Q5960" s="12" t="n"/>
      <c r="R5960" s="12" t="n"/>
      <c r="S5960" s="12" t="inlineStr">
        <is>
          <t>Duct bank</t>
        </is>
      </c>
      <c r="T5960" s="15" t="n">
        <v>40</v>
      </c>
      <c r="U5960" s="15" t="n">
        <v>32</v>
      </c>
      <c r="V5960" s="15">
        <f>ROUNDUP((T5960+U5960+2*'Read Me'!$B$13)*(1+'Read Me'!$B$12),-1)</f>
        <v/>
      </c>
      <c r="W5960" s="15">
        <f>V5960*N5960*O5960</f>
        <v/>
      </c>
      <c r="X5960" s="12">
        <f>IF(LEFT(I5960,2)="MV",2*N5960*IF(L5960="1/C",O5960,1),0)</f>
        <v/>
      </c>
      <c r="Y5960" s="12">
        <f>IF(OR(LEFT(K5960,4)="LVAX",LEFT(K5960,6)="MV15AX",LEFT(K5960,4)="CTAX",LEFT(K5960,2)="W|"),2*N5960*O5960,0)</f>
        <v/>
      </c>
      <c r="Z5960" s="12" t="inlineStr"/>
      <c r="AA5960" s="12">
        <f>N5960*O5960</f>
        <v/>
      </c>
    </row>
    <row r="5961">
      <c r="A5961" s="12" t="inlineStr">
        <is>
          <t>K-I-0087</t>
        </is>
      </c>
      <c r="B5961" s="12" t="inlineStr">
        <is>
          <t>K</t>
        </is>
      </c>
      <c r="C5961" s="12" t="inlineStr">
        <is>
          <t>Fuel supply (adjacent market)</t>
        </is>
      </c>
      <c r="D5961" s="12" t="inlineStr">
        <is>
          <t>Analog instrument to JB JB-LNG 10: truck unlo-AI01: 12 x 1 pr (field cables)</t>
        </is>
      </c>
      <c r="E5961" s="12" t="inlineStr"/>
      <c r="F5961" s="12" t="inlineStr">
        <is>
          <t>LNG 10: truck unloading bay 1</t>
        </is>
      </c>
      <c r="G5961" s="12" t="inlineStr">
        <is>
          <t>JB-LNG 10: truck unlo-AI01</t>
        </is>
      </c>
      <c r="H5961" s="12" t="inlineStr">
        <is>
          <t>LNG 10: truck unloading bay 1</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5" t="n">
        <v>80</v>
      </c>
      <c r="U5961" s="15" t="n">
        <v>10</v>
      </c>
      <c r="V5961" s="15">
        <f>ROUNDUP((T5961+U5961+2*'Read Me'!$B$13)*(1+'Read Me'!$B$12),-1)</f>
        <v/>
      </c>
      <c r="W5961" s="15">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K-I-0088</t>
        </is>
      </c>
      <c r="B5962" s="12" t="inlineStr">
        <is>
          <t>K</t>
        </is>
      </c>
      <c r="C5962" s="12" t="inlineStr">
        <is>
          <t>Fuel supply (adjacent market)</t>
        </is>
      </c>
      <c r="D5962" s="12" t="inlineStr">
        <is>
          <t>Home run JB-LNG 10: truck unlo-AI01 to the control / marshalling room</t>
        </is>
      </c>
      <c r="E5962" s="12" t="inlineStr"/>
      <c r="F5962" s="12" t="inlineStr">
        <is>
          <t>LNG 17: LNG e-house (13.8 kV / 480 V)</t>
        </is>
      </c>
      <c r="G5962" s="12" t="inlineStr">
        <is>
          <t>JB-LNG 10: truck unlo-AI01</t>
        </is>
      </c>
      <c r="H5962" s="12" t="inlineStr">
        <is>
          <t>LNG 10: truck unloading bay 1</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5" t="n">
        <v>237</v>
      </c>
      <c r="U5962" s="15" t="n">
        <v>61</v>
      </c>
      <c r="V5962" s="15">
        <f>ROUNDUP((T5962+U5962+2*'Read Me'!$B$13)*(1+'Read Me'!$B$12),-1)</f>
        <v/>
      </c>
      <c r="W5962" s="15">
        <f>V5962*N5962*O5962</f>
        <v/>
      </c>
      <c r="X5962" s="12">
        <f>IF(LEFT(I5962,2)="MV",2*N5962*IF(L5962="1/C",O5962,1),0)</f>
        <v/>
      </c>
      <c r="Y5962" s="12">
        <f>IF(OR(LEFT(K5962,4)="LVAX",LEFT(K5962,6)="MV15AX",LEFT(K5962,4)="CTAX",LEFT(K5962,2)="W|"),2*N5962*O5962,0)</f>
        <v/>
      </c>
      <c r="Z5962" s="12" t="inlineStr"/>
      <c r="AA5962" s="12">
        <f>N5962*O5962</f>
        <v/>
      </c>
    </row>
    <row r="5963">
      <c r="A5963" s="12" t="inlineStr">
        <is>
          <t>K-I-0089</t>
        </is>
      </c>
      <c r="B5963" s="12" t="inlineStr">
        <is>
          <t>K</t>
        </is>
      </c>
      <c r="C5963" s="12" t="inlineStr">
        <is>
          <t>Fuel supply (adjacent market)</t>
        </is>
      </c>
      <c r="D5963" s="12" t="inlineStr">
        <is>
          <t>Discrete device to JB JB-LNG 10: truck unlo-DI01: 12 x 1 pr (field cables)</t>
        </is>
      </c>
      <c r="E5963" s="12" t="inlineStr"/>
      <c r="F5963" s="12" t="inlineStr">
        <is>
          <t>LNG 10: truck unloading bay 1</t>
        </is>
      </c>
      <c r="G5963" s="12" t="inlineStr">
        <is>
          <t>JB-LNG 10: truck unlo-DI01</t>
        </is>
      </c>
      <c r="H5963" s="12" t="inlineStr">
        <is>
          <t>LNG 10: truck unloading bay 1</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5" t="n">
        <v>80</v>
      </c>
      <c r="U5963" s="15" t="n">
        <v>10</v>
      </c>
      <c r="V5963" s="15">
        <f>ROUNDUP((T5963+U5963+2*'Read Me'!$B$13)*(1+'Read Me'!$B$12),-1)</f>
        <v/>
      </c>
      <c r="W5963" s="15">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K-I-0090</t>
        </is>
      </c>
      <c r="B5964" s="12" t="inlineStr">
        <is>
          <t>K</t>
        </is>
      </c>
      <c r="C5964" s="12" t="inlineStr">
        <is>
          <t>Fuel supply (adjacent market)</t>
        </is>
      </c>
      <c r="D5964" s="12" t="inlineStr">
        <is>
          <t>Home run JB-LNG 10: truck unlo-DI01 to the control / marshalling room</t>
        </is>
      </c>
      <c r="E5964" s="12" t="inlineStr"/>
      <c r="F5964" s="12" t="inlineStr">
        <is>
          <t>LNG 17: LNG e-house (13.8 kV / 480 V)</t>
        </is>
      </c>
      <c r="G5964" s="12" t="inlineStr">
        <is>
          <t>JB-LNG 10: truck unlo-DI01</t>
        </is>
      </c>
      <c r="H5964" s="12" t="inlineStr">
        <is>
          <t>LNG 10: truck unloading bay 1</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5" t="n">
        <v>237</v>
      </c>
      <c r="U5964" s="15" t="n">
        <v>61</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K-I-0091</t>
        </is>
      </c>
      <c r="B5965" s="12" t="inlineStr">
        <is>
          <t>K</t>
        </is>
      </c>
      <c r="C5965" s="12" t="inlineStr">
        <is>
          <t>Fuel supply (adjacent market)</t>
        </is>
      </c>
      <c r="D5965" s="12" t="inlineStr">
        <is>
          <t>Analog instrument to JB JB-LNG 10: truck unlo-AI01: 12 x 1 pr (field cables)</t>
        </is>
      </c>
      <c r="E5965" s="12" t="inlineStr"/>
      <c r="F5965" s="12" t="inlineStr">
        <is>
          <t>LNG 10: truck unloading bay 2</t>
        </is>
      </c>
      <c r="G5965" s="12" t="inlineStr">
        <is>
          <t>JB-LNG 10: truck unlo-AI01</t>
        </is>
      </c>
      <c r="H5965" s="12" t="inlineStr">
        <is>
          <t>LNG 10: truck unloading bay 2</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5" t="n">
        <v>80</v>
      </c>
      <c r="U5965" s="15" t="n">
        <v>10</v>
      </c>
      <c r="V5965" s="15">
        <f>ROUNDUP((T5965+U5965+2*'Read Me'!$B$13)*(1+'Read Me'!$B$12),-1)</f>
        <v/>
      </c>
      <c r="W5965" s="15">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K-I-0092</t>
        </is>
      </c>
      <c r="B5966" s="12" t="inlineStr">
        <is>
          <t>K</t>
        </is>
      </c>
      <c r="C5966" s="12" t="inlineStr">
        <is>
          <t>Fuel supply (adjacent market)</t>
        </is>
      </c>
      <c r="D5966" s="12" t="inlineStr">
        <is>
          <t>Home run JB-LNG 10: truck unlo-AI01 to the control / marshalling room</t>
        </is>
      </c>
      <c r="E5966" s="12" t="inlineStr"/>
      <c r="F5966" s="12" t="inlineStr">
        <is>
          <t>LNG 17: LNG e-house (13.8 kV / 480 V)</t>
        </is>
      </c>
      <c r="G5966" s="12" t="inlineStr">
        <is>
          <t>JB-LNG 10: truck unlo-AI01</t>
        </is>
      </c>
      <c r="H5966" s="12" t="inlineStr">
        <is>
          <t>LNG 10: truck unloading bay 2</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5" t="n">
        <v>147</v>
      </c>
      <c r="U5966" s="15" t="n">
        <v>66</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K-I-0093</t>
        </is>
      </c>
      <c r="B5967" s="12" t="inlineStr">
        <is>
          <t>K</t>
        </is>
      </c>
      <c r="C5967" s="12" t="inlineStr">
        <is>
          <t>Fuel supply (adjacent market)</t>
        </is>
      </c>
      <c r="D5967" s="12" t="inlineStr">
        <is>
          <t>Discrete device to JB JB-LNG 10: truck unlo-DI01: 12 x 1 pr (field cables)</t>
        </is>
      </c>
      <c r="E5967" s="12" t="inlineStr"/>
      <c r="F5967" s="12" t="inlineStr">
        <is>
          <t>LNG 10: truck unloading bay 2</t>
        </is>
      </c>
      <c r="G5967" s="12" t="inlineStr">
        <is>
          <t>JB-LNG 10: truck unlo-DI01</t>
        </is>
      </c>
      <c r="H5967" s="12" t="inlineStr">
        <is>
          <t>LNG 10: truck unloading bay 2</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5" t="n">
        <v>80</v>
      </c>
      <c r="U5967" s="15" t="n">
        <v>10</v>
      </c>
      <c r="V5967" s="15">
        <f>ROUNDUP((T5967+U5967+2*'Read Me'!$B$13)*(1+'Read Me'!$B$12),-1)</f>
        <v/>
      </c>
      <c r="W5967" s="15">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K-I-0094</t>
        </is>
      </c>
      <c r="B5968" s="12" t="inlineStr">
        <is>
          <t>K</t>
        </is>
      </c>
      <c r="C5968" s="12" t="inlineStr">
        <is>
          <t>Fuel supply (adjacent market)</t>
        </is>
      </c>
      <c r="D5968" s="12" t="inlineStr">
        <is>
          <t>Home run JB-LNG 10: truck unlo-DI01 to the control / marshalling room</t>
        </is>
      </c>
      <c r="E5968" s="12" t="inlineStr"/>
      <c r="F5968" s="12" t="inlineStr">
        <is>
          <t>LNG 17: LNG e-house (13.8 kV / 480 V)</t>
        </is>
      </c>
      <c r="G5968" s="12" t="inlineStr">
        <is>
          <t>JB-LNG 10: truck unlo-DI01</t>
        </is>
      </c>
      <c r="H5968" s="12" t="inlineStr">
        <is>
          <t>LNG 10: truck unloading bay 2</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5" t="n">
        <v>147</v>
      </c>
      <c r="U5968" s="15" t="n">
        <v>66</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K-I-0095</t>
        </is>
      </c>
      <c r="B5969" s="12" t="inlineStr">
        <is>
          <t>K</t>
        </is>
      </c>
      <c r="C5969" s="12" t="inlineStr">
        <is>
          <t>Fuel supply (adjacent market)</t>
        </is>
      </c>
      <c r="D5969" s="12" t="inlineStr">
        <is>
          <t>Analog instrument to JB JB-LNG 10: unloading -AI01: 12 x 1 pr (field cables)</t>
        </is>
      </c>
      <c r="E5969" s="12" t="inlineStr"/>
      <c r="F5969" s="12" t="inlineStr">
        <is>
          <t>LNG 10: unloading skid</t>
        </is>
      </c>
      <c r="G5969" s="12" t="inlineStr">
        <is>
          <t>JB-LNG 10: unloading -AI01</t>
        </is>
      </c>
      <c r="H5969" s="12" t="inlineStr">
        <is>
          <t>LNG 10: unloading skid</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5" t="n">
        <v>54</v>
      </c>
      <c r="U5969" s="15" t="n">
        <v>10</v>
      </c>
      <c r="V5969" s="15">
        <f>ROUNDUP((T5969+U5969+2*'Read Me'!$B$13)*(1+'Read Me'!$B$12),-1)</f>
        <v/>
      </c>
      <c r="W5969" s="15">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K-I-0096</t>
        </is>
      </c>
      <c r="B5970" s="12" t="inlineStr">
        <is>
          <t>K</t>
        </is>
      </c>
      <c r="C5970" s="12" t="inlineStr">
        <is>
          <t>Fuel supply (adjacent market)</t>
        </is>
      </c>
      <c r="D5970" s="12" t="inlineStr">
        <is>
          <t>Home run JB-LNG 10: unloading -AI01 to the control / marshalling room</t>
        </is>
      </c>
      <c r="E5970" s="12" t="inlineStr"/>
      <c r="F5970" s="12" t="inlineStr">
        <is>
          <t>LNG 17: LNG e-house (13.8 kV / 480 V)</t>
        </is>
      </c>
      <c r="G5970" s="12" t="inlineStr">
        <is>
          <t>JB-LNG 10: unloading -AI01</t>
        </is>
      </c>
      <c r="H5970" s="12" t="inlineStr">
        <is>
          <t>LNG 10: unloading skid</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5" t="n">
        <v>237</v>
      </c>
      <c r="U5970" s="15" t="n">
        <v>32</v>
      </c>
      <c r="V5970" s="15">
        <f>ROUNDUP((T5970+U5970+2*'Read Me'!$B$13)*(1+'Read Me'!$B$12),-1)</f>
        <v/>
      </c>
      <c r="W5970" s="15">
        <f>V5970*N5970*O5970</f>
        <v/>
      </c>
      <c r="X5970" s="12">
        <f>IF(LEFT(I5970,2)="MV",2*N5970*IF(L5970="1/C",O5970,1),0)</f>
        <v/>
      </c>
      <c r="Y5970" s="12">
        <f>IF(OR(LEFT(K5970,4)="LVAX",LEFT(K5970,6)="MV15AX",LEFT(K5970,4)="CTAX",LEFT(K5970,2)="W|"),2*N5970*O5970,0)</f>
        <v/>
      </c>
      <c r="Z5970" s="12" t="inlineStr"/>
      <c r="AA5970" s="12">
        <f>N5970*O5970</f>
        <v/>
      </c>
    </row>
    <row r="5971">
      <c r="A5971" s="12" t="inlineStr">
        <is>
          <t>K-I-0097</t>
        </is>
      </c>
      <c r="B5971" s="12" t="inlineStr">
        <is>
          <t>K</t>
        </is>
      </c>
      <c r="C5971" s="12" t="inlineStr">
        <is>
          <t>Fuel supply (adjacent market)</t>
        </is>
      </c>
      <c r="D5971" s="12" t="inlineStr">
        <is>
          <t>Discrete device to JB JB-LNG 10: unloading -DI01: 12 x 1 pr (field cables)</t>
        </is>
      </c>
      <c r="E5971" s="12" t="inlineStr"/>
      <c r="F5971" s="12" t="inlineStr">
        <is>
          <t>LNG 10: unloading skid</t>
        </is>
      </c>
      <c r="G5971" s="12" t="inlineStr">
        <is>
          <t>JB-LNG 10: unloading -DI01</t>
        </is>
      </c>
      <c r="H5971" s="12" t="inlineStr">
        <is>
          <t>LNG 10: unloading skid</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5" t="n">
        <v>54</v>
      </c>
      <c r="U5971" s="15" t="n">
        <v>10</v>
      </c>
      <c r="V5971" s="15">
        <f>ROUNDUP((T5971+U5971+2*'Read Me'!$B$13)*(1+'Read Me'!$B$12),-1)</f>
        <v/>
      </c>
      <c r="W5971" s="15">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K-I-0098</t>
        </is>
      </c>
      <c r="B5972" s="12" t="inlineStr">
        <is>
          <t>K</t>
        </is>
      </c>
      <c r="C5972" s="12" t="inlineStr">
        <is>
          <t>Fuel supply (adjacent market)</t>
        </is>
      </c>
      <c r="D5972" s="12" t="inlineStr">
        <is>
          <t>Home run JB-LNG 10: unloading -DI01 to the control / marshalling room</t>
        </is>
      </c>
      <c r="E5972" s="12" t="inlineStr"/>
      <c r="F5972" s="12" t="inlineStr">
        <is>
          <t>LNG 17: LNG e-house (13.8 kV / 480 V)</t>
        </is>
      </c>
      <c r="G5972" s="12" t="inlineStr">
        <is>
          <t>JB-LNG 10: unloading -DI01</t>
        </is>
      </c>
      <c r="H5972" s="12" t="inlineStr">
        <is>
          <t>LNG 10: unloading skid</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5" t="n">
        <v>237</v>
      </c>
      <c r="U5972" s="15" t="n">
        <v>32</v>
      </c>
      <c r="V5972" s="15">
        <f>ROUNDUP((T5972+U5972+2*'Read Me'!$B$13)*(1+'Read Me'!$B$12),-1)</f>
        <v/>
      </c>
      <c r="W5972" s="15">
        <f>V5972*N5972*O5972</f>
        <v/>
      </c>
      <c r="X5972" s="12">
        <f>IF(LEFT(I5972,2)="MV",2*N5972*IF(L5972="1/C",O5972,1),0)</f>
        <v/>
      </c>
      <c r="Y5972" s="12">
        <f>IF(OR(LEFT(K5972,4)="LVAX",LEFT(K5972,6)="MV15AX",LEFT(K5972,4)="CTAX",LEFT(K5972,2)="W|"),2*N5972*O5972,0)</f>
        <v/>
      </c>
      <c r="Z5972" s="12" t="inlineStr"/>
      <c r="AA5972" s="12">
        <f>N5972*O5972</f>
        <v/>
      </c>
    </row>
    <row r="5973">
      <c r="A5973" s="12" t="inlineStr">
        <is>
          <t>K-I-0099</t>
        </is>
      </c>
      <c r="B5973" s="12" t="inlineStr">
        <is>
          <t>K</t>
        </is>
      </c>
      <c r="C5973" s="12" t="inlineStr">
        <is>
          <t>Fuel supply (adjacent market)</t>
        </is>
      </c>
      <c r="D5973" s="12" t="inlineStr">
        <is>
          <t>Analog instrument to JB JB-LNG-T1-AI01: 4 x 1 pr (field cables)</t>
        </is>
      </c>
      <c r="E5973" s="12" t="inlineStr">
        <is>
          <t>LNG-T1</t>
        </is>
      </c>
      <c r="F5973" s="12" t="inlineStr">
        <is>
          <t>LNG 11: tank 1, Chart HS 50000 (51,780 gal)</t>
        </is>
      </c>
      <c r="G5973" s="12" t="inlineStr">
        <is>
          <t>JB-LNG-T1-AI01</t>
        </is>
      </c>
      <c r="H5973" s="12" t="inlineStr">
        <is>
          <t>LNG 11: tank 1, Chart HS 50000 (51,780 gal)</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4</v>
      </c>
      <c r="O5973" s="12" t="n">
        <v>1</v>
      </c>
      <c r="P5973" s="12" t="n"/>
      <c r="Q5973" s="12" t="n"/>
      <c r="R5973" s="12" t="n"/>
      <c r="S5973" s="12" t="inlineStr">
        <is>
          <t>Tray / conduit</t>
        </is>
      </c>
      <c r="T5973" s="15" t="n">
        <v>77</v>
      </c>
      <c r="U5973" s="15" t="n">
        <v>10</v>
      </c>
      <c r="V5973" s="15">
        <f>ROUNDUP((T5973+U5973+2*'Read Me'!$B$13)*(1+'Read Me'!$B$12),-1)</f>
        <v/>
      </c>
      <c r="W5973" s="15">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K-I-0100</t>
        </is>
      </c>
      <c r="B5974" s="12" t="inlineStr">
        <is>
          <t>K</t>
        </is>
      </c>
      <c r="C5974" s="12" t="inlineStr">
        <is>
          <t>Fuel supply (adjacent market)</t>
        </is>
      </c>
      <c r="D5974" s="12" t="inlineStr">
        <is>
          <t>Home run JB-LNG-T1-AI01 to the control / marshalling room</t>
        </is>
      </c>
      <c r="E5974" s="12" t="inlineStr"/>
      <c r="F5974" s="12" t="inlineStr">
        <is>
          <t>LNG 17: LNG e-house (13.8 kV / 480 V)</t>
        </is>
      </c>
      <c r="G5974" s="12" t="inlineStr">
        <is>
          <t>JB-LNG-T1-AI01</t>
        </is>
      </c>
      <c r="H5974" s="12" t="inlineStr">
        <is>
          <t>LNG 11: tank 1, Chart HS 50000 (51,780 gal)</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5" t="n">
        <v>210</v>
      </c>
      <c r="U5974" s="15" t="n">
        <v>32</v>
      </c>
      <c r="V5974" s="15">
        <f>ROUNDUP((T5974+U5974+2*'Read Me'!$B$13)*(1+'Read Me'!$B$12),-1)</f>
        <v/>
      </c>
      <c r="W5974" s="15">
        <f>V5974*N5974*O5974</f>
        <v/>
      </c>
      <c r="X5974" s="12">
        <f>IF(LEFT(I5974,2)="MV",2*N5974*IF(L5974="1/C",O5974,1),0)</f>
        <v/>
      </c>
      <c r="Y5974" s="12">
        <f>IF(OR(LEFT(K5974,4)="LVAX",LEFT(K5974,6)="MV15AX",LEFT(K5974,4)="CTAX",LEFT(K5974,2)="W|"),2*N5974*O5974,0)</f>
        <v/>
      </c>
      <c r="Z5974" s="12" t="inlineStr"/>
      <c r="AA5974" s="12">
        <f>N5974*O5974</f>
        <v/>
      </c>
    </row>
    <row r="5975">
      <c r="A5975" s="12" t="inlineStr">
        <is>
          <t>K-I-0101</t>
        </is>
      </c>
      <c r="B5975" s="12" t="inlineStr">
        <is>
          <t>K</t>
        </is>
      </c>
      <c r="C5975" s="12" t="inlineStr">
        <is>
          <t>Fuel supply (adjacent market)</t>
        </is>
      </c>
      <c r="D5975" s="12" t="inlineStr">
        <is>
          <t>Discrete device to JB JB-LNG-T1-DI01: 4 x 1 pr (field cables)</t>
        </is>
      </c>
      <c r="E5975" s="12" t="inlineStr">
        <is>
          <t>LNG-T1</t>
        </is>
      </c>
      <c r="F5975" s="12" t="inlineStr">
        <is>
          <t>LNG 11: tank 1, Chart HS 50000 (51,780 gal)</t>
        </is>
      </c>
      <c r="G5975" s="12" t="inlineStr">
        <is>
          <t>JB-LNG-T1-DI01</t>
        </is>
      </c>
      <c r="H5975" s="12" t="inlineStr">
        <is>
          <t>LNG 11: tank 1, Chart HS 50000 (51,780 gal)</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4</v>
      </c>
      <c r="O5975" s="12" t="n">
        <v>1</v>
      </c>
      <c r="P5975" s="12" t="n"/>
      <c r="Q5975" s="12" t="n"/>
      <c r="R5975" s="12" t="n"/>
      <c r="S5975" s="12" t="inlineStr">
        <is>
          <t>Tray / conduit</t>
        </is>
      </c>
      <c r="T5975" s="15" t="n">
        <v>77</v>
      </c>
      <c r="U5975" s="15" t="n">
        <v>10</v>
      </c>
      <c r="V5975" s="15">
        <f>ROUNDUP((T5975+U5975+2*'Read Me'!$B$13)*(1+'Read Me'!$B$12),-1)</f>
        <v/>
      </c>
      <c r="W5975" s="15">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K-I-0102</t>
        </is>
      </c>
      <c r="B5976" s="12" t="inlineStr">
        <is>
          <t>K</t>
        </is>
      </c>
      <c r="C5976" s="12" t="inlineStr">
        <is>
          <t>Fuel supply (adjacent market)</t>
        </is>
      </c>
      <c r="D5976" s="12" t="inlineStr">
        <is>
          <t>Home run JB-LNG-T1-DI01 to the control / marshalling room</t>
        </is>
      </c>
      <c r="E5976" s="12" t="inlineStr"/>
      <c r="F5976" s="12" t="inlineStr">
        <is>
          <t>LNG 17: LNG e-house (13.8 kV / 480 V)</t>
        </is>
      </c>
      <c r="G5976" s="12" t="inlineStr">
        <is>
          <t>JB-LNG-T1-DI01</t>
        </is>
      </c>
      <c r="H5976" s="12" t="inlineStr">
        <is>
          <t>LNG 11: tank 1, Chart HS 50000 (51,780 gal)</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5" t="n">
        <v>210</v>
      </c>
      <c r="U5976" s="15" t="n">
        <v>32</v>
      </c>
      <c r="V5976" s="15">
        <f>ROUNDUP((T5976+U5976+2*'Read Me'!$B$13)*(1+'Read Me'!$B$12),-1)</f>
        <v/>
      </c>
      <c r="W5976" s="15">
        <f>V5976*N5976*O5976</f>
        <v/>
      </c>
      <c r="X5976" s="12">
        <f>IF(LEFT(I5976,2)="MV",2*N5976*IF(L5976="1/C",O5976,1),0)</f>
        <v/>
      </c>
      <c r="Y5976" s="12">
        <f>IF(OR(LEFT(K5976,4)="LVAX",LEFT(K5976,6)="MV15AX",LEFT(K5976,4)="CTAX",LEFT(K5976,2)="W|"),2*N5976*O5976,0)</f>
        <v/>
      </c>
      <c r="Z5976" s="12" t="inlineStr"/>
      <c r="AA5976" s="12">
        <f>N5976*O5976</f>
        <v/>
      </c>
    </row>
    <row r="5977">
      <c r="A5977" s="12" t="inlineStr">
        <is>
          <t>K-I-0103</t>
        </is>
      </c>
      <c r="B5977" s="12" t="inlineStr">
        <is>
          <t>K</t>
        </is>
      </c>
      <c r="C5977" s="12" t="inlineStr">
        <is>
          <t>Fuel supply (adjacent market)</t>
        </is>
      </c>
      <c r="D5977" s="12" t="inlineStr">
        <is>
          <t>Analog instrument to JB JB-LNG-T2-AI01: 4 x 1 pr (field cables)</t>
        </is>
      </c>
      <c r="E5977" s="12" t="inlineStr">
        <is>
          <t>LNG-T2</t>
        </is>
      </c>
      <c r="F5977" s="12" t="inlineStr">
        <is>
          <t>LNG 11: tank 2, Chart HS 50000 (51,780 gal)</t>
        </is>
      </c>
      <c r="G5977" s="12" t="inlineStr">
        <is>
          <t>JB-LNG-T2-AI01</t>
        </is>
      </c>
      <c r="H5977" s="12" t="inlineStr">
        <is>
          <t>LNG 11: tank 2, Chart HS 50000 (51,780 gal)</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4</v>
      </c>
      <c r="O5977" s="12" t="n">
        <v>1</v>
      </c>
      <c r="P5977" s="12" t="n"/>
      <c r="Q5977" s="12" t="n"/>
      <c r="R5977" s="12" t="n"/>
      <c r="S5977" s="12" t="inlineStr">
        <is>
          <t>Tray / conduit</t>
        </is>
      </c>
      <c r="T5977" s="15" t="n">
        <v>77</v>
      </c>
      <c r="U5977" s="15" t="n">
        <v>10</v>
      </c>
      <c r="V5977" s="15">
        <f>ROUNDUP((T5977+U5977+2*'Read Me'!$B$13)*(1+'Read Me'!$B$12),-1)</f>
        <v/>
      </c>
      <c r="W5977" s="15">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K-I-0104</t>
        </is>
      </c>
      <c r="B5978" s="12" t="inlineStr">
        <is>
          <t>K</t>
        </is>
      </c>
      <c r="C5978" s="12" t="inlineStr">
        <is>
          <t>Fuel supply (adjacent market)</t>
        </is>
      </c>
      <c r="D5978" s="12" t="inlineStr">
        <is>
          <t>Home run JB-LNG-T2-AI01 to the control / marshalling room</t>
        </is>
      </c>
      <c r="E5978" s="12" t="inlineStr"/>
      <c r="F5978" s="12" t="inlineStr">
        <is>
          <t>LNG 17: LNG e-house (13.8 kV / 480 V)</t>
        </is>
      </c>
      <c r="G5978" s="12" t="inlineStr">
        <is>
          <t>JB-LNG-T2-AI01</t>
        </is>
      </c>
      <c r="H5978" s="12" t="inlineStr">
        <is>
          <t>LNG 11: tank 2, Chart HS 50000 (51,780 gal)</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5" t="n">
        <v>230</v>
      </c>
      <c r="U5978" s="15" t="n">
        <v>32</v>
      </c>
      <c r="V5978" s="15">
        <f>ROUNDUP((T5978+U5978+2*'Read Me'!$B$13)*(1+'Read Me'!$B$12),-1)</f>
        <v/>
      </c>
      <c r="W5978" s="15">
        <f>V5978*N5978*O5978</f>
        <v/>
      </c>
      <c r="X5978" s="12">
        <f>IF(LEFT(I5978,2)="MV",2*N5978*IF(L5978="1/C",O5978,1),0)</f>
        <v/>
      </c>
      <c r="Y5978" s="12">
        <f>IF(OR(LEFT(K5978,4)="LVAX",LEFT(K5978,6)="MV15AX",LEFT(K5978,4)="CTAX",LEFT(K5978,2)="W|"),2*N5978*O5978,0)</f>
        <v/>
      </c>
      <c r="Z5978" s="12" t="inlineStr"/>
      <c r="AA5978" s="12">
        <f>N5978*O5978</f>
        <v/>
      </c>
    </row>
    <row r="5979">
      <c r="A5979" s="12" t="inlineStr">
        <is>
          <t>K-I-0105</t>
        </is>
      </c>
      <c r="B5979" s="12" t="inlineStr">
        <is>
          <t>K</t>
        </is>
      </c>
      <c r="C5979" s="12" t="inlineStr">
        <is>
          <t>Fuel supply (adjacent market)</t>
        </is>
      </c>
      <c r="D5979" s="12" t="inlineStr">
        <is>
          <t>Discrete device to JB JB-LNG-T2-DI01: 4 x 1 pr (field cables)</t>
        </is>
      </c>
      <c r="E5979" s="12" t="inlineStr">
        <is>
          <t>LNG-T2</t>
        </is>
      </c>
      <c r="F5979" s="12" t="inlineStr">
        <is>
          <t>LNG 11: tank 2, Chart HS 50000 (51,780 gal)</t>
        </is>
      </c>
      <c r="G5979" s="12" t="inlineStr">
        <is>
          <t>JB-LNG-T2-DI01</t>
        </is>
      </c>
      <c r="H5979" s="12" t="inlineStr">
        <is>
          <t>LNG 11: tank 2, Chart HS 50000 (51,780 gal)</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4</v>
      </c>
      <c r="O5979" s="12" t="n">
        <v>1</v>
      </c>
      <c r="P5979" s="12" t="n"/>
      <c r="Q5979" s="12" t="n"/>
      <c r="R5979" s="12" t="n"/>
      <c r="S5979" s="12" t="inlineStr">
        <is>
          <t>Tray / conduit</t>
        </is>
      </c>
      <c r="T5979" s="15" t="n">
        <v>77</v>
      </c>
      <c r="U5979" s="15" t="n">
        <v>10</v>
      </c>
      <c r="V5979" s="15">
        <f>ROUNDUP((T5979+U5979+2*'Read Me'!$B$13)*(1+'Read Me'!$B$12),-1)</f>
        <v/>
      </c>
      <c r="W5979" s="15">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K-I-0106</t>
        </is>
      </c>
      <c r="B5980" s="12" t="inlineStr">
        <is>
          <t>K</t>
        </is>
      </c>
      <c r="C5980" s="12" t="inlineStr">
        <is>
          <t>Fuel supply (adjacent market)</t>
        </is>
      </c>
      <c r="D5980" s="12" t="inlineStr">
        <is>
          <t>Home run JB-LNG-T2-DI01 to the control / marshalling room</t>
        </is>
      </c>
      <c r="E5980" s="12" t="inlineStr"/>
      <c r="F5980" s="12" t="inlineStr">
        <is>
          <t>LNG 17: LNG e-house (13.8 kV / 480 V)</t>
        </is>
      </c>
      <c r="G5980" s="12" t="inlineStr">
        <is>
          <t>JB-LNG-T2-DI01</t>
        </is>
      </c>
      <c r="H5980" s="12" t="inlineStr">
        <is>
          <t>LNG 11: tank 2, Chart HS 50000 (51,780 gal)</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5" t="n">
        <v>230</v>
      </c>
      <c r="U5980" s="15" t="n">
        <v>32</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K-I-0107</t>
        </is>
      </c>
      <c r="B5981" s="12" t="inlineStr">
        <is>
          <t>K</t>
        </is>
      </c>
      <c r="C5981" s="12" t="inlineStr">
        <is>
          <t>Fuel supply (adjacent market)</t>
        </is>
      </c>
      <c r="D5981" s="12" t="inlineStr">
        <is>
          <t>Analog instrument to JB JB-LNG-T3-AI01: 4 x 1 pr (field cables)</t>
        </is>
      </c>
      <c r="E5981" s="12" t="inlineStr">
        <is>
          <t>LNG-T3</t>
        </is>
      </c>
      <c r="F5981" s="12" t="inlineStr">
        <is>
          <t>LNG 11: tank 3, Chart HS 50000 (51,780 gal)</t>
        </is>
      </c>
      <c r="G5981" s="12" t="inlineStr">
        <is>
          <t>JB-LNG-T3-AI01</t>
        </is>
      </c>
      <c r="H5981" s="12" t="inlineStr">
        <is>
          <t>LNG 11: tank 3, Chart HS 50000 (51,780 gal)</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4</v>
      </c>
      <c r="O5981" s="12" t="n">
        <v>1</v>
      </c>
      <c r="P5981" s="12" t="n"/>
      <c r="Q5981" s="12" t="n"/>
      <c r="R5981" s="12" t="n"/>
      <c r="S5981" s="12" t="inlineStr">
        <is>
          <t>Tray / conduit</t>
        </is>
      </c>
      <c r="T5981" s="15" t="n">
        <v>77</v>
      </c>
      <c r="U5981" s="15" t="n">
        <v>10</v>
      </c>
      <c r="V5981" s="15">
        <f>ROUNDUP((T5981+U5981+2*'Read Me'!$B$13)*(1+'Read Me'!$B$12),-1)</f>
        <v/>
      </c>
      <c r="W5981" s="15">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K-I-0108</t>
        </is>
      </c>
      <c r="B5982" s="12" t="inlineStr">
        <is>
          <t>K</t>
        </is>
      </c>
      <c r="C5982" s="12" t="inlineStr">
        <is>
          <t>Fuel supply (adjacent market)</t>
        </is>
      </c>
      <c r="D5982" s="12" t="inlineStr">
        <is>
          <t>Home run JB-LNG-T3-AI01 to the control / marshalling room</t>
        </is>
      </c>
      <c r="E5982" s="12" t="inlineStr"/>
      <c r="F5982" s="12" t="inlineStr">
        <is>
          <t>LNG 17: LNG e-house (13.8 kV / 480 V)</t>
        </is>
      </c>
      <c r="G5982" s="12" t="inlineStr">
        <is>
          <t>JB-LNG-T3-AI01</t>
        </is>
      </c>
      <c r="H5982" s="12" t="inlineStr">
        <is>
          <t>LNG 11: tank 3, Chart HS 50000 (51,780 gal)</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5" t="n">
        <v>250</v>
      </c>
      <c r="U5982" s="15" t="n">
        <v>32</v>
      </c>
      <c r="V5982" s="15">
        <f>ROUNDUP((T5982+U5982+2*'Read Me'!$B$13)*(1+'Read Me'!$B$12),-1)</f>
        <v/>
      </c>
      <c r="W5982" s="15">
        <f>V5982*N5982*O5982</f>
        <v/>
      </c>
      <c r="X5982" s="12">
        <f>IF(LEFT(I5982,2)="MV",2*N5982*IF(L5982="1/C",O5982,1),0)</f>
        <v/>
      </c>
      <c r="Y5982" s="12">
        <f>IF(OR(LEFT(K5982,4)="LVAX",LEFT(K5982,6)="MV15AX",LEFT(K5982,4)="CTAX",LEFT(K5982,2)="W|"),2*N5982*O5982,0)</f>
        <v/>
      </c>
      <c r="Z5982" s="12" t="inlineStr"/>
      <c r="AA5982" s="12">
        <f>N5982*O5982</f>
        <v/>
      </c>
    </row>
    <row r="5983">
      <c r="A5983" s="12" t="inlineStr">
        <is>
          <t>K-I-0109</t>
        </is>
      </c>
      <c r="B5983" s="12" t="inlineStr">
        <is>
          <t>K</t>
        </is>
      </c>
      <c r="C5983" s="12" t="inlineStr">
        <is>
          <t>Fuel supply (adjacent market)</t>
        </is>
      </c>
      <c r="D5983" s="12" t="inlineStr">
        <is>
          <t>Discrete device to JB JB-LNG-T3-DI01: 4 x 1 pr (field cables)</t>
        </is>
      </c>
      <c r="E5983" s="12" t="inlineStr">
        <is>
          <t>LNG-T3</t>
        </is>
      </c>
      <c r="F5983" s="12" t="inlineStr">
        <is>
          <t>LNG 11: tank 3, Chart HS 50000 (51,780 gal)</t>
        </is>
      </c>
      <c r="G5983" s="12" t="inlineStr">
        <is>
          <t>JB-LNG-T3-DI01</t>
        </is>
      </c>
      <c r="H5983" s="12" t="inlineStr">
        <is>
          <t>LNG 11: tank 3, Chart HS 50000 (51,780 gal)</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4</v>
      </c>
      <c r="O5983" s="12" t="n">
        <v>1</v>
      </c>
      <c r="P5983" s="12" t="n"/>
      <c r="Q5983" s="12" t="n"/>
      <c r="R5983" s="12" t="n"/>
      <c r="S5983" s="12" t="inlineStr">
        <is>
          <t>Tray / conduit</t>
        </is>
      </c>
      <c r="T5983" s="15" t="n">
        <v>77</v>
      </c>
      <c r="U5983" s="15" t="n">
        <v>10</v>
      </c>
      <c r="V5983" s="15">
        <f>ROUNDUP((T5983+U5983+2*'Read Me'!$B$13)*(1+'Read Me'!$B$12),-1)</f>
        <v/>
      </c>
      <c r="W5983" s="15">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K-I-0110</t>
        </is>
      </c>
      <c r="B5984" s="12" t="inlineStr">
        <is>
          <t>K</t>
        </is>
      </c>
      <c r="C5984" s="12" t="inlineStr">
        <is>
          <t>Fuel supply (adjacent market)</t>
        </is>
      </c>
      <c r="D5984" s="12" t="inlineStr">
        <is>
          <t>Home run JB-LNG-T3-DI01 to the control / marshalling room</t>
        </is>
      </c>
      <c r="E5984" s="12" t="inlineStr"/>
      <c r="F5984" s="12" t="inlineStr">
        <is>
          <t>LNG 17: LNG e-house (13.8 kV / 480 V)</t>
        </is>
      </c>
      <c r="G5984" s="12" t="inlineStr">
        <is>
          <t>JB-LNG-T3-DI01</t>
        </is>
      </c>
      <c r="H5984" s="12" t="inlineStr">
        <is>
          <t>LNG 11: tank 3, Chart HS 50000 (51,780 gal)</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5" t="n">
        <v>250</v>
      </c>
      <c r="U5984" s="15" t="n">
        <v>32</v>
      </c>
      <c r="V5984" s="15">
        <f>ROUNDUP((T5984+U5984+2*'Read Me'!$B$13)*(1+'Read Me'!$B$12),-1)</f>
        <v/>
      </c>
      <c r="W5984" s="15">
        <f>V5984*N5984*O5984</f>
        <v/>
      </c>
      <c r="X5984" s="12">
        <f>IF(LEFT(I5984,2)="MV",2*N5984*IF(L5984="1/C",O5984,1),0)</f>
        <v/>
      </c>
      <c r="Y5984" s="12">
        <f>IF(OR(LEFT(K5984,4)="LVAX",LEFT(K5984,6)="MV15AX",LEFT(K5984,4)="CTAX",LEFT(K5984,2)="W|"),2*N5984*O5984,0)</f>
        <v/>
      </c>
      <c r="Z5984" s="12" t="inlineStr"/>
      <c r="AA5984" s="12">
        <f>N5984*O5984</f>
        <v/>
      </c>
    </row>
    <row r="5985">
      <c r="A5985" s="12" t="inlineStr">
        <is>
          <t>K-I-0111</t>
        </is>
      </c>
      <c r="B5985" s="12" t="inlineStr">
        <is>
          <t>K</t>
        </is>
      </c>
      <c r="C5985" s="12" t="inlineStr">
        <is>
          <t>Fuel supply (adjacent market)</t>
        </is>
      </c>
      <c r="D5985" s="12" t="inlineStr">
        <is>
          <t>Analog instrument to JB JB-LNG-T4-AI01: 4 x 1 pr (field cables)</t>
        </is>
      </c>
      <c r="E5985" s="12" t="inlineStr">
        <is>
          <t>LNG-T4</t>
        </is>
      </c>
      <c r="F5985" s="12" t="inlineStr">
        <is>
          <t>LNG 11: tank 4, Chart HS 50000 (51,780 gal)</t>
        </is>
      </c>
      <c r="G5985" s="12" t="inlineStr">
        <is>
          <t>JB-LNG-T4-AI01</t>
        </is>
      </c>
      <c r="H5985" s="12" t="inlineStr">
        <is>
          <t>LNG 11: tank 4, Chart HS 50000 (51,780 gal)</t>
        </is>
      </c>
      <c r="I5985" s="12" t="inlineStr">
        <is>
          <t>Instrumentation</t>
        </is>
      </c>
      <c r="J5985" s="12" t="inlineStr">
        <is>
          <t>Instrumentation ITC / PLTC, IS, #18 shielded pairs, blue jacket</t>
        </is>
      </c>
      <c r="K5985" s="12" t="inlineStr">
        <is>
          <t>ITC|1 pr|16</t>
        </is>
      </c>
      <c r="L5985" s="12" t="inlineStr">
        <is>
          <t>1 pr</t>
        </is>
      </c>
      <c r="M5985" s="12" t="inlineStr">
        <is>
          <t>16</t>
        </is>
      </c>
      <c r="N5985" s="12" t="n">
        <v>4</v>
      </c>
      <c r="O5985" s="12" t="n">
        <v>1</v>
      </c>
      <c r="P5985" s="12" t="n"/>
      <c r="Q5985" s="12" t="n"/>
      <c r="R5985" s="12" t="n"/>
      <c r="S5985" s="12" t="inlineStr">
        <is>
          <t>Tray / conduit</t>
        </is>
      </c>
      <c r="T5985" s="15" t="n">
        <v>77</v>
      </c>
      <c r="U5985" s="15" t="n">
        <v>10</v>
      </c>
      <c r="V5985" s="15">
        <f>ROUNDUP((T5985+U5985+2*'Read Me'!$B$13)*(1+'Read Me'!$B$12),-1)</f>
        <v/>
      </c>
      <c r="W5985" s="15">
        <f>V5985*N5985*O5985</f>
        <v/>
      </c>
      <c r="X5985" s="12">
        <f>IF(LEFT(I5985,2)="MV",2*N5985*IF(L5985="1/C",O5985,1),0)</f>
        <v/>
      </c>
      <c r="Y5985" s="12">
        <f>IF(OR(LEFT(K5985,4)="LVAX",LEFT(K5985,6)="MV15AX",LEFT(K5985,4)="CTAX",LEFT(K5985,2)="W|"),2*N5985*O5985,0)</f>
        <v/>
      </c>
      <c r="Z5985" s="12" t="inlineStr">
        <is>
          <t>device-to-JB field wiring, one cable per device</t>
        </is>
      </c>
      <c r="AA5985" s="12">
        <f>N5985*O5985</f>
        <v/>
      </c>
    </row>
    <row r="5986">
      <c r="A5986" s="12" t="inlineStr">
        <is>
          <t>K-I-0112</t>
        </is>
      </c>
      <c r="B5986" s="12" t="inlineStr">
        <is>
          <t>K</t>
        </is>
      </c>
      <c r="C5986" s="12" t="inlineStr">
        <is>
          <t>Fuel supply (adjacent market)</t>
        </is>
      </c>
      <c r="D5986" s="12" t="inlineStr">
        <is>
          <t>Home run JB-LNG-T4-AI01 to the control / marshalling room</t>
        </is>
      </c>
      <c r="E5986" s="12" t="inlineStr"/>
      <c r="F5986" s="12" t="inlineStr">
        <is>
          <t>LNG 17: LNG e-house (13.8 kV / 480 V)</t>
        </is>
      </c>
      <c r="G5986" s="12" t="inlineStr">
        <is>
          <t>JB-LNG-T4-AI01</t>
        </is>
      </c>
      <c r="H5986" s="12" t="inlineStr">
        <is>
          <t>LNG 11: tank 4, Chart HS 50000 (51,780 gal)</t>
        </is>
      </c>
      <c r="I5986" s="12" t="inlineStr">
        <is>
          <t>Instrumentation</t>
        </is>
      </c>
      <c r="J5986" s="12" t="inlineStr">
        <is>
          <t>Instrumentation ITC / PLTC, IS, #18 shielded pairs, blue jacket</t>
        </is>
      </c>
      <c r="K5986" s="12" t="inlineStr">
        <is>
          <t>ITC|24 pr|18</t>
        </is>
      </c>
      <c r="L5986" s="12" t="inlineStr">
        <is>
          <t>24 pr</t>
        </is>
      </c>
      <c r="M5986" s="12" t="inlineStr">
        <is>
          <t>18</t>
        </is>
      </c>
      <c r="N5986" s="12" t="n">
        <v>1</v>
      </c>
      <c r="O5986" s="12" t="n">
        <v>1</v>
      </c>
      <c r="P5986" s="12" t="n"/>
      <c r="Q5986" s="12" t="n"/>
      <c r="R5986" s="12" t="n"/>
      <c r="S5986" s="12" t="inlineStr">
        <is>
          <t>Duct bank</t>
        </is>
      </c>
      <c r="T5986" s="15" t="n">
        <v>270</v>
      </c>
      <c r="U5986" s="15" t="n">
        <v>32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K-I-0113</t>
        </is>
      </c>
      <c r="B5987" s="12" t="inlineStr">
        <is>
          <t>K</t>
        </is>
      </c>
      <c r="C5987" s="12" t="inlineStr">
        <is>
          <t>Fuel supply (adjacent market)</t>
        </is>
      </c>
      <c r="D5987" s="12" t="inlineStr">
        <is>
          <t>Discrete device to JB JB-LNG-T4-DI01: 4 x 1 pr (field cables)</t>
        </is>
      </c>
      <c r="E5987" s="12" t="inlineStr">
        <is>
          <t>LNG-T4</t>
        </is>
      </c>
      <c r="F5987" s="12" t="inlineStr">
        <is>
          <t>LNG 11: tank 4, Chart HS 50000 (51,780 gal)</t>
        </is>
      </c>
      <c r="G5987" s="12" t="inlineStr">
        <is>
          <t>JB-LNG-T4-DI01</t>
        </is>
      </c>
      <c r="H5987" s="12" t="inlineStr">
        <is>
          <t>LNG 11: tank 4, Chart HS 50000 (51,780 gal)</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4</v>
      </c>
      <c r="O5987" s="12" t="n">
        <v>1</v>
      </c>
      <c r="P5987" s="12" t="n"/>
      <c r="Q5987" s="12" t="n"/>
      <c r="R5987" s="12" t="n"/>
      <c r="S5987" s="12" t="inlineStr">
        <is>
          <t>Tray / conduit</t>
        </is>
      </c>
      <c r="T5987" s="15" t="n">
        <v>77</v>
      </c>
      <c r="U5987" s="15" t="n">
        <v>10</v>
      </c>
      <c r="V5987" s="15">
        <f>ROUNDUP((T5987+U5987+2*'Read Me'!$B$13)*(1+'Read Me'!$B$12),-1)</f>
        <v/>
      </c>
      <c r="W5987" s="15">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K-I-0114</t>
        </is>
      </c>
      <c r="B5988" s="12" t="inlineStr">
        <is>
          <t>K</t>
        </is>
      </c>
      <c r="C5988" s="12" t="inlineStr">
        <is>
          <t>Fuel supply (adjacent market)</t>
        </is>
      </c>
      <c r="D5988" s="12" t="inlineStr">
        <is>
          <t>Home run JB-LNG-T4-DI01 to the control / marshalling room</t>
        </is>
      </c>
      <c r="E5988" s="12" t="inlineStr"/>
      <c r="F5988" s="12" t="inlineStr">
        <is>
          <t>LNG 17: LNG e-house (13.8 kV / 480 V)</t>
        </is>
      </c>
      <c r="G5988" s="12" t="inlineStr">
        <is>
          <t>JB-LNG-T4-DI01</t>
        </is>
      </c>
      <c r="H5988" s="12" t="inlineStr">
        <is>
          <t>LNG 11: tank 4, Chart HS 50000 (51,780 gal)</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5" t="n">
        <v>270</v>
      </c>
      <c r="U5988" s="15" t="n">
        <v>32</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K-I-0115</t>
        </is>
      </c>
      <c r="B5989" s="12" t="inlineStr">
        <is>
          <t>K</t>
        </is>
      </c>
      <c r="C5989" s="12" t="inlineStr">
        <is>
          <t>Fuel supply (adjacent market)</t>
        </is>
      </c>
      <c r="D5989" s="12" t="inlineStr">
        <is>
          <t>Analog instrument to JB JB-LNG-T5-AI01: 4 x 1 pr (field cables)</t>
        </is>
      </c>
      <c r="E5989" s="12" t="inlineStr">
        <is>
          <t>LNG-T5</t>
        </is>
      </c>
      <c r="F5989" s="12" t="inlineStr">
        <is>
          <t>LNG 11: tank 5, Chart HS 50000 (51,780 gal)</t>
        </is>
      </c>
      <c r="G5989" s="12" t="inlineStr">
        <is>
          <t>JB-LNG-T5-AI01</t>
        </is>
      </c>
      <c r="H5989" s="12" t="inlineStr">
        <is>
          <t>LNG 11: tank 5, Chart HS 50000 (51,780 gal)</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4</v>
      </c>
      <c r="O5989" s="12" t="n">
        <v>1</v>
      </c>
      <c r="P5989" s="12" t="n"/>
      <c r="Q5989" s="12" t="n"/>
      <c r="R5989" s="12" t="n"/>
      <c r="S5989" s="12" t="inlineStr">
        <is>
          <t>Tray / conduit</t>
        </is>
      </c>
      <c r="T5989" s="15" t="n">
        <v>77</v>
      </c>
      <c r="U5989" s="15" t="n">
        <v>10</v>
      </c>
      <c r="V5989" s="15">
        <f>ROUNDUP((T5989+U5989+2*'Read Me'!$B$13)*(1+'Read Me'!$B$12),-1)</f>
        <v/>
      </c>
      <c r="W5989" s="15">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K-I-0116</t>
        </is>
      </c>
      <c r="B5990" s="12" t="inlineStr">
        <is>
          <t>K</t>
        </is>
      </c>
      <c r="C5990" s="12" t="inlineStr">
        <is>
          <t>Fuel supply (adjacent market)</t>
        </is>
      </c>
      <c r="D5990" s="12" t="inlineStr">
        <is>
          <t>Home run JB-LNG-T5-AI01 to the control / marshalling room</t>
        </is>
      </c>
      <c r="E5990" s="12" t="inlineStr"/>
      <c r="F5990" s="12" t="inlineStr">
        <is>
          <t>LNG 17: LNG e-house (13.8 kV / 480 V)</t>
        </is>
      </c>
      <c r="G5990" s="12" t="inlineStr">
        <is>
          <t>JB-LNG-T5-AI01</t>
        </is>
      </c>
      <c r="H5990" s="12" t="inlineStr">
        <is>
          <t>LNG 11: tank 5, Chart HS 50000 (51,780 gal)</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5" t="n">
        <v>290</v>
      </c>
      <c r="U5990" s="15" t="n">
        <v>32</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K-I-0117</t>
        </is>
      </c>
      <c r="B5991" s="12" t="inlineStr">
        <is>
          <t>K</t>
        </is>
      </c>
      <c r="C5991" s="12" t="inlineStr">
        <is>
          <t>Fuel supply (adjacent market)</t>
        </is>
      </c>
      <c r="D5991" s="12" t="inlineStr">
        <is>
          <t>Discrete device to JB JB-LNG-T5-DI01: 4 x 1 pr (field cables)</t>
        </is>
      </c>
      <c r="E5991" s="12" t="inlineStr">
        <is>
          <t>LNG-T5</t>
        </is>
      </c>
      <c r="F5991" s="12" t="inlineStr">
        <is>
          <t>LNG 11: tank 5, Chart HS 50000 (51,780 gal)</t>
        </is>
      </c>
      <c r="G5991" s="12" t="inlineStr">
        <is>
          <t>JB-LNG-T5-DI01</t>
        </is>
      </c>
      <c r="H5991" s="12" t="inlineStr">
        <is>
          <t>LNG 11: tank 5, Chart HS 50000 (51,780 gal)</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4</v>
      </c>
      <c r="O5991" s="12" t="n">
        <v>1</v>
      </c>
      <c r="P5991" s="12" t="n"/>
      <c r="Q5991" s="12" t="n"/>
      <c r="R5991" s="12" t="n"/>
      <c r="S5991" s="12" t="inlineStr">
        <is>
          <t>Tray / conduit</t>
        </is>
      </c>
      <c r="T5991" s="15" t="n">
        <v>77</v>
      </c>
      <c r="U5991" s="15" t="n">
        <v>10</v>
      </c>
      <c r="V5991" s="15">
        <f>ROUNDUP((T5991+U5991+2*'Read Me'!$B$13)*(1+'Read Me'!$B$12),-1)</f>
        <v/>
      </c>
      <c r="W5991" s="15">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K-I-0118</t>
        </is>
      </c>
      <c r="B5992" s="12" t="inlineStr">
        <is>
          <t>K</t>
        </is>
      </c>
      <c r="C5992" s="12" t="inlineStr">
        <is>
          <t>Fuel supply (adjacent market)</t>
        </is>
      </c>
      <c r="D5992" s="12" t="inlineStr">
        <is>
          <t>Home run JB-LNG-T5-DI01 to the control / marshalling room</t>
        </is>
      </c>
      <c r="E5992" s="12" t="inlineStr"/>
      <c r="F5992" s="12" t="inlineStr">
        <is>
          <t>LNG 17: LNG e-house (13.8 kV / 480 V)</t>
        </is>
      </c>
      <c r="G5992" s="12" t="inlineStr">
        <is>
          <t>JB-LNG-T5-DI01</t>
        </is>
      </c>
      <c r="H5992" s="12" t="inlineStr">
        <is>
          <t>LNG 11: tank 5, Chart HS 50000 (51,780 gal)</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5" t="n">
        <v>290</v>
      </c>
      <c r="U5992" s="15" t="n">
        <v>32</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K-I-0119</t>
        </is>
      </c>
      <c r="B5993" s="12" t="inlineStr">
        <is>
          <t>K</t>
        </is>
      </c>
      <c r="C5993" s="12" t="inlineStr">
        <is>
          <t>Fuel supply (adjacent market)</t>
        </is>
      </c>
      <c r="D5993" s="12" t="inlineStr">
        <is>
          <t>Analog instrument to JB JB-LNG-T6-AI01: 4 x 1 pr (field cables)</t>
        </is>
      </c>
      <c r="E5993" s="12" t="inlineStr">
        <is>
          <t>LNG-T6</t>
        </is>
      </c>
      <c r="F5993" s="12" t="inlineStr">
        <is>
          <t>LNG 11: tank 6, Chart HS 50000 (51,780 gal)</t>
        </is>
      </c>
      <c r="G5993" s="12" t="inlineStr">
        <is>
          <t>JB-LNG-T6-AI01</t>
        </is>
      </c>
      <c r="H5993" s="12" t="inlineStr">
        <is>
          <t>LNG 11: tank 6, Chart HS 50000 (51,780 gal)</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4</v>
      </c>
      <c r="O5993" s="12" t="n">
        <v>1</v>
      </c>
      <c r="P5993" s="12" t="n"/>
      <c r="Q5993" s="12" t="n"/>
      <c r="R5993" s="12" t="n"/>
      <c r="S5993" s="12" t="inlineStr">
        <is>
          <t>Tray / conduit</t>
        </is>
      </c>
      <c r="T5993" s="15" t="n">
        <v>77</v>
      </c>
      <c r="U5993" s="15" t="n">
        <v>10</v>
      </c>
      <c r="V5993" s="15">
        <f>ROUNDUP((T5993+U5993+2*'Read Me'!$B$13)*(1+'Read Me'!$B$12),-1)</f>
        <v/>
      </c>
      <c r="W5993" s="15">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K-I-0120</t>
        </is>
      </c>
      <c r="B5994" s="12" t="inlineStr">
        <is>
          <t>K</t>
        </is>
      </c>
      <c r="C5994" s="12" t="inlineStr">
        <is>
          <t>Fuel supply (adjacent market)</t>
        </is>
      </c>
      <c r="D5994" s="12" t="inlineStr">
        <is>
          <t>Home run JB-LNG-T6-AI01 to the control / marshalling room</t>
        </is>
      </c>
      <c r="E5994" s="12" t="inlineStr"/>
      <c r="F5994" s="12" t="inlineStr">
        <is>
          <t>LNG 17: LNG e-house (13.8 kV / 480 V)</t>
        </is>
      </c>
      <c r="G5994" s="12" t="inlineStr">
        <is>
          <t>JB-LNG-T6-AI01</t>
        </is>
      </c>
      <c r="H5994" s="12" t="inlineStr">
        <is>
          <t>LNG 11: tank 6, Chart HS 50000 (51,780 gal)</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5" t="n">
        <v>310</v>
      </c>
      <c r="U5994" s="15" t="n">
        <v>32</v>
      </c>
      <c r="V5994" s="15">
        <f>ROUNDUP((T5994+U5994+2*'Read Me'!$B$13)*(1+'Read Me'!$B$12),-1)</f>
        <v/>
      </c>
      <c r="W5994" s="15">
        <f>V5994*N5994*O5994</f>
        <v/>
      </c>
      <c r="X5994" s="12">
        <f>IF(LEFT(I5994,2)="MV",2*N5994*IF(L5994="1/C",O5994,1),0)</f>
        <v/>
      </c>
      <c r="Y5994" s="12">
        <f>IF(OR(LEFT(K5994,4)="LVAX",LEFT(K5994,6)="MV15AX",LEFT(K5994,4)="CTAX",LEFT(K5994,2)="W|"),2*N5994*O5994,0)</f>
        <v/>
      </c>
      <c r="Z5994" s="12" t="inlineStr"/>
      <c r="AA5994" s="12">
        <f>N5994*O5994</f>
        <v/>
      </c>
    </row>
    <row r="5995">
      <c r="A5995" s="12" t="inlineStr">
        <is>
          <t>K-I-0121</t>
        </is>
      </c>
      <c r="B5995" s="12" t="inlineStr">
        <is>
          <t>K</t>
        </is>
      </c>
      <c r="C5995" s="12" t="inlineStr">
        <is>
          <t>Fuel supply (adjacent market)</t>
        </is>
      </c>
      <c r="D5995" s="12" t="inlineStr">
        <is>
          <t>Discrete device to JB JB-LNG-T6-DI01: 4 x 1 pr (field cables)</t>
        </is>
      </c>
      <c r="E5995" s="12" t="inlineStr">
        <is>
          <t>LNG-T6</t>
        </is>
      </c>
      <c r="F5995" s="12" t="inlineStr">
        <is>
          <t>LNG 11: tank 6, Chart HS 50000 (51,780 gal)</t>
        </is>
      </c>
      <c r="G5995" s="12" t="inlineStr">
        <is>
          <t>JB-LNG-T6-DI01</t>
        </is>
      </c>
      <c r="H5995" s="12" t="inlineStr">
        <is>
          <t>LNG 11: tank 6, Chart HS 50000 (51,780 gal)</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4</v>
      </c>
      <c r="O5995" s="12" t="n">
        <v>1</v>
      </c>
      <c r="P5995" s="12" t="n"/>
      <c r="Q5995" s="12" t="n"/>
      <c r="R5995" s="12" t="n"/>
      <c r="S5995" s="12" t="inlineStr">
        <is>
          <t>Tray / conduit</t>
        </is>
      </c>
      <c r="T5995" s="15" t="n">
        <v>77</v>
      </c>
      <c r="U5995" s="15" t="n">
        <v>10</v>
      </c>
      <c r="V5995" s="15">
        <f>ROUNDUP((T5995+U5995+2*'Read Me'!$B$13)*(1+'Read Me'!$B$12),-1)</f>
        <v/>
      </c>
      <c r="W5995" s="15">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K-I-0122</t>
        </is>
      </c>
      <c r="B5996" s="12" t="inlineStr">
        <is>
          <t>K</t>
        </is>
      </c>
      <c r="C5996" s="12" t="inlineStr">
        <is>
          <t>Fuel supply (adjacent market)</t>
        </is>
      </c>
      <c r="D5996" s="12" t="inlineStr">
        <is>
          <t>Home run JB-LNG-T6-DI01 to the control / marshalling room</t>
        </is>
      </c>
      <c r="E5996" s="12" t="inlineStr"/>
      <c r="F5996" s="12" t="inlineStr">
        <is>
          <t>LNG 17: LNG e-house (13.8 kV / 480 V)</t>
        </is>
      </c>
      <c r="G5996" s="12" t="inlineStr">
        <is>
          <t>JB-LNG-T6-DI01</t>
        </is>
      </c>
      <c r="H5996" s="12" t="inlineStr">
        <is>
          <t>LNG 11: tank 6, Chart HS 50000 (51,780 gal)</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5" t="n">
        <v>310</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c r="AA5996" s="12">
        <f>N5996*O5996</f>
        <v/>
      </c>
    </row>
    <row r="5997">
      <c r="A5997" s="12" t="inlineStr">
        <is>
          <t>K-I-0123</t>
        </is>
      </c>
      <c r="B5997" s="12" t="inlineStr">
        <is>
          <t>K</t>
        </is>
      </c>
      <c r="C5997" s="12" t="inlineStr">
        <is>
          <t>Fuel supply (adjacent market)</t>
        </is>
      </c>
      <c r="D5997" s="12" t="inlineStr">
        <is>
          <t>Analog instrument to JB JB-LNG-T7-AI01: 4 x 1 pr (field cables)</t>
        </is>
      </c>
      <c r="E5997" s="12" t="inlineStr">
        <is>
          <t>LNG-T7</t>
        </is>
      </c>
      <c r="F5997" s="12" t="inlineStr">
        <is>
          <t>LNG 11: tank 7, Chart HS 50000 (51,780 gal)</t>
        </is>
      </c>
      <c r="G5997" s="12" t="inlineStr">
        <is>
          <t>JB-LNG-T7-AI01</t>
        </is>
      </c>
      <c r="H5997" s="12" t="inlineStr">
        <is>
          <t>LNG 11: tank 7, Chart HS 50000 (51,780 gal)</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4</v>
      </c>
      <c r="O5997" s="12" t="n">
        <v>1</v>
      </c>
      <c r="P5997" s="12" t="n"/>
      <c r="Q5997" s="12" t="n"/>
      <c r="R5997" s="12" t="n"/>
      <c r="S5997" s="12" t="inlineStr">
        <is>
          <t>Tray / conduit</t>
        </is>
      </c>
      <c r="T5997" s="15" t="n">
        <v>77</v>
      </c>
      <c r="U5997" s="15" t="n">
        <v>10</v>
      </c>
      <c r="V5997" s="15">
        <f>ROUNDUP((T5997+U5997+2*'Read Me'!$B$13)*(1+'Read Me'!$B$12),-1)</f>
        <v/>
      </c>
      <c r="W5997" s="15">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K-I-0124</t>
        </is>
      </c>
      <c r="B5998" s="12" t="inlineStr">
        <is>
          <t>K</t>
        </is>
      </c>
      <c r="C5998" s="12" t="inlineStr">
        <is>
          <t>Fuel supply (adjacent market)</t>
        </is>
      </c>
      <c r="D5998" s="12" t="inlineStr">
        <is>
          <t>Home run JB-LNG-T7-AI01 to the control / marshalling room</t>
        </is>
      </c>
      <c r="E5998" s="12" t="inlineStr"/>
      <c r="F5998" s="12" t="inlineStr">
        <is>
          <t>LNG 17: LNG e-house (13.8 kV / 480 V)</t>
        </is>
      </c>
      <c r="G5998" s="12" t="inlineStr">
        <is>
          <t>JB-LNG-T7-AI01</t>
        </is>
      </c>
      <c r="H5998" s="12" t="inlineStr">
        <is>
          <t>LNG 11: tank 7, Chart HS 50000 (51,780 gal)</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5" t="n">
        <v>330</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c r="AA5998" s="12">
        <f>N5998*O5998</f>
        <v/>
      </c>
    </row>
    <row r="5999">
      <c r="A5999" s="12" t="inlineStr">
        <is>
          <t>K-I-0125</t>
        </is>
      </c>
      <c r="B5999" s="12" t="inlineStr">
        <is>
          <t>K</t>
        </is>
      </c>
      <c r="C5999" s="12" t="inlineStr">
        <is>
          <t>Fuel supply (adjacent market)</t>
        </is>
      </c>
      <c r="D5999" s="12" t="inlineStr">
        <is>
          <t>Discrete device to JB JB-LNG-T7-DI01: 4 x 1 pr (field cables)</t>
        </is>
      </c>
      <c r="E5999" s="12" t="inlineStr">
        <is>
          <t>LNG-T7</t>
        </is>
      </c>
      <c r="F5999" s="12" t="inlineStr">
        <is>
          <t>LNG 11: tank 7, Chart HS 50000 (51,780 gal)</t>
        </is>
      </c>
      <c r="G5999" s="12" t="inlineStr">
        <is>
          <t>JB-LNG-T7-DI01</t>
        </is>
      </c>
      <c r="H5999" s="12" t="inlineStr">
        <is>
          <t>LNG 11: tank 7, Chart HS 50000 (51,780 gal)</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4</v>
      </c>
      <c r="O5999" s="12" t="n">
        <v>1</v>
      </c>
      <c r="P5999" s="12" t="n"/>
      <c r="Q5999" s="12" t="n"/>
      <c r="R5999" s="12" t="n"/>
      <c r="S5999" s="12" t="inlineStr">
        <is>
          <t>Tray / conduit</t>
        </is>
      </c>
      <c r="T5999" s="15" t="n">
        <v>77</v>
      </c>
      <c r="U5999" s="15" t="n">
        <v>10</v>
      </c>
      <c r="V5999" s="15">
        <f>ROUNDUP((T5999+U5999+2*'Read Me'!$B$13)*(1+'Read Me'!$B$12),-1)</f>
        <v/>
      </c>
      <c r="W5999" s="15">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K-I-0126</t>
        </is>
      </c>
      <c r="B6000" s="12" t="inlineStr">
        <is>
          <t>K</t>
        </is>
      </c>
      <c r="C6000" s="12" t="inlineStr">
        <is>
          <t>Fuel supply (adjacent market)</t>
        </is>
      </c>
      <c r="D6000" s="12" t="inlineStr">
        <is>
          <t>Home run JB-LNG-T7-DI01 to the control / marshalling room</t>
        </is>
      </c>
      <c r="E6000" s="12" t="inlineStr"/>
      <c r="F6000" s="12" t="inlineStr">
        <is>
          <t>LNG 17: LNG e-house (13.8 kV / 480 V)</t>
        </is>
      </c>
      <c r="G6000" s="12" t="inlineStr">
        <is>
          <t>JB-LNG-T7-DI01</t>
        </is>
      </c>
      <c r="H6000" s="12" t="inlineStr">
        <is>
          <t>LNG 11: tank 7, Chart HS 50000 (51,780 gal)</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5" t="n">
        <v>330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K-I-0127</t>
        </is>
      </c>
      <c r="B6001" s="12" t="inlineStr">
        <is>
          <t>K</t>
        </is>
      </c>
      <c r="C6001" s="12" t="inlineStr">
        <is>
          <t>Fuel supply (adjacent market)</t>
        </is>
      </c>
      <c r="D6001" s="12" t="inlineStr">
        <is>
          <t>Analog instrument to JB JB-LNG-T8-AI01: 4 x 1 pr (field cables)</t>
        </is>
      </c>
      <c r="E6001" s="12" t="inlineStr">
        <is>
          <t>LNG-T8</t>
        </is>
      </c>
      <c r="F6001" s="12" t="inlineStr">
        <is>
          <t>LNG 11: tank 8, Chart HS 50000 (51,780 gal)</t>
        </is>
      </c>
      <c r="G6001" s="12" t="inlineStr">
        <is>
          <t>JB-LNG-T8-AI01</t>
        </is>
      </c>
      <c r="H6001" s="12" t="inlineStr">
        <is>
          <t>LNG 11: tank 8, Chart HS 50000 (51,780 gal)</t>
        </is>
      </c>
      <c r="I6001" s="12" t="inlineStr">
        <is>
          <t>Instrumentation</t>
        </is>
      </c>
      <c r="J6001" s="12" t="inlineStr">
        <is>
          <t>Instrumentation ITC / PLTC, IS, #18 shielded pairs, blue jacket</t>
        </is>
      </c>
      <c r="K6001" s="12" t="inlineStr">
        <is>
          <t>ITC|1 pr|16</t>
        </is>
      </c>
      <c r="L6001" s="12" t="inlineStr">
        <is>
          <t>1 pr</t>
        </is>
      </c>
      <c r="M6001" s="12" t="inlineStr">
        <is>
          <t>16</t>
        </is>
      </c>
      <c r="N6001" s="12" t="n">
        <v>4</v>
      </c>
      <c r="O6001" s="12" t="n">
        <v>1</v>
      </c>
      <c r="P6001" s="12" t="n"/>
      <c r="Q6001" s="12" t="n"/>
      <c r="R6001" s="12" t="n"/>
      <c r="S6001" s="12" t="inlineStr">
        <is>
          <t>Tray / conduit</t>
        </is>
      </c>
      <c r="T6001" s="15" t="n">
        <v>77</v>
      </c>
      <c r="U6001" s="15" t="n">
        <v>10</v>
      </c>
      <c r="V6001" s="15">
        <f>ROUNDUP((T6001+U6001+2*'Read Me'!$B$13)*(1+'Read Me'!$B$12),-1)</f>
        <v/>
      </c>
      <c r="W6001" s="15">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K-I-0128</t>
        </is>
      </c>
      <c r="B6002" s="12" t="inlineStr">
        <is>
          <t>K</t>
        </is>
      </c>
      <c r="C6002" s="12" t="inlineStr">
        <is>
          <t>Fuel supply (adjacent market)</t>
        </is>
      </c>
      <c r="D6002" s="12" t="inlineStr">
        <is>
          <t>Home run JB-LNG-T8-AI01 to the control / marshalling room</t>
        </is>
      </c>
      <c r="E6002" s="12" t="inlineStr"/>
      <c r="F6002" s="12" t="inlineStr">
        <is>
          <t>LNG 17: LNG e-house (13.8 kV / 480 V)</t>
        </is>
      </c>
      <c r="G6002" s="12" t="inlineStr">
        <is>
          <t>JB-LNG-T8-AI01</t>
        </is>
      </c>
      <c r="H6002" s="12" t="inlineStr">
        <is>
          <t>LNG 11: tank 8, Chart HS 50000 (51,780 gal)</t>
        </is>
      </c>
      <c r="I6002" s="12" t="inlineStr">
        <is>
          <t>Instrumentation</t>
        </is>
      </c>
      <c r="J6002" s="12" t="inlineStr">
        <is>
          <t>Instrumentation ITC / PLTC, IS, #18 shielded pairs, blue jacket</t>
        </is>
      </c>
      <c r="K6002" s="12" t="inlineStr">
        <is>
          <t>ITC|24 pr|18</t>
        </is>
      </c>
      <c r="L6002" s="12" t="inlineStr">
        <is>
          <t>24 pr</t>
        </is>
      </c>
      <c r="M6002" s="12" t="inlineStr">
        <is>
          <t>18</t>
        </is>
      </c>
      <c r="N6002" s="12" t="n">
        <v>1</v>
      </c>
      <c r="O6002" s="12" t="n">
        <v>1</v>
      </c>
      <c r="P6002" s="12" t="n"/>
      <c r="Q6002" s="12" t="n"/>
      <c r="R6002" s="12" t="n"/>
      <c r="S6002" s="12" t="inlineStr">
        <is>
          <t>Duct bank</t>
        </is>
      </c>
      <c r="T6002" s="15" t="n">
        <v>350</v>
      </c>
      <c r="U6002" s="15" t="n">
        <v>32</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K-I-0129</t>
        </is>
      </c>
      <c r="B6003" s="12" t="inlineStr">
        <is>
          <t>K</t>
        </is>
      </c>
      <c r="C6003" s="12" t="inlineStr">
        <is>
          <t>Fuel supply (adjacent market)</t>
        </is>
      </c>
      <c r="D6003" s="12" t="inlineStr">
        <is>
          <t>Discrete device to JB JB-LNG-T8-DI01: 4 x 1 pr (field cables)</t>
        </is>
      </c>
      <c r="E6003" s="12" t="inlineStr">
        <is>
          <t>LNG-T8</t>
        </is>
      </c>
      <c r="F6003" s="12" t="inlineStr">
        <is>
          <t>LNG 11: tank 8, Chart HS 50000 (51,780 gal)</t>
        </is>
      </c>
      <c r="G6003" s="12" t="inlineStr">
        <is>
          <t>JB-LNG-T8-DI01</t>
        </is>
      </c>
      <c r="H6003" s="12" t="inlineStr">
        <is>
          <t>LNG 11: tank 8, Chart HS 50000 (51,780 gal)</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4</v>
      </c>
      <c r="O6003" s="12" t="n">
        <v>1</v>
      </c>
      <c r="P6003" s="12" t="n"/>
      <c r="Q6003" s="12" t="n"/>
      <c r="R6003" s="12" t="n"/>
      <c r="S6003" s="12" t="inlineStr">
        <is>
          <t>Tray / conduit</t>
        </is>
      </c>
      <c r="T6003" s="15" t="n">
        <v>77</v>
      </c>
      <c r="U6003" s="15" t="n">
        <v>10</v>
      </c>
      <c r="V6003" s="15">
        <f>ROUNDUP((T6003+U6003+2*'Read Me'!$B$13)*(1+'Read Me'!$B$12),-1)</f>
        <v/>
      </c>
      <c r="W6003" s="15">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K-I-0130</t>
        </is>
      </c>
      <c r="B6004" s="12" t="inlineStr">
        <is>
          <t>K</t>
        </is>
      </c>
      <c r="C6004" s="12" t="inlineStr">
        <is>
          <t>Fuel supply (adjacent market)</t>
        </is>
      </c>
      <c r="D6004" s="12" t="inlineStr">
        <is>
          <t>Home run JB-LNG-T8-DI01 to the control / marshalling room</t>
        </is>
      </c>
      <c r="E6004" s="12" t="inlineStr"/>
      <c r="F6004" s="12" t="inlineStr">
        <is>
          <t>LNG 17: LNG e-house (13.8 kV / 480 V)</t>
        </is>
      </c>
      <c r="G6004" s="12" t="inlineStr">
        <is>
          <t>JB-LNG-T8-DI01</t>
        </is>
      </c>
      <c r="H6004" s="12" t="inlineStr">
        <is>
          <t>LNG 11: tank 8, Chart HS 50000 (51,780 gal)</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5" t="n">
        <v>350</v>
      </c>
      <c r="U6004" s="15" t="n">
        <v>32</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K-I-0131</t>
        </is>
      </c>
      <c r="B6005" s="12" t="inlineStr">
        <is>
          <t>K</t>
        </is>
      </c>
      <c r="C6005" s="12" t="inlineStr">
        <is>
          <t>Fuel supply (adjacent market)</t>
        </is>
      </c>
      <c r="D6005" s="12" t="inlineStr">
        <is>
          <t>Analog instrument to JB JB-LNG 12: spill impo-AI01: 12 x 1 pr (field cables)</t>
        </is>
      </c>
      <c r="E6005" s="12" t="inlineStr"/>
      <c r="F6005" s="12" t="inlineStr">
        <is>
          <t>LNG 12: spill impoundment (NFPA 59A, to verify)</t>
        </is>
      </c>
      <c r="G6005" s="12" t="inlineStr">
        <is>
          <t>JB-LNG 12: spill impo-AI01</t>
        </is>
      </c>
      <c r="H6005" s="12" t="inlineStr">
        <is>
          <t>LNG 12: spill impoundment (NFPA 59A, to verify)</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12</v>
      </c>
      <c r="O6005" s="12" t="n">
        <v>1</v>
      </c>
      <c r="P6005" s="12" t="n"/>
      <c r="Q6005" s="12" t="n"/>
      <c r="R6005" s="12" t="n"/>
      <c r="S6005" s="12" t="inlineStr">
        <is>
          <t>Tray / conduit</t>
        </is>
      </c>
      <c r="T6005" s="15" t="n">
        <v>170</v>
      </c>
      <c r="U6005" s="15" t="n">
        <v>10</v>
      </c>
      <c r="V6005" s="15">
        <f>ROUNDUP((T6005+U6005+2*'Read Me'!$B$13)*(1+'Read Me'!$B$12),-1)</f>
        <v/>
      </c>
      <c r="W6005" s="15">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K-I-0132</t>
        </is>
      </c>
      <c r="B6006" s="12" t="inlineStr">
        <is>
          <t>K</t>
        </is>
      </c>
      <c r="C6006" s="12" t="inlineStr">
        <is>
          <t>Fuel supply (adjacent market)</t>
        </is>
      </c>
      <c r="D6006" s="12" t="inlineStr">
        <is>
          <t>Home run JB-LNG 12: spill impo-AI01 to the control / marshalling room</t>
        </is>
      </c>
      <c r="E6006" s="12" t="inlineStr"/>
      <c r="F6006" s="12" t="inlineStr">
        <is>
          <t>LNG 17: LNG e-house (13.8 kV / 480 V)</t>
        </is>
      </c>
      <c r="G6006" s="12" t="inlineStr">
        <is>
          <t>JB-LNG 12: spill impo-AI01</t>
        </is>
      </c>
      <c r="H6006" s="12" t="inlineStr">
        <is>
          <t>LNG 12: spill impoundment (NFPA 59A, to verify)</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5" t="n">
        <v>230</v>
      </c>
      <c r="U6006" s="15" t="n">
        <v>32</v>
      </c>
      <c r="V6006" s="15">
        <f>ROUNDUP((T6006+U6006+2*'Read Me'!$B$13)*(1+'Read Me'!$B$12),-1)</f>
        <v/>
      </c>
      <c r="W6006" s="15">
        <f>V6006*N6006*O6006</f>
        <v/>
      </c>
      <c r="X6006" s="12">
        <f>IF(LEFT(I6006,2)="MV",2*N6006*IF(L6006="1/C",O6006,1),0)</f>
        <v/>
      </c>
      <c r="Y6006" s="12">
        <f>IF(OR(LEFT(K6006,4)="LVAX",LEFT(K6006,6)="MV15AX",LEFT(K6006,4)="CTAX",LEFT(K6006,2)="W|"),2*N6006*O6006,0)</f>
        <v/>
      </c>
      <c r="Z6006" s="12" t="inlineStr"/>
      <c r="AA6006" s="12">
        <f>N6006*O6006</f>
        <v/>
      </c>
    </row>
    <row r="6007">
      <c r="A6007" s="12" t="inlineStr">
        <is>
          <t>K-I-0133</t>
        </is>
      </c>
      <c r="B6007" s="12" t="inlineStr">
        <is>
          <t>K</t>
        </is>
      </c>
      <c r="C6007" s="12" t="inlineStr">
        <is>
          <t>Fuel supply (adjacent market)</t>
        </is>
      </c>
      <c r="D6007" s="12" t="inlineStr">
        <is>
          <t>Discrete device to JB JB-LNG 12: spill impo-DI01: 12 x 1 pr (field cables)</t>
        </is>
      </c>
      <c r="E6007" s="12" t="inlineStr"/>
      <c r="F6007" s="12" t="inlineStr">
        <is>
          <t>LNG 12: spill impoundment (NFPA 59A, to verify)</t>
        </is>
      </c>
      <c r="G6007" s="12" t="inlineStr">
        <is>
          <t>JB-LNG 12: spill impo-DI01</t>
        </is>
      </c>
      <c r="H6007" s="12" t="inlineStr">
        <is>
          <t>LNG 12: spill impoundment (NFPA 59A, to verify)</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12</v>
      </c>
      <c r="O6007" s="12" t="n">
        <v>1</v>
      </c>
      <c r="P6007" s="12" t="n"/>
      <c r="Q6007" s="12" t="n"/>
      <c r="R6007" s="12" t="n"/>
      <c r="S6007" s="12" t="inlineStr">
        <is>
          <t>Tray / conduit</t>
        </is>
      </c>
      <c r="T6007" s="15" t="n">
        <v>170</v>
      </c>
      <c r="U6007" s="15" t="n">
        <v>10</v>
      </c>
      <c r="V6007" s="15">
        <f>ROUNDUP((T6007+U6007+2*'Read Me'!$B$13)*(1+'Read Me'!$B$12),-1)</f>
        <v/>
      </c>
      <c r="W6007" s="15">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K-I-0134</t>
        </is>
      </c>
      <c r="B6008" s="12" t="inlineStr">
        <is>
          <t>K</t>
        </is>
      </c>
      <c r="C6008" s="12" t="inlineStr">
        <is>
          <t>Fuel supply (adjacent market)</t>
        </is>
      </c>
      <c r="D6008" s="12" t="inlineStr">
        <is>
          <t>Home run JB-LNG 12: spill impo-DI01 to the control / marshalling room</t>
        </is>
      </c>
      <c r="E6008" s="12" t="inlineStr"/>
      <c r="F6008" s="12" t="inlineStr">
        <is>
          <t>LNG 17: LNG e-house (13.8 kV / 480 V)</t>
        </is>
      </c>
      <c r="G6008" s="12" t="inlineStr">
        <is>
          <t>JB-LNG 12: spill impo-DI01</t>
        </is>
      </c>
      <c r="H6008" s="12" t="inlineStr">
        <is>
          <t>LNG 12: spill impoundment (NFPA 59A, to verify)</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5" t="n">
        <v>230</v>
      </c>
      <c r="U6008" s="15" t="n">
        <v>32</v>
      </c>
      <c r="V6008" s="15">
        <f>ROUNDUP((T6008+U6008+2*'Read Me'!$B$13)*(1+'Read Me'!$B$12),-1)</f>
        <v/>
      </c>
      <c r="W6008" s="15">
        <f>V6008*N6008*O6008</f>
        <v/>
      </c>
      <c r="X6008" s="12">
        <f>IF(LEFT(I6008,2)="MV",2*N6008*IF(L6008="1/C",O6008,1),0)</f>
        <v/>
      </c>
      <c r="Y6008" s="12">
        <f>IF(OR(LEFT(K6008,4)="LVAX",LEFT(K6008,6)="MV15AX",LEFT(K6008,4)="CTAX",LEFT(K6008,2)="W|"),2*N6008*O6008,0)</f>
        <v/>
      </c>
      <c r="Z6008" s="12" t="inlineStr"/>
      <c r="AA6008" s="12">
        <f>N6008*O6008</f>
        <v/>
      </c>
    </row>
    <row r="6009">
      <c r="A6009" s="12" t="inlineStr">
        <is>
          <t>K-I-0135</t>
        </is>
      </c>
      <c r="B6009" s="12" t="inlineStr">
        <is>
          <t>K</t>
        </is>
      </c>
      <c r="C6009" s="12" t="inlineStr">
        <is>
          <t>Fuel supply (adjacent market)</t>
        </is>
      </c>
      <c r="D6009" s="12" t="inlineStr">
        <is>
          <t>Analog instrument to JB JB-LNG 13: send-out p-AI01: 12 x 1 pr (field cables)</t>
        </is>
      </c>
      <c r="E6009" s="12" t="inlineStr"/>
      <c r="F6009" s="12" t="inlineStr">
        <is>
          <t>LNG 13: send-out pumps 2 x 100%</t>
        </is>
      </c>
      <c r="G6009" s="12" t="inlineStr">
        <is>
          <t>JB-LNG 13: send-out p-AI01</t>
        </is>
      </c>
      <c r="H6009" s="12" t="inlineStr">
        <is>
          <t>LNG 13: send-out pumps 2 x 100%</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12</v>
      </c>
      <c r="O6009" s="12" t="n">
        <v>1</v>
      </c>
      <c r="P6009" s="12" t="n"/>
      <c r="Q6009" s="12" t="n"/>
      <c r="R6009" s="12" t="n"/>
      <c r="S6009" s="12" t="inlineStr">
        <is>
          <t>Tray / conduit</t>
        </is>
      </c>
      <c r="T6009" s="15" t="n">
        <v>63</v>
      </c>
      <c r="U6009" s="15" t="n">
        <v>10</v>
      </c>
      <c r="V6009" s="15">
        <f>ROUNDUP((T6009+U6009+2*'Read Me'!$B$13)*(1+'Read Me'!$B$12),-1)</f>
        <v/>
      </c>
      <c r="W6009" s="15">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K-I-0136</t>
        </is>
      </c>
      <c r="B6010" s="12" t="inlineStr">
        <is>
          <t>K</t>
        </is>
      </c>
      <c r="C6010" s="12" t="inlineStr">
        <is>
          <t>Fuel supply (adjacent market)</t>
        </is>
      </c>
      <c r="D6010" s="12" t="inlineStr">
        <is>
          <t>Home run JB-LNG 13: send-out p-AI01 to the control / marshalling room</t>
        </is>
      </c>
      <c r="E6010" s="12" t="inlineStr"/>
      <c r="F6010" s="12" t="inlineStr">
        <is>
          <t>LNG 17: LNG e-house (13.8 kV / 480 V)</t>
        </is>
      </c>
      <c r="G6010" s="12" t="inlineStr">
        <is>
          <t>JB-LNG 13: send-out p-AI01</t>
        </is>
      </c>
      <c r="H6010" s="12" t="inlineStr">
        <is>
          <t>LNG 13: send-out pumps 2 x 100%</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5" t="n">
        <v>110</v>
      </c>
      <c r="U6010" s="15" t="n">
        <v>32</v>
      </c>
      <c r="V6010" s="15">
        <f>ROUNDUP((T6010+U6010+2*'Read Me'!$B$13)*(1+'Read Me'!$B$12),-1)</f>
        <v/>
      </c>
      <c r="W6010" s="15">
        <f>V6010*N6010*O6010</f>
        <v/>
      </c>
      <c r="X6010" s="12">
        <f>IF(LEFT(I6010,2)="MV",2*N6010*IF(L6010="1/C",O6010,1),0)</f>
        <v/>
      </c>
      <c r="Y6010" s="12">
        <f>IF(OR(LEFT(K6010,4)="LVAX",LEFT(K6010,6)="MV15AX",LEFT(K6010,4)="CTAX",LEFT(K6010,2)="W|"),2*N6010*O6010,0)</f>
        <v/>
      </c>
      <c r="Z6010" s="12" t="inlineStr"/>
      <c r="AA6010" s="12">
        <f>N6010*O6010</f>
        <v/>
      </c>
    </row>
    <row r="6011">
      <c r="A6011" s="12" t="inlineStr">
        <is>
          <t>K-I-0137</t>
        </is>
      </c>
      <c r="B6011" s="12" t="inlineStr">
        <is>
          <t>K</t>
        </is>
      </c>
      <c r="C6011" s="12" t="inlineStr">
        <is>
          <t>Fuel supply (adjacent market)</t>
        </is>
      </c>
      <c r="D6011" s="12" t="inlineStr">
        <is>
          <t>Discrete device to JB JB-LNG 13: send-out p-DI01: 12 x 1 pr (field cables)</t>
        </is>
      </c>
      <c r="E6011" s="12" t="inlineStr"/>
      <c r="F6011" s="12" t="inlineStr">
        <is>
          <t>LNG 13: send-out pumps 2 x 100%</t>
        </is>
      </c>
      <c r="G6011" s="12" t="inlineStr">
        <is>
          <t>JB-LNG 13: send-out p-DI01</t>
        </is>
      </c>
      <c r="H6011" s="12" t="inlineStr">
        <is>
          <t>LNG 13: send-out pumps 2 x 100%</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12</v>
      </c>
      <c r="O6011" s="12" t="n">
        <v>1</v>
      </c>
      <c r="P6011" s="12" t="n"/>
      <c r="Q6011" s="12" t="n"/>
      <c r="R6011" s="12" t="n"/>
      <c r="S6011" s="12" t="inlineStr">
        <is>
          <t>Tray / conduit</t>
        </is>
      </c>
      <c r="T6011" s="15" t="n">
        <v>63</v>
      </c>
      <c r="U6011" s="15" t="n">
        <v>10</v>
      </c>
      <c r="V6011" s="15">
        <f>ROUNDUP((T6011+U6011+2*'Read Me'!$B$13)*(1+'Read Me'!$B$12),-1)</f>
        <v/>
      </c>
      <c r="W6011" s="15">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K-I-0138</t>
        </is>
      </c>
      <c r="B6012" s="12" t="inlineStr">
        <is>
          <t>K</t>
        </is>
      </c>
      <c r="C6012" s="12" t="inlineStr">
        <is>
          <t>Fuel supply (adjacent market)</t>
        </is>
      </c>
      <c r="D6012" s="12" t="inlineStr">
        <is>
          <t>Home run JB-LNG 13: send-out p-DI01 to the control / marshalling room</t>
        </is>
      </c>
      <c r="E6012" s="12" t="inlineStr"/>
      <c r="F6012" s="12" t="inlineStr">
        <is>
          <t>LNG 17: LNG e-house (13.8 kV / 480 V)</t>
        </is>
      </c>
      <c r="G6012" s="12" t="inlineStr">
        <is>
          <t>JB-LNG 13: send-out p-DI01</t>
        </is>
      </c>
      <c r="H6012" s="12" t="inlineStr">
        <is>
          <t>LNG 13: send-out pumps 2 x 100%</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5" t="n">
        <v>110</v>
      </c>
      <c r="U6012" s="15" t="n">
        <v>32</v>
      </c>
      <c r="V6012" s="15">
        <f>ROUNDUP((T6012+U6012+2*'Read Me'!$B$13)*(1+'Read Me'!$B$12),-1)</f>
        <v/>
      </c>
      <c r="W6012" s="15">
        <f>V6012*N6012*O6012</f>
        <v/>
      </c>
      <c r="X6012" s="12">
        <f>IF(LEFT(I6012,2)="MV",2*N6012*IF(L6012="1/C",O6012,1),0)</f>
        <v/>
      </c>
      <c r="Y6012" s="12">
        <f>IF(OR(LEFT(K6012,4)="LVAX",LEFT(K6012,6)="MV15AX",LEFT(K6012,4)="CTAX",LEFT(K6012,2)="W|"),2*N6012*O6012,0)</f>
        <v/>
      </c>
      <c r="Z6012" s="12" t="inlineStr"/>
      <c r="AA6012" s="12">
        <f>N6012*O6012</f>
        <v/>
      </c>
    </row>
    <row r="6013">
      <c r="A6013" s="12" t="inlineStr">
        <is>
          <t>K-I-0139</t>
        </is>
      </c>
      <c r="B6013" s="12" t="inlineStr">
        <is>
          <t>K</t>
        </is>
      </c>
      <c r="C6013" s="12" t="inlineStr">
        <is>
          <t>Fuel supply (adjacent market)</t>
        </is>
      </c>
      <c r="D6013" s="12" t="inlineStr">
        <is>
          <t>Analog instrument to JB JB-LNG 14: vaporizers-AI01: 12 x 1 pr (field cables)</t>
        </is>
      </c>
      <c r="E6013" s="12" t="inlineStr"/>
      <c r="F6013" s="12" t="inlineStr">
        <is>
          <t>LNG 14: vaporizers + glycol heater</t>
        </is>
      </c>
      <c r="G6013" s="12" t="inlineStr">
        <is>
          <t>JB-LNG 14: vaporizers-AI01</t>
        </is>
      </c>
      <c r="H6013" s="12" t="inlineStr">
        <is>
          <t>LNG 14: vaporizers + glycol heater</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12</v>
      </c>
      <c r="O6013" s="12" t="n">
        <v>1</v>
      </c>
      <c r="P6013" s="12" t="n"/>
      <c r="Q6013" s="12" t="n"/>
      <c r="R6013" s="12" t="n"/>
      <c r="S6013" s="12" t="inlineStr">
        <is>
          <t>Tray / conduit</t>
        </is>
      </c>
      <c r="T6013" s="15" t="n">
        <v>122</v>
      </c>
      <c r="U6013" s="15" t="n">
        <v>10</v>
      </c>
      <c r="V6013" s="15">
        <f>ROUNDUP((T6013+U6013+2*'Read Me'!$B$13)*(1+'Read Me'!$B$12),-1)</f>
        <v/>
      </c>
      <c r="W6013" s="15">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K-I-0140</t>
        </is>
      </c>
      <c r="B6014" s="12" t="inlineStr">
        <is>
          <t>K</t>
        </is>
      </c>
      <c r="C6014" s="12" t="inlineStr">
        <is>
          <t>Fuel supply (adjacent market)</t>
        </is>
      </c>
      <c r="D6014" s="12" t="inlineStr">
        <is>
          <t>Home run JB-LNG 14: vaporizers-AI01 to the control / marshalling room</t>
        </is>
      </c>
      <c r="E6014" s="12" t="inlineStr"/>
      <c r="F6014" s="12" t="inlineStr">
        <is>
          <t>LNG 17: LNG e-house (13.8 kV / 480 V)</t>
        </is>
      </c>
      <c r="G6014" s="12" t="inlineStr">
        <is>
          <t>JB-LNG 14: vaporizers-AI01</t>
        </is>
      </c>
      <c r="H6014" s="12" t="inlineStr">
        <is>
          <t>LNG 14: vaporizers + glycol heater</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5" t="n">
        <v>259</v>
      </c>
      <c r="U6014" s="15" t="n">
        <v>32</v>
      </c>
      <c r="V6014" s="15">
        <f>ROUNDUP((T6014+U6014+2*'Read Me'!$B$13)*(1+'Read Me'!$B$12),-1)</f>
        <v/>
      </c>
      <c r="W6014" s="15">
        <f>V6014*N6014*O6014</f>
        <v/>
      </c>
      <c r="X6014" s="12">
        <f>IF(LEFT(I6014,2)="MV",2*N6014*IF(L6014="1/C",O6014,1),0)</f>
        <v/>
      </c>
      <c r="Y6014" s="12">
        <f>IF(OR(LEFT(K6014,4)="LVAX",LEFT(K6014,6)="MV15AX",LEFT(K6014,4)="CTAX",LEFT(K6014,2)="W|"),2*N6014*O6014,0)</f>
        <v/>
      </c>
      <c r="Z6014" s="12" t="inlineStr"/>
      <c r="AA6014" s="12">
        <f>N6014*O6014</f>
        <v/>
      </c>
    </row>
    <row r="6015">
      <c r="A6015" s="12" t="inlineStr">
        <is>
          <t>K-I-0141</t>
        </is>
      </c>
      <c r="B6015" s="12" t="inlineStr">
        <is>
          <t>K</t>
        </is>
      </c>
      <c r="C6015" s="12" t="inlineStr">
        <is>
          <t>Fuel supply (adjacent market)</t>
        </is>
      </c>
      <c r="D6015" s="12" t="inlineStr">
        <is>
          <t>Discrete device to JB JB-LNG 14: vaporizers-DI01: 12 x 1 pr (field cables)</t>
        </is>
      </c>
      <c r="E6015" s="12" t="inlineStr"/>
      <c r="F6015" s="12" t="inlineStr">
        <is>
          <t>LNG 14: vaporizers + glycol heater</t>
        </is>
      </c>
      <c r="G6015" s="12" t="inlineStr">
        <is>
          <t>JB-LNG 14: vaporizers-DI01</t>
        </is>
      </c>
      <c r="H6015" s="12" t="inlineStr">
        <is>
          <t>LNG 14: vaporizers + glycol heater</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12</v>
      </c>
      <c r="O6015" s="12" t="n">
        <v>1</v>
      </c>
      <c r="P6015" s="12" t="n"/>
      <c r="Q6015" s="12" t="n"/>
      <c r="R6015" s="12" t="n"/>
      <c r="S6015" s="12" t="inlineStr">
        <is>
          <t>Tray / conduit</t>
        </is>
      </c>
      <c r="T6015" s="15" t="n">
        <v>122</v>
      </c>
      <c r="U6015" s="15" t="n">
        <v>10</v>
      </c>
      <c r="V6015" s="15">
        <f>ROUNDUP((T6015+U6015+2*'Read Me'!$B$13)*(1+'Read Me'!$B$12),-1)</f>
        <v/>
      </c>
      <c r="W6015" s="15">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K-I-0142</t>
        </is>
      </c>
      <c r="B6016" s="12" t="inlineStr">
        <is>
          <t>K</t>
        </is>
      </c>
      <c r="C6016" s="12" t="inlineStr">
        <is>
          <t>Fuel supply (adjacent market)</t>
        </is>
      </c>
      <c r="D6016" s="12" t="inlineStr">
        <is>
          <t>Home run JB-LNG 14: vaporizers-DI01 to the control / marshalling room</t>
        </is>
      </c>
      <c r="E6016" s="12" t="inlineStr"/>
      <c r="F6016" s="12" t="inlineStr">
        <is>
          <t>LNG 17: LNG e-house (13.8 kV / 480 V)</t>
        </is>
      </c>
      <c r="G6016" s="12" t="inlineStr">
        <is>
          <t>JB-LNG 14: vaporizers-DI01</t>
        </is>
      </c>
      <c r="H6016" s="12" t="inlineStr">
        <is>
          <t>LNG 14: vaporizers + glycol heater</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5" t="n">
        <v>259</v>
      </c>
      <c r="U6016" s="15" t="n">
        <v>32</v>
      </c>
      <c r="V6016" s="15">
        <f>ROUNDUP((T6016+U6016+2*'Read Me'!$B$13)*(1+'Read Me'!$B$12),-1)</f>
        <v/>
      </c>
      <c r="W6016" s="15">
        <f>V6016*N6016*O6016</f>
        <v/>
      </c>
      <c r="X6016" s="12">
        <f>IF(LEFT(I6016,2)="MV",2*N6016*IF(L6016="1/C",O6016,1),0)</f>
        <v/>
      </c>
      <c r="Y6016" s="12">
        <f>IF(OR(LEFT(K6016,4)="LVAX",LEFT(K6016,6)="MV15AX",LEFT(K6016,4)="CTAX",LEFT(K6016,2)="W|"),2*N6016*O6016,0)</f>
        <v/>
      </c>
      <c r="Z6016" s="12" t="inlineStr"/>
      <c r="AA6016" s="12">
        <f>N6016*O6016</f>
        <v/>
      </c>
    </row>
    <row r="6017">
      <c r="A6017" s="12" t="inlineStr">
        <is>
          <t>K-I-0143</t>
        </is>
      </c>
      <c r="B6017" s="12" t="inlineStr">
        <is>
          <t>K</t>
        </is>
      </c>
      <c r="C6017" s="12" t="inlineStr">
        <is>
          <t>Fuel supply (adjacent market)</t>
        </is>
      </c>
      <c r="D6017" s="12" t="inlineStr">
        <is>
          <t>Analog instrument to JB JB-LNG 15: boil-off g-AI01: 12 x 1 pr (field cables)</t>
        </is>
      </c>
      <c r="E6017" s="12" t="inlineStr"/>
      <c r="F6017" s="12" t="inlineStr">
        <is>
          <t>LNG 15: boil-off gas compressor</t>
        </is>
      </c>
      <c r="G6017" s="12" t="inlineStr">
        <is>
          <t>JB-LNG 15: boil-off g-AI01</t>
        </is>
      </c>
      <c r="H6017" s="12" t="inlineStr">
        <is>
          <t>LNG 15: boil-off gas compressor</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12</v>
      </c>
      <c r="O6017" s="12" t="n">
        <v>1</v>
      </c>
      <c r="P6017" s="12" t="n"/>
      <c r="Q6017" s="12" t="n"/>
      <c r="R6017" s="12" t="n"/>
      <c r="S6017" s="12" t="inlineStr">
        <is>
          <t>Tray / conduit</t>
        </is>
      </c>
      <c r="T6017" s="15" t="n">
        <v>67</v>
      </c>
      <c r="U6017" s="15" t="n">
        <v>10</v>
      </c>
      <c r="V6017" s="15">
        <f>ROUNDUP((T6017+U6017+2*'Read Me'!$B$13)*(1+'Read Me'!$B$12),-1)</f>
        <v/>
      </c>
      <c r="W6017" s="15">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K-I-0144</t>
        </is>
      </c>
      <c r="B6018" s="12" t="inlineStr">
        <is>
          <t>K</t>
        </is>
      </c>
      <c r="C6018" s="12" t="inlineStr">
        <is>
          <t>Fuel supply (adjacent market)</t>
        </is>
      </c>
      <c r="D6018" s="12" t="inlineStr">
        <is>
          <t>Home run JB-LNG 15: boil-off g-AI01 to the control / marshalling room</t>
        </is>
      </c>
      <c r="E6018" s="12" t="inlineStr"/>
      <c r="F6018" s="12" t="inlineStr">
        <is>
          <t>LNG 17: LNG e-house (13.8 kV / 480 V)</t>
        </is>
      </c>
      <c r="G6018" s="12" t="inlineStr">
        <is>
          <t>JB-LNG 15: boil-off g-AI01</t>
        </is>
      </c>
      <c r="H6018" s="12" t="inlineStr">
        <is>
          <t>LNG 15: boil-off gas compressor</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5" t="n">
        <v>25</v>
      </c>
      <c r="U6018" s="15" t="n">
        <v>54</v>
      </c>
      <c r="V6018" s="15">
        <f>ROUNDUP((T6018+U6018+2*'Read Me'!$B$13)*(1+'Read Me'!$B$12),-1)</f>
        <v/>
      </c>
      <c r="W6018" s="15">
        <f>V6018*N6018*O6018</f>
        <v/>
      </c>
      <c r="X6018" s="12">
        <f>IF(LEFT(I6018,2)="MV",2*N6018*IF(L6018="1/C",O6018,1),0)</f>
        <v/>
      </c>
      <c r="Y6018" s="12">
        <f>IF(OR(LEFT(K6018,4)="LVAX",LEFT(K6018,6)="MV15AX",LEFT(K6018,4)="CTAX",LEFT(K6018,2)="W|"),2*N6018*O6018,0)</f>
        <v/>
      </c>
      <c r="Z6018" s="12" t="inlineStr"/>
      <c r="AA6018" s="12">
        <f>N6018*O6018</f>
        <v/>
      </c>
    </row>
    <row r="6019">
      <c r="A6019" s="12" t="inlineStr">
        <is>
          <t>K-I-0145</t>
        </is>
      </c>
      <c r="B6019" s="12" t="inlineStr">
        <is>
          <t>K</t>
        </is>
      </c>
      <c r="C6019" s="12" t="inlineStr">
        <is>
          <t>Fuel supply (adjacent market)</t>
        </is>
      </c>
      <c r="D6019" s="12" t="inlineStr">
        <is>
          <t>Discrete device to JB JB-LNG 15: boil-off g-DI01: 12 x 1 pr (field cables)</t>
        </is>
      </c>
      <c r="E6019" s="12" t="inlineStr"/>
      <c r="F6019" s="12" t="inlineStr">
        <is>
          <t>LNG 15: boil-off gas compressor</t>
        </is>
      </c>
      <c r="G6019" s="12" t="inlineStr">
        <is>
          <t>JB-LNG 15: boil-off g-DI01</t>
        </is>
      </c>
      <c r="H6019" s="12" t="inlineStr">
        <is>
          <t>LNG 15: boil-off gas compressor</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12</v>
      </c>
      <c r="O6019" s="12" t="n">
        <v>1</v>
      </c>
      <c r="P6019" s="12" t="n"/>
      <c r="Q6019" s="12" t="n"/>
      <c r="R6019" s="12" t="n"/>
      <c r="S6019" s="12" t="inlineStr">
        <is>
          <t>Tray / conduit</t>
        </is>
      </c>
      <c r="T6019" s="15" t="n">
        <v>67</v>
      </c>
      <c r="U6019" s="15" t="n">
        <v>10</v>
      </c>
      <c r="V6019" s="15">
        <f>ROUNDUP((T6019+U6019+2*'Read Me'!$B$13)*(1+'Read Me'!$B$12),-1)</f>
        <v/>
      </c>
      <c r="W6019" s="15">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K-I-0146</t>
        </is>
      </c>
      <c r="B6020" s="12" t="inlineStr">
        <is>
          <t>K</t>
        </is>
      </c>
      <c r="C6020" s="12" t="inlineStr">
        <is>
          <t>Fuel supply (adjacent market)</t>
        </is>
      </c>
      <c r="D6020" s="12" t="inlineStr">
        <is>
          <t>Home run JB-LNG 15: boil-off g-DI01 to the control / marshalling room</t>
        </is>
      </c>
      <c r="E6020" s="12" t="inlineStr"/>
      <c r="F6020" s="12" t="inlineStr">
        <is>
          <t>LNG 17: LNG e-house (13.8 kV / 480 V)</t>
        </is>
      </c>
      <c r="G6020" s="12" t="inlineStr">
        <is>
          <t>JB-LNG 15: boil-off g-DI01</t>
        </is>
      </c>
      <c r="H6020" s="12" t="inlineStr">
        <is>
          <t>LNG 15: boil-off gas compressor</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5" t="n">
        <v>25</v>
      </c>
      <c r="U6020" s="15" t="n">
        <v>54</v>
      </c>
      <c r="V6020" s="15">
        <f>ROUNDUP((T6020+U6020+2*'Read Me'!$B$13)*(1+'Read Me'!$B$12),-1)</f>
        <v/>
      </c>
      <c r="W6020" s="15">
        <f>V6020*N6020*O6020</f>
        <v/>
      </c>
      <c r="X6020" s="12">
        <f>IF(LEFT(I6020,2)="MV",2*N6020*IF(L6020="1/C",O6020,1),0)</f>
        <v/>
      </c>
      <c r="Y6020" s="12">
        <f>IF(OR(LEFT(K6020,4)="LVAX",LEFT(K6020,6)="MV15AX",LEFT(K6020,4)="CTAX",LEFT(K6020,2)="W|"),2*N6020*O6020,0)</f>
        <v/>
      </c>
      <c r="Z6020" s="12" t="inlineStr"/>
      <c r="AA6020" s="12">
        <f>N6020*O6020</f>
        <v/>
      </c>
    </row>
    <row r="6021">
      <c r="A6021" s="12" t="inlineStr">
        <is>
          <t>K-I-0147</t>
        </is>
      </c>
      <c r="B6021" s="12" t="inlineStr">
        <is>
          <t>K</t>
        </is>
      </c>
      <c r="C6021" s="12" t="inlineStr">
        <is>
          <t>Fuel supply (adjacent market)</t>
        </is>
      </c>
      <c r="D6021" s="12" t="inlineStr">
        <is>
          <t>Analog instrument to JB JB-LNG 16: send-out m-AI01: 12 x 1 pr (field cables)</t>
        </is>
      </c>
      <c r="E6021" s="12" t="inlineStr"/>
      <c r="F6021" s="12" t="inlineStr">
        <is>
          <t>LNG 16: send-out metering + pressure control</t>
        </is>
      </c>
      <c r="G6021" s="12" t="inlineStr">
        <is>
          <t>JB-LNG 16: send-out m-AI01</t>
        </is>
      </c>
      <c r="H6021" s="12" t="inlineStr">
        <is>
          <t>LNG 16: send-out metering + pressure control</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12</v>
      </c>
      <c r="O6021" s="12" t="n">
        <v>1</v>
      </c>
      <c r="P6021" s="12" t="n"/>
      <c r="Q6021" s="12" t="n"/>
      <c r="R6021" s="12" t="n"/>
      <c r="S6021" s="12" t="inlineStr">
        <is>
          <t>Tray / conduit</t>
        </is>
      </c>
      <c r="T6021" s="15" t="n">
        <v>74</v>
      </c>
      <c r="U6021" s="15" t="n">
        <v>10</v>
      </c>
      <c r="V6021" s="15">
        <f>ROUNDUP((T6021+U6021+2*'Read Me'!$B$13)*(1+'Read Me'!$B$12),-1)</f>
        <v/>
      </c>
      <c r="W6021" s="15">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K-I-0148</t>
        </is>
      </c>
      <c r="B6022" s="12" t="inlineStr">
        <is>
          <t>K</t>
        </is>
      </c>
      <c r="C6022" s="12" t="inlineStr">
        <is>
          <t>Fuel supply (adjacent market)</t>
        </is>
      </c>
      <c r="D6022" s="12" t="inlineStr">
        <is>
          <t>Home run JB-LNG 16: send-out m-AI01 to the control / marshalling room</t>
        </is>
      </c>
      <c r="E6022" s="12" t="inlineStr"/>
      <c r="F6022" s="12" t="inlineStr">
        <is>
          <t>LNG 17: LNG e-house (13.8 kV / 480 V)</t>
        </is>
      </c>
      <c r="G6022" s="12" t="inlineStr">
        <is>
          <t>JB-LNG 16: send-out m-AI01</t>
        </is>
      </c>
      <c r="H6022" s="12" t="inlineStr">
        <is>
          <t>LNG 16: send-out metering + pressure control</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5" t="n">
        <v>20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K-I-0149</t>
        </is>
      </c>
      <c r="B6023" s="12" t="inlineStr">
        <is>
          <t>K</t>
        </is>
      </c>
      <c r="C6023" s="12" t="inlineStr">
        <is>
          <t>Fuel supply (adjacent market)</t>
        </is>
      </c>
      <c r="D6023" s="12" t="inlineStr">
        <is>
          <t>Discrete device to JB JB-LNG 16: send-out m-DI01: 12 x 1 pr (field cables)</t>
        </is>
      </c>
      <c r="E6023" s="12" t="inlineStr"/>
      <c r="F6023" s="12" t="inlineStr">
        <is>
          <t>LNG 16: send-out metering + pressure control</t>
        </is>
      </c>
      <c r="G6023" s="12" t="inlineStr">
        <is>
          <t>JB-LNG 16: send-out m-DI01</t>
        </is>
      </c>
      <c r="H6023" s="12" t="inlineStr">
        <is>
          <t>LNG 16: send-out metering + pressure control</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12</v>
      </c>
      <c r="O6023" s="12" t="n">
        <v>1</v>
      </c>
      <c r="P6023" s="12" t="n"/>
      <c r="Q6023" s="12" t="n"/>
      <c r="R6023" s="12" t="n"/>
      <c r="S6023" s="12" t="inlineStr">
        <is>
          <t>Tray / conduit</t>
        </is>
      </c>
      <c r="T6023" s="15" t="n">
        <v>74</v>
      </c>
      <c r="U6023" s="15" t="n">
        <v>10</v>
      </c>
      <c r="V6023" s="15">
        <f>ROUNDUP((T6023+U6023+2*'Read Me'!$B$13)*(1+'Read Me'!$B$12),-1)</f>
        <v/>
      </c>
      <c r="W6023" s="15">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K-I-0150</t>
        </is>
      </c>
      <c r="B6024" s="12" t="inlineStr">
        <is>
          <t>K</t>
        </is>
      </c>
      <c r="C6024" s="12" t="inlineStr">
        <is>
          <t>Fuel supply (adjacent market)</t>
        </is>
      </c>
      <c r="D6024" s="12" t="inlineStr">
        <is>
          <t>Home run JB-LNG 16: send-out m-DI01 to the control / marshalling room</t>
        </is>
      </c>
      <c r="E6024" s="12" t="inlineStr"/>
      <c r="F6024" s="12" t="inlineStr">
        <is>
          <t>LNG 17: LNG e-house (13.8 kV / 480 V)</t>
        </is>
      </c>
      <c r="G6024" s="12" t="inlineStr">
        <is>
          <t>JB-LNG 16: send-out m-DI01</t>
        </is>
      </c>
      <c r="H6024" s="12" t="inlineStr">
        <is>
          <t>LNG 16: send-out metering + pressure control</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5" t="n">
        <v>20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K-I-0151</t>
        </is>
      </c>
      <c r="B6025" s="12" t="inlineStr">
        <is>
          <t>K</t>
        </is>
      </c>
      <c r="C6025" s="12" t="inlineStr">
        <is>
          <t>Fuel supply (adjacent market)</t>
        </is>
      </c>
      <c r="D6025" s="12" t="inlineStr">
        <is>
          <t>Analog instrument to JB JB-LNG 17: LNG e-hous-AI01: 12 x 1 pr (field cables)</t>
        </is>
      </c>
      <c r="E6025" s="12" t="inlineStr"/>
      <c r="F6025" s="12" t="inlineStr">
        <is>
          <t>LNG 17: LNG e-house (13.8 kV / 480 V)</t>
        </is>
      </c>
      <c r="G6025" s="12" t="inlineStr">
        <is>
          <t>JB-LNG 17: LNG e-hous-AI01</t>
        </is>
      </c>
      <c r="H6025" s="12" t="inlineStr">
        <is>
          <t>LNG 17: LNG e-house (13.8 kV / 480 V)</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12</v>
      </c>
      <c r="O6025" s="12" t="n">
        <v>1</v>
      </c>
      <c r="P6025" s="12" t="n"/>
      <c r="Q6025" s="12" t="n"/>
      <c r="R6025" s="12" t="n"/>
      <c r="S6025" s="12" t="inlineStr">
        <is>
          <t>Tray / conduit</t>
        </is>
      </c>
      <c r="T6025" s="15" t="n">
        <v>58</v>
      </c>
      <c r="U6025" s="15" t="n">
        <v>10</v>
      </c>
      <c r="V6025" s="15">
        <f>ROUNDUP((T6025+U6025+2*'Read Me'!$B$13)*(1+'Read Me'!$B$12),-1)</f>
        <v/>
      </c>
      <c r="W6025" s="15">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K-I-0152</t>
        </is>
      </c>
      <c r="B6026" s="12" t="inlineStr">
        <is>
          <t>K</t>
        </is>
      </c>
      <c r="C6026" s="12" t="inlineStr">
        <is>
          <t>Fuel supply (adjacent market)</t>
        </is>
      </c>
      <c r="D6026" s="12" t="inlineStr">
        <is>
          <t>Home run JB-LNG 17: LNG e-hous-AI01 to the control / marshalling room</t>
        </is>
      </c>
      <c r="E6026" s="12" t="inlineStr"/>
      <c r="F6026" s="12" t="inlineStr">
        <is>
          <t>LNG 17: LNG e-house (13.8 kV / 480 V)</t>
        </is>
      </c>
      <c r="G6026" s="12" t="inlineStr">
        <is>
          <t>JB-LNG 17: LNG e-hous-AI01</t>
        </is>
      </c>
      <c r="H6026" s="12" t="inlineStr">
        <is>
          <t>LNG 17: LNG e-house (13.8 kV / 480 V)</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Tray</t>
        </is>
      </c>
      <c r="T6026" s="15" t="n">
        <v>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K-I-0153</t>
        </is>
      </c>
      <c r="B6027" s="12" t="inlineStr">
        <is>
          <t>K</t>
        </is>
      </c>
      <c r="C6027" s="12" t="inlineStr">
        <is>
          <t>Fuel supply (adjacent market)</t>
        </is>
      </c>
      <c r="D6027" s="12" t="inlineStr">
        <is>
          <t>Discrete device to JB JB-LNG 17: LNG e-hous-DI01: 12 x 1 pr (field cables)</t>
        </is>
      </c>
      <c r="E6027" s="12" t="inlineStr"/>
      <c r="F6027" s="12" t="inlineStr">
        <is>
          <t>LNG 17: LNG e-house (13.8 kV / 480 V)</t>
        </is>
      </c>
      <c r="G6027" s="12" t="inlineStr">
        <is>
          <t>JB-LNG 17: LNG e-hous-DI01</t>
        </is>
      </c>
      <c r="H6027" s="12" t="inlineStr">
        <is>
          <t>LNG 17: LNG e-house (13.8 kV / 480 V)</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12</v>
      </c>
      <c r="O6027" s="12" t="n">
        <v>1</v>
      </c>
      <c r="P6027" s="12" t="n"/>
      <c r="Q6027" s="12" t="n"/>
      <c r="R6027" s="12" t="n"/>
      <c r="S6027" s="12" t="inlineStr">
        <is>
          <t>Tray / conduit</t>
        </is>
      </c>
      <c r="T6027" s="15" t="n">
        <v>58</v>
      </c>
      <c r="U6027" s="15" t="n">
        <v>10</v>
      </c>
      <c r="V6027" s="15">
        <f>ROUNDUP((T6027+U6027+2*'Read Me'!$B$13)*(1+'Read Me'!$B$12),-1)</f>
        <v/>
      </c>
      <c r="W6027" s="15">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K-I-0154</t>
        </is>
      </c>
      <c r="B6028" s="12" t="inlineStr">
        <is>
          <t>K</t>
        </is>
      </c>
      <c r="C6028" s="12" t="inlineStr">
        <is>
          <t>Fuel supply (adjacent market)</t>
        </is>
      </c>
      <c r="D6028" s="12" t="inlineStr">
        <is>
          <t>Home run JB-LNG 17: LNG e-hous-DI01 to the control / marshalling room</t>
        </is>
      </c>
      <c r="E6028" s="12" t="inlineStr"/>
      <c r="F6028" s="12" t="inlineStr">
        <is>
          <t>LNG 17: LNG e-house (13.8 kV / 480 V)</t>
        </is>
      </c>
      <c r="G6028" s="12" t="inlineStr">
        <is>
          <t>JB-LNG 17: LNG e-hous-DI01</t>
        </is>
      </c>
      <c r="H6028" s="12" t="inlineStr">
        <is>
          <t>LNG 17: LNG e-house (13.8 kV / 480 V)</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Tray</t>
        </is>
      </c>
      <c r="T6028" s="15" t="n">
        <v>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c r="AA6028" s="12">
        <f>N6028*O6028</f>
        <v/>
      </c>
    </row>
    <row r="6029">
      <c r="A6029" s="12" t="inlineStr">
        <is>
          <t>K-I-0155</t>
        </is>
      </c>
      <c r="B6029" s="12" t="inlineStr">
        <is>
          <t>K</t>
        </is>
      </c>
      <c r="C6029" s="12" t="inlineStr">
        <is>
          <t>Fuel supply (adjacent market)</t>
        </is>
      </c>
      <c r="D6029" s="12" t="inlineStr">
        <is>
          <t>Analog instrument to JB JB-LNG 18: vent stack-AI01: 12 x 1 pr (field cables)</t>
        </is>
      </c>
      <c r="E6029" s="12" t="inlineStr"/>
      <c r="F6029" s="12" t="inlineStr">
        <is>
          <t>LNG 18: vent stack</t>
        </is>
      </c>
      <c r="G6029" s="12" t="inlineStr">
        <is>
          <t>JB-LNG 18: vent stack-AI01</t>
        </is>
      </c>
      <c r="H6029" s="12" t="inlineStr">
        <is>
          <t>LNG 18: vent stack</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12</v>
      </c>
      <c r="O6029" s="12" t="n">
        <v>1</v>
      </c>
      <c r="P6029" s="12" t="n"/>
      <c r="Q6029" s="12" t="n"/>
      <c r="R6029" s="12" t="n"/>
      <c r="S6029" s="12" t="inlineStr">
        <is>
          <t>Tray / conduit</t>
        </is>
      </c>
      <c r="T6029" s="15" t="n">
        <v>55</v>
      </c>
      <c r="U6029" s="15" t="n">
        <v>10</v>
      </c>
      <c r="V6029" s="15">
        <f>ROUNDUP((T6029+U6029+2*'Read Me'!$B$13)*(1+'Read Me'!$B$12),-1)</f>
        <v/>
      </c>
      <c r="W6029" s="15">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K-I-0156</t>
        </is>
      </c>
      <c r="B6030" s="12" t="inlineStr">
        <is>
          <t>K</t>
        </is>
      </c>
      <c r="C6030" s="12" t="inlineStr">
        <is>
          <t>Fuel supply (adjacent market)</t>
        </is>
      </c>
      <c r="D6030" s="12" t="inlineStr">
        <is>
          <t>Home run JB-LNG 18: vent stack-AI01 to the control / marshalling room</t>
        </is>
      </c>
      <c r="E6030" s="12" t="inlineStr"/>
      <c r="F6030" s="12" t="inlineStr">
        <is>
          <t>LNG 17: LNG e-house (13.8 kV / 480 V)</t>
        </is>
      </c>
      <c r="G6030" s="12" t="inlineStr">
        <is>
          <t>JB-LNG 18: vent stack-AI01</t>
        </is>
      </c>
      <c r="H6030" s="12" t="inlineStr">
        <is>
          <t>LNG 18: vent stack</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5" t="n">
        <v>25</v>
      </c>
      <c r="U6030" s="15" t="n">
        <v>117</v>
      </c>
      <c r="V6030" s="15">
        <f>ROUNDUP((T6030+U6030+2*'Read Me'!$B$13)*(1+'Read Me'!$B$12),-1)</f>
        <v/>
      </c>
      <c r="W6030" s="15">
        <f>V6030*N6030*O6030</f>
        <v/>
      </c>
      <c r="X6030" s="12">
        <f>IF(LEFT(I6030,2)="MV",2*N6030*IF(L6030="1/C",O6030,1),0)</f>
        <v/>
      </c>
      <c r="Y6030" s="12">
        <f>IF(OR(LEFT(K6030,4)="LVAX",LEFT(K6030,6)="MV15AX",LEFT(K6030,4)="CTAX",LEFT(K6030,2)="W|"),2*N6030*O6030,0)</f>
        <v/>
      </c>
      <c r="Z6030" s="12" t="inlineStr"/>
      <c r="AA6030" s="12">
        <f>N6030*O6030</f>
        <v/>
      </c>
    </row>
    <row r="6031">
      <c r="A6031" s="12" t="inlineStr">
        <is>
          <t>K-I-0157</t>
        </is>
      </c>
      <c r="B6031" s="12" t="inlineStr">
        <is>
          <t>K</t>
        </is>
      </c>
      <c r="C6031" s="12" t="inlineStr">
        <is>
          <t>Fuel supply (adjacent market)</t>
        </is>
      </c>
      <c r="D6031" s="12" t="inlineStr">
        <is>
          <t>Discrete device to JB JB-LNG 18: vent stack-DI01: 12 x 1 pr (field cables)</t>
        </is>
      </c>
      <c r="E6031" s="12" t="inlineStr"/>
      <c r="F6031" s="12" t="inlineStr">
        <is>
          <t>LNG 18: vent stack</t>
        </is>
      </c>
      <c r="G6031" s="12" t="inlineStr">
        <is>
          <t>JB-LNG 18: vent stack-DI01</t>
        </is>
      </c>
      <c r="H6031" s="12" t="inlineStr">
        <is>
          <t>LNG 18: vent stack</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12</v>
      </c>
      <c r="O6031" s="12" t="n">
        <v>1</v>
      </c>
      <c r="P6031" s="12" t="n"/>
      <c r="Q6031" s="12" t="n"/>
      <c r="R6031" s="12" t="n"/>
      <c r="S6031" s="12" t="inlineStr">
        <is>
          <t>Tray / conduit</t>
        </is>
      </c>
      <c r="T6031" s="15" t="n">
        <v>55</v>
      </c>
      <c r="U6031" s="15" t="n">
        <v>10</v>
      </c>
      <c r="V6031" s="15">
        <f>ROUNDUP((T6031+U6031+2*'Read Me'!$B$13)*(1+'Read Me'!$B$12),-1)</f>
        <v/>
      </c>
      <c r="W6031" s="15">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K-I-0158</t>
        </is>
      </c>
      <c r="B6032" s="12" t="inlineStr">
        <is>
          <t>K</t>
        </is>
      </c>
      <c r="C6032" s="12" t="inlineStr">
        <is>
          <t>Fuel supply (adjacent market)</t>
        </is>
      </c>
      <c r="D6032" s="12" t="inlineStr">
        <is>
          <t>Home run JB-LNG 18: vent stack-DI01 to the control / marshalling room</t>
        </is>
      </c>
      <c r="E6032" s="12" t="inlineStr"/>
      <c r="F6032" s="12" t="inlineStr">
        <is>
          <t>LNG 17: LNG e-house (13.8 kV / 480 V)</t>
        </is>
      </c>
      <c r="G6032" s="12" t="inlineStr">
        <is>
          <t>JB-LNG 18: vent stack-DI01</t>
        </is>
      </c>
      <c r="H6032" s="12" t="inlineStr">
        <is>
          <t>LNG 18: vent stack</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5" t="n">
        <v>25</v>
      </c>
      <c r="U6032" s="15" t="n">
        <v>117</v>
      </c>
      <c r="V6032" s="15">
        <f>ROUNDUP((T6032+U6032+2*'Read Me'!$B$13)*(1+'Read Me'!$B$12),-1)</f>
        <v/>
      </c>
      <c r="W6032" s="15">
        <f>V6032*N6032*O6032</f>
        <v/>
      </c>
      <c r="X6032" s="12">
        <f>IF(LEFT(I6032,2)="MV",2*N6032*IF(L6032="1/C",O6032,1),0)</f>
        <v/>
      </c>
      <c r="Y6032" s="12">
        <f>IF(OR(LEFT(K6032,4)="LVAX",LEFT(K6032,6)="MV15AX",LEFT(K6032,4)="CTAX",LEFT(K6032,2)="W|"),2*N6032*O6032,0)</f>
        <v/>
      </c>
      <c r="Z6032" s="12" t="inlineStr"/>
      <c r="AA6032" s="12">
        <f>N6032*O6032</f>
        <v/>
      </c>
    </row>
    <row r="6033">
      <c r="A6033" s="12" t="inlineStr">
        <is>
          <t>K-I-0159</t>
        </is>
      </c>
      <c r="B6033" s="12" t="inlineStr">
        <is>
          <t>K</t>
        </is>
      </c>
      <c r="C6033" s="12" t="inlineStr">
        <is>
          <t>Fuel supply (adjacent market)</t>
        </is>
      </c>
      <c r="D6033" s="12" t="inlineStr">
        <is>
          <t>Instrumentation</t>
        </is>
      </c>
      <c r="E6033" s="12" t="inlineStr"/>
      <c r="F6033" s="12" t="inlineStr">
        <is>
          <t>LNG 17: LNG e-house (13.8 kV / 480 V)</t>
        </is>
      </c>
      <c r="G6033" s="12" t="inlineStr"/>
      <c r="H6033" s="12" t="inlineStr">
        <is>
          <t>LNG impoundment sump pump</t>
        </is>
      </c>
      <c r="I6033" s="12" t="inlineStr">
        <is>
          <t>Instrumentation</t>
        </is>
      </c>
      <c r="J6033" s="12" t="inlineStr">
        <is>
          <t>Instrumentation ITC / PLTC, IS, #18 shielded pairs, blue jacket</t>
        </is>
      </c>
      <c r="K6033" s="12" t="inlineStr">
        <is>
          <t>ITC|4 pr|18</t>
        </is>
      </c>
      <c r="L6033" s="12" t="inlineStr">
        <is>
          <t>4 pr</t>
        </is>
      </c>
      <c r="M6033" s="12" t="inlineStr">
        <is>
          <t>18</t>
        </is>
      </c>
      <c r="N6033" s="12" t="n">
        <v>1</v>
      </c>
      <c r="O6033" s="12" t="n">
        <v>1</v>
      </c>
      <c r="P6033" s="12" t="n"/>
      <c r="Q6033" s="12" t="n"/>
      <c r="R6033" s="12" t="n"/>
      <c r="S6033" s="12" t="inlineStr">
        <is>
          <t>Duct bank</t>
        </is>
      </c>
      <c r="T6033" s="15" t="n">
        <v>334</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K-I-0160</t>
        </is>
      </c>
      <c r="B6034" s="12" t="inlineStr">
        <is>
          <t>K</t>
        </is>
      </c>
      <c r="C6034" s="12" t="inlineStr">
        <is>
          <t>Fuel supply (adjacent market)</t>
        </is>
      </c>
      <c r="D6034" s="12" t="inlineStr">
        <is>
          <t>Instrumentation</t>
        </is>
      </c>
      <c r="E6034" s="12" t="inlineStr"/>
      <c r="F6034" s="12" t="inlineStr">
        <is>
          <t>LNG 17: LNG e-house (13.8 kV / 480 V)</t>
        </is>
      </c>
      <c r="G6034" s="12" t="inlineStr"/>
      <c r="H6034" s="12" t="inlineStr">
        <is>
          <t>M&amp;R 1: pig receiver, lateral terminus</t>
        </is>
      </c>
      <c r="I6034" s="12" t="inlineStr">
        <is>
          <t>Instrumentation</t>
        </is>
      </c>
      <c r="J6034" s="12" t="inlineStr">
        <is>
          <t>Instrumentation ITC / PLTC, IS, #18 shielded pairs, blue jacket</t>
        </is>
      </c>
      <c r="K6034" s="12" t="inlineStr">
        <is>
          <t>ITC|4 pr|18</t>
        </is>
      </c>
      <c r="L6034" s="12" t="inlineStr">
        <is>
          <t>4 pr</t>
        </is>
      </c>
      <c r="M6034" s="12" t="inlineStr">
        <is>
          <t>18</t>
        </is>
      </c>
      <c r="N6034" s="12" t="n">
        <v>1</v>
      </c>
      <c r="O6034" s="12" t="n">
        <v>1</v>
      </c>
      <c r="P6034" s="12" t="n"/>
      <c r="Q6034" s="12" t="n"/>
      <c r="R6034" s="12" t="n"/>
      <c r="S6034" s="12" t="inlineStr">
        <is>
          <t>Duct bank</t>
        </is>
      </c>
      <c r="T6034" s="15" t="n">
        <v>773</v>
      </c>
      <c r="U6034" s="15" t="n">
        <v>37</v>
      </c>
      <c r="V6034" s="15">
        <f>ROUNDUP((T6034+U6034+2*'Read Me'!$B$13)*(1+'Read Me'!$B$12),-1)</f>
        <v/>
      </c>
      <c r="W6034" s="15">
        <f>V6034*N6034*O6034</f>
        <v/>
      </c>
      <c r="X6034" s="12">
        <f>IF(LEFT(I6034,2)="MV",2*N6034*IF(L6034="1/C",O6034,1),0)</f>
        <v/>
      </c>
      <c r="Y6034" s="12">
        <f>IF(OR(LEFT(K6034,4)="LVAX",LEFT(K6034,6)="MV15AX",LEFT(K6034,4)="CTAX",LEFT(K6034,2)="W|"),2*N6034*O6034,0)</f>
        <v/>
      </c>
      <c r="Z6034" s="12" t="inlineStr"/>
      <c r="AA6034" s="12">
        <f>N6034*O6034</f>
        <v/>
      </c>
    </row>
    <row r="6035">
      <c r="A6035" s="12" t="inlineStr">
        <is>
          <t>K-I-0161</t>
        </is>
      </c>
      <c r="B6035" s="12" t="inlineStr">
        <is>
          <t>K</t>
        </is>
      </c>
      <c r="C6035" s="12" t="inlineStr">
        <is>
          <t>Fuel supply (adjacent market)</t>
        </is>
      </c>
      <c r="D6035" s="12" t="inlineStr">
        <is>
          <t>Discrete device to JB JB-M&amp;R 2: insulating -DI01: 8 x 1 pr (field cables)</t>
        </is>
      </c>
      <c r="E6035" s="12" t="inlineStr"/>
      <c r="F6035" s="12" t="inlineStr">
        <is>
          <t>M&amp;R 2: insulating joint + ESD valve</t>
        </is>
      </c>
      <c r="G6035" s="12" t="inlineStr">
        <is>
          <t>JB-M&amp;R 2: insulating -DI01</t>
        </is>
      </c>
      <c r="H6035" s="12" t="inlineStr">
        <is>
          <t>M&amp;R 2: insulating joint + ESD valve</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8</v>
      </c>
      <c r="O6035" s="12" t="n">
        <v>1</v>
      </c>
      <c r="P6035" s="12" t="n"/>
      <c r="Q6035" s="12" t="n"/>
      <c r="R6035" s="12" t="n"/>
      <c r="S6035" s="12" t="inlineStr">
        <is>
          <t>Tray / conduit</t>
        </is>
      </c>
      <c r="T6035" s="15" t="n">
        <v>40</v>
      </c>
      <c r="U6035" s="15" t="n">
        <v>10</v>
      </c>
      <c r="V6035" s="15">
        <f>ROUNDUP((T6035+U6035+2*'Read Me'!$B$13)*(1+'Read Me'!$B$12),-1)</f>
        <v/>
      </c>
      <c r="W6035" s="15">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K-I-0162</t>
        </is>
      </c>
      <c r="B6036" s="12" t="inlineStr">
        <is>
          <t>K</t>
        </is>
      </c>
      <c r="C6036" s="12" t="inlineStr">
        <is>
          <t>Fuel supply (adjacent market)</t>
        </is>
      </c>
      <c r="D6036" s="12" t="inlineStr">
        <is>
          <t>Home run JB-M&amp;R 2: insulating -DI01 to the control / marshalling room</t>
        </is>
      </c>
      <c r="E6036" s="12" t="inlineStr"/>
      <c r="F6036" s="12" t="inlineStr">
        <is>
          <t>LNG 17: LNG e-house (13.8 kV / 480 V)</t>
        </is>
      </c>
      <c r="G6036" s="12" t="inlineStr">
        <is>
          <t>JB-M&amp;R 2: insulating -DI01</t>
        </is>
      </c>
      <c r="H6036" s="12" t="inlineStr">
        <is>
          <t>M&amp;R 2: insulating joint + ESD valve</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5" t="n">
        <v>758</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c r="AA6036" s="12">
        <f>N6036*O6036</f>
        <v/>
      </c>
    </row>
    <row r="6037">
      <c r="A6037" s="12" t="inlineStr">
        <is>
          <t>K-I-0163</t>
        </is>
      </c>
      <c r="B6037" s="12" t="inlineStr">
        <is>
          <t>K</t>
        </is>
      </c>
      <c r="C6037" s="12" t="inlineStr">
        <is>
          <t>Fuel supply (adjacent market)</t>
        </is>
      </c>
      <c r="D6037" s="12" t="inlineStr">
        <is>
          <t>Analog instrument to JB JB-M&amp;R 3: horizontal -AI01: 8 x 1 pr (field cables)</t>
        </is>
      </c>
      <c r="E6037" s="12" t="inlineStr"/>
      <c r="F6037" s="12" t="inlineStr">
        <is>
          <t>M&amp;R 3: horizontal filter-separator</t>
        </is>
      </c>
      <c r="G6037" s="12" t="inlineStr">
        <is>
          <t>JB-M&amp;R 3: horizontal -AI01</t>
        </is>
      </c>
      <c r="H6037" s="12" t="inlineStr">
        <is>
          <t>M&amp;R 3: horizontal filter-separator</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8</v>
      </c>
      <c r="O6037" s="12" t="n">
        <v>1</v>
      </c>
      <c r="P6037" s="12" t="n"/>
      <c r="Q6037" s="12" t="n"/>
      <c r="R6037" s="12" t="n"/>
      <c r="S6037" s="12" t="inlineStr">
        <is>
          <t>Tray / conduit</t>
        </is>
      </c>
      <c r="T6037" s="15" t="n">
        <v>53</v>
      </c>
      <c r="U6037" s="15" t="n">
        <v>10</v>
      </c>
      <c r="V6037" s="15">
        <f>ROUNDUP((T6037+U6037+2*'Read Me'!$B$13)*(1+'Read Me'!$B$12),-1)</f>
        <v/>
      </c>
      <c r="W6037" s="15">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K-I-0164</t>
        </is>
      </c>
      <c r="B6038" s="12" t="inlineStr">
        <is>
          <t>K</t>
        </is>
      </c>
      <c r="C6038" s="12" t="inlineStr">
        <is>
          <t>Fuel supply (adjacent market)</t>
        </is>
      </c>
      <c r="D6038" s="12" t="inlineStr">
        <is>
          <t>Home run JB-M&amp;R 3: horizontal -AI01 to the control / marshalling room</t>
        </is>
      </c>
      <c r="E6038" s="12" t="inlineStr"/>
      <c r="F6038" s="12" t="inlineStr">
        <is>
          <t>LNG 17: LNG e-house (13.8 kV / 480 V)</t>
        </is>
      </c>
      <c r="G6038" s="12" t="inlineStr">
        <is>
          <t>JB-M&amp;R 3: horizontal -AI01</t>
        </is>
      </c>
      <c r="H6038" s="12" t="inlineStr">
        <is>
          <t>M&amp;R 3: horizontal filter-separator</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5" t="n">
        <v>797</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K-I-0165</t>
        </is>
      </c>
      <c r="B6039" s="12" t="inlineStr">
        <is>
          <t>K</t>
        </is>
      </c>
      <c r="C6039" s="12" t="inlineStr">
        <is>
          <t>Fuel supply (adjacent market)</t>
        </is>
      </c>
      <c r="D6039" s="12" t="inlineStr">
        <is>
          <t>Discrete device to JB JB-M&amp;R 3: horizontal -DI01: 12 x 1 pr (field cables)</t>
        </is>
      </c>
      <c r="E6039" s="12" t="inlineStr"/>
      <c r="F6039" s="12" t="inlineStr">
        <is>
          <t>M&amp;R 3: horizontal filter-separator</t>
        </is>
      </c>
      <c r="G6039" s="12" t="inlineStr">
        <is>
          <t>JB-M&amp;R 3: horizontal -DI01</t>
        </is>
      </c>
      <c r="H6039" s="12" t="inlineStr">
        <is>
          <t>M&amp;R 3: horizontal filter-separator</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12</v>
      </c>
      <c r="O6039" s="12" t="n">
        <v>1</v>
      </c>
      <c r="P6039" s="12" t="n"/>
      <c r="Q6039" s="12" t="n"/>
      <c r="R6039" s="12" t="n"/>
      <c r="S6039" s="12" t="inlineStr">
        <is>
          <t>Tray / conduit</t>
        </is>
      </c>
      <c r="T6039" s="15" t="n">
        <v>53</v>
      </c>
      <c r="U6039" s="15" t="n">
        <v>10</v>
      </c>
      <c r="V6039" s="15">
        <f>ROUNDUP((T6039+U6039+2*'Read Me'!$B$13)*(1+'Read Me'!$B$12),-1)</f>
        <v/>
      </c>
      <c r="W6039" s="15">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K-I-0166</t>
        </is>
      </c>
      <c r="B6040" s="12" t="inlineStr">
        <is>
          <t>K</t>
        </is>
      </c>
      <c r="C6040" s="12" t="inlineStr">
        <is>
          <t>Fuel supply (adjacent market)</t>
        </is>
      </c>
      <c r="D6040" s="12" t="inlineStr">
        <is>
          <t>Home run JB-M&amp;R 3: horizontal -DI01 to the control / marshalling room</t>
        </is>
      </c>
      <c r="E6040" s="12" t="inlineStr"/>
      <c r="F6040" s="12" t="inlineStr">
        <is>
          <t>LNG 17: LNG e-house (13.8 kV / 480 V)</t>
        </is>
      </c>
      <c r="G6040" s="12" t="inlineStr">
        <is>
          <t>JB-M&amp;R 3: horizontal -DI01</t>
        </is>
      </c>
      <c r="H6040" s="12" t="inlineStr">
        <is>
          <t>M&amp;R 3: horizontal filter-separator</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5" t="n">
        <v>797</v>
      </c>
      <c r="U6040" s="15" t="n">
        <v>32</v>
      </c>
      <c r="V6040" s="15">
        <f>ROUNDUP((T6040+U6040+2*'Read Me'!$B$13)*(1+'Read Me'!$B$12),-1)</f>
        <v/>
      </c>
      <c r="W6040" s="15">
        <f>V6040*N6040*O6040</f>
        <v/>
      </c>
      <c r="X6040" s="12">
        <f>IF(LEFT(I6040,2)="MV",2*N6040*IF(L6040="1/C",O6040,1),0)</f>
        <v/>
      </c>
      <c r="Y6040" s="12">
        <f>IF(OR(LEFT(K6040,4)="LVAX",LEFT(K6040,6)="MV15AX",LEFT(K6040,4)="CTAX",LEFT(K6040,2)="W|"),2*N6040*O6040,0)</f>
        <v/>
      </c>
      <c r="Z6040" s="12" t="inlineStr"/>
      <c r="AA6040" s="12">
        <f>N6040*O6040</f>
        <v/>
      </c>
    </row>
    <row r="6041">
      <c r="A6041" s="12" t="inlineStr">
        <is>
          <t>K-I-0167</t>
        </is>
      </c>
      <c r="B6041" s="12" t="inlineStr">
        <is>
          <t>K</t>
        </is>
      </c>
      <c r="C6041" s="12" t="inlineStr">
        <is>
          <t>Fuel supply (adjacent market)</t>
        </is>
      </c>
      <c r="D6041" s="12" t="inlineStr">
        <is>
          <t>Instrumentation</t>
        </is>
      </c>
      <c r="E6041" s="12" t="inlineStr"/>
      <c r="F6041" s="12" t="inlineStr">
        <is>
          <t>LNG 17: LNG e-house (13.8 kV / 480 V)</t>
        </is>
      </c>
      <c r="G6041" s="12" t="inlineStr"/>
      <c r="H6041" s="12" t="inlineStr">
        <is>
          <t>M&amp;R 4: line heater 1 (water bath)</t>
        </is>
      </c>
      <c r="I6041" s="12" t="inlineStr">
        <is>
          <t>Instrumentation</t>
        </is>
      </c>
      <c r="J6041" s="12" t="inlineStr">
        <is>
          <t>Instrumentation ITC / PLTC, IS, #18 shielded pairs, blue jacket</t>
        </is>
      </c>
      <c r="K6041" s="12" t="inlineStr">
        <is>
          <t>ITC|4 pr|18</t>
        </is>
      </c>
      <c r="L6041" s="12" t="inlineStr">
        <is>
          <t>4 pr</t>
        </is>
      </c>
      <c r="M6041" s="12" t="inlineStr">
        <is>
          <t>18</t>
        </is>
      </c>
      <c r="N6041" s="12" t="n">
        <v>1</v>
      </c>
      <c r="O6041" s="12" t="n">
        <v>1</v>
      </c>
      <c r="P6041" s="12" t="n"/>
      <c r="Q6041" s="12" t="n"/>
      <c r="R6041" s="12" t="n"/>
      <c r="S6041" s="12" t="inlineStr">
        <is>
          <t>Duct bank</t>
        </is>
      </c>
      <c r="T6041" s="15" t="n">
        <v>593</v>
      </c>
      <c r="U6041" s="15" t="n">
        <v>32</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K-I-0168</t>
        </is>
      </c>
      <c r="B6042" s="12" t="inlineStr">
        <is>
          <t>K</t>
        </is>
      </c>
      <c r="C6042" s="12" t="inlineStr">
        <is>
          <t>Fuel supply (adjacent market)</t>
        </is>
      </c>
      <c r="D6042" s="12" t="inlineStr">
        <is>
          <t>Instrumentation</t>
        </is>
      </c>
      <c r="E6042" s="12" t="inlineStr"/>
      <c r="F6042" s="12" t="inlineStr">
        <is>
          <t>LNG 17: LNG e-house (13.8 kV / 480 V)</t>
        </is>
      </c>
      <c r="G6042" s="12" t="inlineStr"/>
      <c r="H6042" s="12" t="inlineStr">
        <is>
          <t>M&amp;R 4: line heater 1 (water bath)</t>
        </is>
      </c>
      <c r="I6042" s="12" t="inlineStr">
        <is>
          <t>Instrumentation</t>
        </is>
      </c>
      <c r="J6042" s="12" t="inlineStr">
        <is>
          <t>Instrumentation ITC / PLTC, IS, #18 shielded pairs, blue jacket</t>
        </is>
      </c>
      <c r="K6042" s="12" t="inlineStr">
        <is>
          <t>ITC|12 pr|18</t>
        </is>
      </c>
      <c r="L6042" s="12" t="inlineStr">
        <is>
          <t>12 pr</t>
        </is>
      </c>
      <c r="M6042" s="12" t="inlineStr">
        <is>
          <t>18</t>
        </is>
      </c>
      <c r="N6042" s="12" t="n">
        <v>1</v>
      </c>
      <c r="O6042" s="12" t="n">
        <v>1</v>
      </c>
      <c r="P6042" s="12" t="n"/>
      <c r="Q6042" s="12" t="n"/>
      <c r="R6042" s="12" t="n"/>
      <c r="S6042" s="12" t="inlineStr">
        <is>
          <t>Duct bank</t>
        </is>
      </c>
      <c r="T6042" s="15" t="n">
        <v>593</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K-I-0169</t>
        </is>
      </c>
      <c r="B6043" s="12" t="inlineStr">
        <is>
          <t>K</t>
        </is>
      </c>
      <c r="C6043" s="12" t="inlineStr">
        <is>
          <t>Fuel supply (adjacent market)</t>
        </is>
      </c>
      <c r="D6043" s="12" t="inlineStr">
        <is>
          <t>Instrumentation</t>
        </is>
      </c>
      <c r="E6043" s="12" t="inlineStr"/>
      <c r="F6043" s="12" t="inlineStr">
        <is>
          <t>LNG 17: LNG e-house (13.8 kV / 480 V)</t>
        </is>
      </c>
      <c r="G6043" s="12" t="inlineStr"/>
      <c r="H6043" s="12" t="inlineStr">
        <is>
          <t>M&amp;R 4: line heater 2 (water bath)</t>
        </is>
      </c>
      <c r="I6043" s="12" t="inlineStr">
        <is>
          <t>Instrumentation</t>
        </is>
      </c>
      <c r="J6043" s="12" t="inlineStr">
        <is>
          <t>Instrumentation ITC / PLTC, IS, #18 shielded pairs, blue jacket</t>
        </is>
      </c>
      <c r="K6043" s="12" t="inlineStr">
        <is>
          <t>ITC|4 pr|18</t>
        </is>
      </c>
      <c r="L6043" s="12" t="inlineStr">
        <is>
          <t>4 pr</t>
        </is>
      </c>
      <c r="M6043" s="12" t="inlineStr">
        <is>
          <t>18</t>
        </is>
      </c>
      <c r="N6043" s="12" t="n">
        <v>1</v>
      </c>
      <c r="O6043" s="12" t="n">
        <v>1</v>
      </c>
      <c r="P6043" s="12" t="n"/>
      <c r="Q6043" s="12" t="n"/>
      <c r="R6043" s="12" t="n"/>
      <c r="S6043" s="12" t="inlineStr">
        <is>
          <t>Duct bank</t>
        </is>
      </c>
      <c r="T6043" s="15" t="n">
        <v>593</v>
      </c>
      <c r="U6043" s="15" t="n">
        <v>50</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K-I-0170</t>
        </is>
      </c>
      <c r="B6044" s="12" t="inlineStr">
        <is>
          <t>K</t>
        </is>
      </c>
      <c r="C6044" s="12" t="inlineStr">
        <is>
          <t>Fuel supply (adjacent market)</t>
        </is>
      </c>
      <c r="D6044" s="12" t="inlineStr">
        <is>
          <t>Instrumentation</t>
        </is>
      </c>
      <c r="E6044" s="12" t="inlineStr"/>
      <c r="F6044" s="12" t="inlineStr">
        <is>
          <t>LNG 17: LNG e-house (13.8 kV / 480 V)</t>
        </is>
      </c>
      <c r="G6044" s="12" t="inlineStr"/>
      <c r="H6044" s="12" t="inlineStr">
        <is>
          <t>M&amp;R 4: line heater 2 (water bath)</t>
        </is>
      </c>
      <c r="I6044" s="12" t="inlineStr">
        <is>
          <t>Instrumentation</t>
        </is>
      </c>
      <c r="J6044" s="12" t="inlineStr">
        <is>
          <t>Instrumentation ITC / PLTC, IS, #18 shielded pairs, blue jacket</t>
        </is>
      </c>
      <c r="K6044" s="12" t="inlineStr">
        <is>
          <t>ITC|12 pr|18</t>
        </is>
      </c>
      <c r="L6044" s="12" t="inlineStr">
        <is>
          <t>12 pr</t>
        </is>
      </c>
      <c r="M6044" s="12" t="inlineStr">
        <is>
          <t>18</t>
        </is>
      </c>
      <c r="N6044" s="12" t="n">
        <v>1</v>
      </c>
      <c r="O6044" s="12" t="n">
        <v>1</v>
      </c>
      <c r="P6044" s="12" t="n"/>
      <c r="Q6044" s="12" t="n"/>
      <c r="R6044" s="12" t="n"/>
      <c r="S6044" s="12" t="inlineStr">
        <is>
          <t>Duct bank</t>
        </is>
      </c>
      <c r="T6044" s="15" t="n">
        <v>593</v>
      </c>
      <c r="U6044" s="15" t="n">
        <v>50</v>
      </c>
      <c r="V6044" s="15">
        <f>ROUNDUP((T6044+U6044+2*'Read Me'!$B$13)*(1+'Read Me'!$B$12),-1)</f>
        <v/>
      </c>
      <c r="W6044" s="15">
        <f>V6044*N6044*O6044</f>
        <v/>
      </c>
      <c r="X6044" s="12">
        <f>IF(LEFT(I6044,2)="MV",2*N6044*IF(L6044="1/C",O6044,1),0)</f>
        <v/>
      </c>
      <c r="Y6044" s="12">
        <f>IF(OR(LEFT(K6044,4)="LVAX",LEFT(K6044,6)="MV15AX",LEFT(K6044,4)="CTAX",LEFT(K6044,2)="W|"),2*N6044*O6044,0)</f>
        <v/>
      </c>
      <c r="Z6044" s="12" t="inlineStr"/>
      <c r="AA6044" s="12">
        <f>N6044*O6044</f>
        <v/>
      </c>
    </row>
    <row r="6045">
      <c r="A6045" s="12" t="inlineStr">
        <is>
          <t>K-I-0171</t>
        </is>
      </c>
      <c r="B6045" s="12" t="inlineStr">
        <is>
          <t>K</t>
        </is>
      </c>
      <c r="C6045" s="12" t="inlineStr">
        <is>
          <t>Fuel supply (adjacent market)</t>
        </is>
      </c>
      <c r="D6045" s="12" t="inlineStr">
        <is>
          <t>Instrumentation</t>
        </is>
      </c>
      <c r="E6045" s="12" t="inlineStr"/>
      <c r="F6045" s="12" t="inlineStr">
        <is>
          <t>LNG 17: LNG e-house (13.8 kV / 480 V)</t>
        </is>
      </c>
      <c r="G6045" s="12" t="inlineStr"/>
      <c r="H6045" s="12" t="inlineStr">
        <is>
          <t>M&amp;R 4: line heater 3 (water bath)</t>
        </is>
      </c>
      <c r="I6045" s="12" t="inlineStr">
        <is>
          <t>Instrumentation</t>
        </is>
      </c>
      <c r="J6045" s="12" t="inlineStr">
        <is>
          <t>Instrumentation ITC / PLTC, IS, #18 shielded pairs, blue jacket</t>
        </is>
      </c>
      <c r="K6045" s="12" t="inlineStr">
        <is>
          <t>ITC|4 pr|18</t>
        </is>
      </c>
      <c r="L6045" s="12" t="inlineStr">
        <is>
          <t>4 pr</t>
        </is>
      </c>
      <c r="M6045" s="12" t="inlineStr">
        <is>
          <t>18</t>
        </is>
      </c>
      <c r="N6045" s="12" t="n">
        <v>1</v>
      </c>
      <c r="O6045" s="12" t="n">
        <v>1</v>
      </c>
      <c r="P6045" s="12" t="n"/>
      <c r="Q6045" s="12" t="n"/>
      <c r="R6045" s="12" t="n"/>
      <c r="S6045" s="12" t="inlineStr">
        <is>
          <t>Duct bank</t>
        </is>
      </c>
      <c r="T6045" s="15" t="n">
        <v>593</v>
      </c>
      <c r="U6045" s="15" t="n">
        <v>68</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K-I-0172</t>
        </is>
      </c>
      <c r="B6046" s="12" t="inlineStr">
        <is>
          <t>K</t>
        </is>
      </c>
      <c r="C6046" s="12" t="inlineStr">
        <is>
          <t>Fuel supply (adjacent market)</t>
        </is>
      </c>
      <c r="D6046" s="12" t="inlineStr">
        <is>
          <t>Instrumentation</t>
        </is>
      </c>
      <c r="E6046" s="12" t="inlineStr"/>
      <c r="F6046" s="12" t="inlineStr">
        <is>
          <t>LNG 17: LNG e-house (13.8 kV / 480 V)</t>
        </is>
      </c>
      <c r="G6046" s="12" t="inlineStr"/>
      <c r="H6046" s="12" t="inlineStr">
        <is>
          <t>M&amp;R 4: line heater 3 (water bath)</t>
        </is>
      </c>
      <c r="I6046" s="12" t="inlineStr">
        <is>
          <t>Instrumentation</t>
        </is>
      </c>
      <c r="J6046" s="12" t="inlineStr">
        <is>
          <t>Instrumentation ITC / PLTC, IS, #18 shielded pairs, blue jacket</t>
        </is>
      </c>
      <c r="K6046" s="12" t="inlineStr">
        <is>
          <t>ITC|12 pr|18</t>
        </is>
      </c>
      <c r="L6046" s="12" t="inlineStr">
        <is>
          <t>12 pr</t>
        </is>
      </c>
      <c r="M6046" s="12" t="inlineStr">
        <is>
          <t>18</t>
        </is>
      </c>
      <c r="N6046" s="12" t="n">
        <v>1</v>
      </c>
      <c r="O6046" s="12" t="n">
        <v>1</v>
      </c>
      <c r="P6046" s="12" t="n"/>
      <c r="Q6046" s="12" t="n"/>
      <c r="R6046" s="12" t="n"/>
      <c r="S6046" s="12" t="inlineStr">
        <is>
          <t>Duct bank</t>
        </is>
      </c>
      <c r="T6046" s="15" t="n">
        <v>593</v>
      </c>
      <c r="U6046" s="15" t="n">
        <v>68</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K-I-0173</t>
        </is>
      </c>
      <c r="B6047" s="12" t="inlineStr">
        <is>
          <t>K</t>
        </is>
      </c>
      <c r="C6047" s="12" t="inlineStr">
        <is>
          <t>Fuel supply (adjacent market)</t>
        </is>
      </c>
      <c r="D6047" s="12" t="inlineStr">
        <is>
          <t>Analog instrument to JB JB-M&amp;R 5: ultrasonic -AI01: 20 x 1 pr (field cables)</t>
        </is>
      </c>
      <c r="E6047" s="12" t="inlineStr"/>
      <c r="F6047" s="12" t="inlineStr">
        <is>
          <t>M&amp;R 5: ultrasonic meters, 2 runs (custody transfer)</t>
        </is>
      </c>
      <c r="G6047" s="12" t="inlineStr">
        <is>
          <t>JB-M&amp;R 5: ultrasonic -AI01</t>
        </is>
      </c>
      <c r="H6047" s="12" t="inlineStr">
        <is>
          <t>M&amp;R 5: ultrasonic meters, 2 runs (custody transfer)</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20</v>
      </c>
      <c r="O6047" s="12" t="n">
        <v>1</v>
      </c>
      <c r="P6047" s="12" t="n"/>
      <c r="Q6047" s="12" t="n"/>
      <c r="R6047" s="12" t="n"/>
      <c r="S6047" s="12" t="inlineStr">
        <is>
          <t>Tray / conduit</t>
        </is>
      </c>
      <c r="T6047" s="15" t="n">
        <v>60</v>
      </c>
      <c r="U6047" s="15" t="n">
        <v>10</v>
      </c>
      <c r="V6047" s="15">
        <f>ROUNDUP((T6047+U6047+2*'Read Me'!$B$13)*(1+'Read Me'!$B$12),-1)</f>
        <v/>
      </c>
      <c r="W6047" s="15">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K-I-0174</t>
        </is>
      </c>
      <c r="B6048" s="12" t="inlineStr">
        <is>
          <t>K</t>
        </is>
      </c>
      <c r="C6048" s="12" t="inlineStr">
        <is>
          <t>Fuel supply (adjacent market)</t>
        </is>
      </c>
      <c r="D6048" s="12" t="inlineStr">
        <is>
          <t>Home run JB-M&amp;R 5: ultrasonic -AI01 to the control / marshalling room</t>
        </is>
      </c>
      <c r="E6048" s="12" t="inlineStr"/>
      <c r="F6048" s="12" t="inlineStr">
        <is>
          <t>LNG 17: LNG e-house (13.8 kV / 480 V)</t>
        </is>
      </c>
      <c r="G6048" s="12" t="inlineStr">
        <is>
          <t>JB-M&amp;R 5: ultrasonic -AI01</t>
        </is>
      </c>
      <c r="H6048" s="12" t="inlineStr">
        <is>
          <t>M&amp;R 5: ultrasonic meters, 2 runs (custody transfer)</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5" t="n">
        <v>651</v>
      </c>
      <c r="U6048" s="15" t="n">
        <v>57</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K-I-0175</t>
        </is>
      </c>
      <c r="B6049" s="12" t="inlineStr">
        <is>
          <t>K</t>
        </is>
      </c>
      <c r="C6049" s="12" t="inlineStr">
        <is>
          <t>Fuel supply (adjacent market)</t>
        </is>
      </c>
      <c r="D6049" s="12" t="inlineStr">
        <is>
          <t>Discrete device to JB JB-M&amp;R 5: ultrasonic -DI01: 8 x 1 pr (field cables)</t>
        </is>
      </c>
      <c r="E6049" s="12" t="inlineStr"/>
      <c r="F6049" s="12" t="inlineStr">
        <is>
          <t>M&amp;R 5: ultrasonic meters, 2 runs (custody transfer)</t>
        </is>
      </c>
      <c r="G6049" s="12" t="inlineStr">
        <is>
          <t>JB-M&amp;R 5: ultrasonic -DI01</t>
        </is>
      </c>
      <c r="H6049" s="12" t="inlineStr">
        <is>
          <t>M&amp;R 5: ultrasonic meters, 2 runs (custody transfer)</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8</v>
      </c>
      <c r="O6049" s="12" t="n">
        <v>1</v>
      </c>
      <c r="P6049" s="12" t="n"/>
      <c r="Q6049" s="12" t="n"/>
      <c r="R6049" s="12" t="n"/>
      <c r="S6049" s="12" t="inlineStr">
        <is>
          <t>Tray / conduit</t>
        </is>
      </c>
      <c r="T6049" s="15" t="n">
        <v>60</v>
      </c>
      <c r="U6049" s="15" t="n">
        <v>10</v>
      </c>
      <c r="V6049" s="15">
        <f>ROUNDUP((T6049+U6049+2*'Read Me'!$B$13)*(1+'Read Me'!$B$12),-1)</f>
        <v/>
      </c>
      <c r="W6049" s="15">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K-I-0176</t>
        </is>
      </c>
      <c r="B6050" s="12" t="inlineStr">
        <is>
          <t>K</t>
        </is>
      </c>
      <c r="C6050" s="12" t="inlineStr">
        <is>
          <t>Fuel supply (adjacent market)</t>
        </is>
      </c>
      <c r="D6050" s="12" t="inlineStr">
        <is>
          <t>Home run JB-M&amp;R 5: ultrasonic -DI01 to the control / marshalling room</t>
        </is>
      </c>
      <c r="E6050" s="12" t="inlineStr"/>
      <c r="F6050" s="12" t="inlineStr">
        <is>
          <t>LNG 17: LNG e-house (13.8 kV / 480 V)</t>
        </is>
      </c>
      <c r="G6050" s="12" t="inlineStr">
        <is>
          <t>JB-M&amp;R 5: ultrasonic -DI01</t>
        </is>
      </c>
      <c r="H6050" s="12" t="inlineStr">
        <is>
          <t>M&amp;R 5: ultrasonic meters, 2 runs (custody transfer)</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5" t="n">
        <v>651</v>
      </c>
      <c r="U6050" s="15" t="n">
        <v>57</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K-I-0177</t>
        </is>
      </c>
      <c r="B6051" s="12" t="inlineStr">
        <is>
          <t>K</t>
        </is>
      </c>
      <c r="C6051" s="12" t="inlineStr">
        <is>
          <t>Fuel supply (adjacent market)</t>
        </is>
      </c>
      <c r="D6051" s="12" t="inlineStr">
        <is>
          <t>Analog instrument to JB JB-M&amp;R 6: regulation -AI01: 12 x 1 pr (field cables)</t>
        </is>
      </c>
      <c r="E6051" s="12" t="inlineStr"/>
      <c r="F6051" s="12" t="inlineStr">
        <is>
          <t>M&amp;R 6: regulation / flow control building</t>
        </is>
      </c>
      <c r="G6051" s="12" t="inlineStr">
        <is>
          <t>JB-M&amp;R 6: regulation -AI01</t>
        </is>
      </c>
      <c r="H6051" s="12" t="inlineStr">
        <is>
          <t>M&amp;R 6: regulation / flow control building</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5" t="n">
        <v>61</v>
      </c>
      <c r="U6051" s="15" t="n">
        <v>10</v>
      </c>
      <c r="V6051" s="15">
        <f>ROUNDUP((T6051+U6051+2*'Read Me'!$B$13)*(1+'Read Me'!$B$12),-1)</f>
        <v/>
      </c>
      <c r="W6051" s="15">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K-I-0178</t>
        </is>
      </c>
      <c r="B6052" s="12" t="inlineStr">
        <is>
          <t>K</t>
        </is>
      </c>
      <c r="C6052" s="12" t="inlineStr">
        <is>
          <t>Fuel supply (adjacent market)</t>
        </is>
      </c>
      <c r="D6052" s="12" t="inlineStr">
        <is>
          <t>Home run JB-M&amp;R 6: regulation -AI01 to the control / marshalling room</t>
        </is>
      </c>
      <c r="E6052" s="12" t="inlineStr"/>
      <c r="F6052" s="12" t="inlineStr">
        <is>
          <t>LNG 17: LNG e-house (13.8 kV / 480 V)</t>
        </is>
      </c>
      <c r="G6052" s="12" t="inlineStr">
        <is>
          <t>JB-M&amp;R 6: regulation -AI01</t>
        </is>
      </c>
      <c r="H6052" s="12" t="inlineStr">
        <is>
          <t>M&amp;R 6: regulation / flow control building</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Duct bank</t>
        </is>
      </c>
      <c r="T6052" s="15" t="n">
        <v>470</v>
      </c>
      <c r="U6052" s="15" t="n">
        <v>70</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K-I-0179</t>
        </is>
      </c>
      <c r="B6053" s="12" t="inlineStr">
        <is>
          <t>K</t>
        </is>
      </c>
      <c r="C6053" s="12" t="inlineStr">
        <is>
          <t>Fuel supply (adjacent market)</t>
        </is>
      </c>
      <c r="D6053" s="12" t="inlineStr">
        <is>
          <t>Discrete device to JB JB-M&amp;R 6: regulation -DI01: 12 x 1 pr (field cables)</t>
        </is>
      </c>
      <c r="E6053" s="12" t="inlineStr"/>
      <c r="F6053" s="12" t="inlineStr">
        <is>
          <t>M&amp;R 6: regulation / flow control building</t>
        </is>
      </c>
      <c r="G6053" s="12" t="inlineStr">
        <is>
          <t>JB-M&amp;R 6: regulation -DI01</t>
        </is>
      </c>
      <c r="H6053" s="12" t="inlineStr">
        <is>
          <t>M&amp;R 6: regulation / flow control building</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5" t="n">
        <v>61</v>
      </c>
      <c r="U6053" s="15" t="n">
        <v>10</v>
      </c>
      <c r="V6053" s="15">
        <f>ROUNDUP((T6053+U6053+2*'Read Me'!$B$13)*(1+'Read Me'!$B$12),-1)</f>
        <v/>
      </c>
      <c r="W6053" s="15">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K-I-0180</t>
        </is>
      </c>
      <c r="B6054" s="12" t="inlineStr">
        <is>
          <t>K</t>
        </is>
      </c>
      <c r="C6054" s="12" t="inlineStr">
        <is>
          <t>Fuel supply (adjacent market)</t>
        </is>
      </c>
      <c r="D6054" s="12" t="inlineStr">
        <is>
          <t>Home run JB-M&amp;R 6: regulation -DI01 to the control / marshalling room</t>
        </is>
      </c>
      <c r="E6054" s="12" t="inlineStr"/>
      <c r="F6054" s="12" t="inlineStr">
        <is>
          <t>LNG 17: LNG e-house (13.8 kV / 480 V)</t>
        </is>
      </c>
      <c r="G6054" s="12" t="inlineStr">
        <is>
          <t>JB-M&amp;R 6: regulation -DI01</t>
        </is>
      </c>
      <c r="H6054" s="12" t="inlineStr">
        <is>
          <t>M&amp;R 6: regulation / flow control building</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Duct bank</t>
        </is>
      </c>
      <c r="T6054" s="15" t="n">
        <v>470</v>
      </c>
      <c r="U6054" s="15" t="n">
        <v>70</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K-I-0181</t>
        </is>
      </c>
      <c r="B6055" s="12" t="inlineStr">
        <is>
          <t>K</t>
        </is>
      </c>
      <c r="C6055" s="12" t="inlineStr">
        <is>
          <t>Fuel supply (adjacent market)</t>
        </is>
      </c>
      <c r="D6055" s="12" t="inlineStr">
        <is>
          <t>Analog instrument to JB JB-M&amp;R 7: gas quality-AI01: 20 x 1 pr (field cables)</t>
        </is>
      </c>
      <c r="E6055" s="12" t="inlineStr"/>
      <c r="F6055" s="12" t="inlineStr">
        <is>
          <t>M&amp;R 7: gas quality + measurement building</t>
        </is>
      </c>
      <c r="G6055" s="12" t="inlineStr">
        <is>
          <t>JB-M&amp;R 7: gas quality-AI01</t>
        </is>
      </c>
      <c r="H6055" s="12" t="inlineStr">
        <is>
          <t>M&amp;R 7: gas quality + measurement building</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20</v>
      </c>
      <c r="O6055" s="12" t="n">
        <v>1</v>
      </c>
      <c r="P6055" s="12" t="n"/>
      <c r="Q6055" s="12" t="n"/>
      <c r="R6055" s="12" t="n"/>
      <c r="S6055" s="12" t="inlineStr">
        <is>
          <t>Tray / conduit</t>
        </is>
      </c>
      <c r="T6055" s="15" t="n">
        <v>41</v>
      </c>
      <c r="U6055" s="15" t="n">
        <v>10</v>
      </c>
      <c r="V6055" s="15">
        <f>ROUNDUP((T6055+U6055+2*'Read Me'!$B$13)*(1+'Read Me'!$B$12),-1)</f>
        <v/>
      </c>
      <c r="W6055" s="15">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K-I-0182</t>
        </is>
      </c>
      <c r="B6056" s="12" t="inlineStr">
        <is>
          <t>K</t>
        </is>
      </c>
      <c r="C6056" s="12" t="inlineStr">
        <is>
          <t>Fuel supply (adjacent market)</t>
        </is>
      </c>
      <c r="D6056" s="12" t="inlineStr">
        <is>
          <t>Home run JB-M&amp;R 7: gas quality-AI01 to the control / marshalling room</t>
        </is>
      </c>
      <c r="E6056" s="12" t="inlineStr"/>
      <c r="F6056" s="12" t="inlineStr">
        <is>
          <t>LNG 17: LNG e-house (13.8 kV / 480 V)</t>
        </is>
      </c>
      <c r="G6056" s="12" t="inlineStr">
        <is>
          <t>JB-M&amp;R 7: gas quality-AI01</t>
        </is>
      </c>
      <c r="H6056" s="12" t="inlineStr">
        <is>
          <t>M&amp;R 7: gas quality + measurement building</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5" t="n">
        <v>616</v>
      </c>
      <c r="U6056" s="15" t="n">
        <v>52</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K-I-0183</t>
        </is>
      </c>
      <c r="B6057" s="12" t="inlineStr">
        <is>
          <t>K</t>
        </is>
      </c>
      <c r="C6057" s="12" t="inlineStr">
        <is>
          <t>Fuel supply (adjacent market)</t>
        </is>
      </c>
      <c r="D6057" s="12" t="inlineStr">
        <is>
          <t>Discrete device to JB JB-M&amp;R 7: gas quality-DI01: 8 x 1 pr (field cables)</t>
        </is>
      </c>
      <c r="E6057" s="12" t="inlineStr"/>
      <c r="F6057" s="12" t="inlineStr">
        <is>
          <t>M&amp;R 7: gas quality + measurement building</t>
        </is>
      </c>
      <c r="G6057" s="12" t="inlineStr">
        <is>
          <t>JB-M&amp;R 7: gas quality-DI01</t>
        </is>
      </c>
      <c r="H6057" s="12" t="inlineStr">
        <is>
          <t>M&amp;R 7: gas quality + measurement building</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8</v>
      </c>
      <c r="O6057" s="12" t="n">
        <v>1</v>
      </c>
      <c r="P6057" s="12" t="n"/>
      <c r="Q6057" s="12" t="n"/>
      <c r="R6057" s="12" t="n"/>
      <c r="S6057" s="12" t="inlineStr">
        <is>
          <t>Tray / conduit</t>
        </is>
      </c>
      <c r="T6057" s="15" t="n">
        <v>41</v>
      </c>
      <c r="U6057" s="15" t="n">
        <v>10</v>
      </c>
      <c r="V6057" s="15">
        <f>ROUNDUP((T6057+U6057+2*'Read Me'!$B$13)*(1+'Read Me'!$B$12),-1)</f>
        <v/>
      </c>
      <c r="W6057" s="15">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K-I-0184</t>
        </is>
      </c>
      <c r="B6058" s="12" t="inlineStr">
        <is>
          <t>K</t>
        </is>
      </c>
      <c r="C6058" s="12" t="inlineStr">
        <is>
          <t>Fuel supply (adjacent market)</t>
        </is>
      </c>
      <c r="D6058" s="12" t="inlineStr">
        <is>
          <t>Home run JB-M&amp;R 7: gas quality-DI01 to the control / marshalling room</t>
        </is>
      </c>
      <c r="E6058" s="12" t="inlineStr"/>
      <c r="F6058" s="12" t="inlineStr">
        <is>
          <t>LNG 17: LNG e-house (13.8 kV / 480 V)</t>
        </is>
      </c>
      <c r="G6058" s="12" t="inlineStr">
        <is>
          <t>JB-M&amp;R 7: gas quality-DI01</t>
        </is>
      </c>
      <c r="H6058" s="12" t="inlineStr">
        <is>
          <t>M&amp;R 7: gas quality + measurement building</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5" t="n">
        <v>616</v>
      </c>
      <c r="U6058" s="15" t="n">
        <v>52</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K-I-0185</t>
        </is>
      </c>
      <c r="B6059" s="12" t="inlineStr">
        <is>
          <t>K</t>
        </is>
      </c>
      <c r="C6059" s="12" t="inlineStr">
        <is>
          <t>Fuel supply (adjacent market)</t>
        </is>
      </c>
      <c r="D6059" s="12" t="inlineStr">
        <is>
          <t>Analog instrument to JB JB-M&amp;R 8: condensate -AI01: 4 x 1 pr (field cables)</t>
        </is>
      </c>
      <c r="E6059" s="12" t="inlineStr"/>
      <c r="F6059" s="12" t="inlineStr">
        <is>
          <t>M&amp;R 8: condensate tank</t>
        </is>
      </c>
      <c r="G6059" s="12" t="inlineStr">
        <is>
          <t>JB-M&amp;R 8: condensate -AI01</t>
        </is>
      </c>
      <c r="H6059" s="12" t="inlineStr">
        <is>
          <t>M&amp;R 8: condensate tank</t>
        </is>
      </c>
      <c r="I6059" s="12" t="inlineStr">
        <is>
          <t>Instrumentation</t>
        </is>
      </c>
      <c r="J6059" s="12" t="inlineStr">
        <is>
          <t>Instrumentation ITC / PLTC, IS, #18 shielded pairs, blue jacket</t>
        </is>
      </c>
      <c r="K6059" s="12" t="inlineStr">
        <is>
          <t>ITC|1 pr|16</t>
        </is>
      </c>
      <c r="L6059" s="12" t="inlineStr">
        <is>
          <t>1 pr</t>
        </is>
      </c>
      <c r="M6059" s="12" t="inlineStr">
        <is>
          <t>16</t>
        </is>
      </c>
      <c r="N6059" s="12" t="n">
        <v>4</v>
      </c>
      <c r="O6059" s="12" t="n">
        <v>1</v>
      </c>
      <c r="P6059" s="12" t="n"/>
      <c r="Q6059" s="12" t="n"/>
      <c r="R6059" s="12" t="n"/>
      <c r="S6059" s="12" t="inlineStr">
        <is>
          <t>Tray / conduit</t>
        </is>
      </c>
      <c r="T6059" s="15" t="n">
        <v>41</v>
      </c>
      <c r="U6059" s="15" t="n">
        <v>10</v>
      </c>
      <c r="V6059" s="15">
        <f>ROUNDUP((T6059+U6059+2*'Read Me'!$B$13)*(1+'Read Me'!$B$12),-1)</f>
        <v/>
      </c>
      <c r="W6059" s="15">
        <f>V6059*N6059*O6059</f>
        <v/>
      </c>
      <c r="X6059" s="12">
        <f>IF(LEFT(I6059,2)="MV",2*N6059*IF(L6059="1/C",O6059,1),0)</f>
        <v/>
      </c>
      <c r="Y6059" s="12">
        <f>IF(OR(LEFT(K6059,4)="LVAX",LEFT(K6059,6)="MV15AX",LEFT(K6059,4)="CTAX",LEFT(K6059,2)="W|"),2*N6059*O6059,0)</f>
        <v/>
      </c>
      <c r="Z6059" s="12" t="inlineStr">
        <is>
          <t>device-to-JB field wiring, one cable per device</t>
        </is>
      </c>
      <c r="AA6059" s="12">
        <f>N6059*O6059</f>
        <v/>
      </c>
    </row>
    <row r="6060">
      <c r="A6060" s="12" t="inlineStr">
        <is>
          <t>K-I-0186</t>
        </is>
      </c>
      <c r="B6060" s="12" t="inlineStr">
        <is>
          <t>K</t>
        </is>
      </c>
      <c r="C6060" s="12" t="inlineStr">
        <is>
          <t>Fuel supply (adjacent market)</t>
        </is>
      </c>
      <c r="D6060" s="12" t="inlineStr">
        <is>
          <t>Home run JB-M&amp;R 8: condensate -AI01 to the control / marshalling room</t>
        </is>
      </c>
      <c r="E6060" s="12" t="inlineStr"/>
      <c r="F6060" s="12" t="inlineStr">
        <is>
          <t>LNG 17: LNG e-house (13.8 kV / 480 V)</t>
        </is>
      </c>
      <c r="G6060" s="12" t="inlineStr">
        <is>
          <t>JB-M&amp;R 8: condensate -AI01</t>
        </is>
      </c>
      <c r="H6060" s="12" t="inlineStr">
        <is>
          <t>M&amp;R 8: condensate tank</t>
        </is>
      </c>
      <c r="I6060" s="12" t="inlineStr">
        <is>
          <t>Instrumentation</t>
        </is>
      </c>
      <c r="J6060" s="12" t="inlineStr">
        <is>
          <t>Instrumentation ITC / PLTC, IS, #18 shielded pairs, blue jacket</t>
        </is>
      </c>
      <c r="K6060" s="12" t="inlineStr">
        <is>
          <t>ITC|24 pr|18</t>
        </is>
      </c>
      <c r="L6060" s="12" t="inlineStr">
        <is>
          <t>24 pr</t>
        </is>
      </c>
      <c r="M6060" s="12" t="inlineStr">
        <is>
          <t>18</t>
        </is>
      </c>
      <c r="N6060" s="12" t="n">
        <v>1</v>
      </c>
      <c r="O6060" s="12" t="n">
        <v>1</v>
      </c>
      <c r="P6060" s="12" t="n"/>
      <c r="Q6060" s="12" t="n"/>
      <c r="R6060" s="12" t="n"/>
      <c r="S6060" s="12" t="inlineStr">
        <is>
          <t>Duct bank</t>
        </is>
      </c>
      <c r="T6060" s="15" t="n">
        <v>530</v>
      </c>
      <c r="U6060" s="15" t="n">
        <v>87</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K-I-0187</t>
        </is>
      </c>
      <c r="B6061" s="12" t="inlineStr">
        <is>
          <t>K</t>
        </is>
      </c>
      <c r="C6061" s="12" t="inlineStr">
        <is>
          <t>Fuel supply (adjacent market)</t>
        </is>
      </c>
      <c r="D6061" s="12" t="inlineStr">
        <is>
          <t>Discrete device to JB JB-M&amp;R 8: condensate -DI01: 4 x 1 pr (field cables)</t>
        </is>
      </c>
      <c r="E6061" s="12" t="inlineStr"/>
      <c r="F6061" s="12" t="inlineStr">
        <is>
          <t>M&amp;R 8: condensate tank</t>
        </is>
      </c>
      <c r="G6061" s="12" t="inlineStr">
        <is>
          <t>JB-M&amp;R 8: condensate -DI01</t>
        </is>
      </c>
      <c r="H6061" s="12" t="inlineStr">
        <is>
          <t>M&amp;R 8: condensate tank</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4</v>
      </c>
      <c r="O6061" s="12" t="n">
        <v>1</v>
      </c>
      <c r="P6061" s="12" t="n"/>
      <c r="Q6061" s="12" t="n"/>
      <c r="R6061" s="12" t="n"/>
      <c r="S6061" s="12" t="inlineStr">
        <is>
          <t>Tray / conduit</t>
        </is>
      </c>
      <c r="T6061" s="15" t="n">
        <v>41</v>
      </c>
      <c r="U6061" s="15" t="n">
        <v>10</v>
      </c>
      <c r="V6061" s="15">
        <f>ROUNDUP((T6061+U6061+2*'Read Me'!$B$13)*(1+'Read Me'!$B$12),-1)</f>
        <v/>
      </c>
      <c r="W6061" s="15">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K-I-0188</t>
        </is>
      </c>
      <c r="B6062" s="12" t="inlineStr">
        <is>
          <t>K</t>
        </is>
      </c>
      <c r="C6062" s="12" t="inlineStr">
        <is>
          <t>Fuel supply (adjacent market)</t>
        </is>
      </c>
      <c r="D6062" s="12" t="inlineStr">
        <is>
          <t>Home run JB-M&amp;R 8: condensate -DI01 to the control / marshalling room</t>
        </is>
      </c>
      <c r="E6062" s="12" t="inlineStr"/>
      <c r="F6062" s="12" t="inlineStr">
        <is>
          <t>LNG 17: LNG e-house (13.8 kV / 480 V)</t>
        </is>
      </c>
      <c r="G6062" s="12" t="inlineStr">
        <is>
          <t>JB-M&amp;R 8: condensate -DI01</t>
        </is>
      </c>
      <c r="H6062" s="12" t="inlineStr">
        <is>
          <t>M&amp;R 8: condensate tank</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5" t="n">
        <v>530</v>
      </c>
      <c r="U6062" s="15" t="n">
        <v>87</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K-I-0189</t>
        </is>
      </c>
      <c r="B6063" s="12" t="inlineStr">
        <is>
          <t>K</t>
        </is>
      </c>
      <c r="C6063" s="12" t="inlineStr">
        <is>
          <t>Fuel supply (adjacent market)</t>
        </is>
      </c>
      <c r="D6063" s="12" t="inlineStr">
        <is>
          <t>Instrumentation</t>
        </is>
      </c>
      <c r="E6063" s="12" t="inlineStr"/>
      <c r="F6063" s="12" t="inlineStr">
        <is>
          <t>LNG 17: LNG e-house (13.8 kV / 480 V)</t>
        </is>
      </c>
      <c r="G6063" s="12" t="inlineStr"/>
      <c r="H6063" s="12" t="inlineStr">
        <is>
          <t>M&amp;R CP test station (as drawn)</t>
        </is>
      </c>
      <c r="I6063" s="12" t="inlineStr">
        <is>
          <t>Instrumentation</t>
        </is>
      </c>
      <c r="J6063" s="12" t="inlineStr">
        <is>
          <t>Instrumentation ITC / PLTC, IS, #18 shielded pairs, blue jacket</t>
        </is>
      </c>
      <c r="K6063" s="12" t="inlineStr">
        <is>
          <t>ITC|4 pr|18</t>
        </is>
      </c>
      <c r="L6063" s="12" t="inlineStr">
        <is>
          <t>4 pr</t>
        </is>
      </c>
      <c r="M6063" s="12" t="inlineStr">
        <is>
          <t>18</t>
        </is>
      </c>
      <c r="N6063" s="12" t="n">
        <v>1</v>
      </c>
      <c r="O6063" s="12" t="n">
        <v>1</v>
      </c>
      <c r="P6063" s="12" t="n"/>
      <c r="Q6063" s="12" t="n"/>
      <c r="R6063" s="12" t="n"/>
      <c r="S6063" s="12" t="inlineStr">
        <is>
          <t>Duct bank</t>
        </is>
      </c>
      <c r="T6063" s="15" t="n">
        <v>441</v>
      </c>
      <c r="U6063" s="15" t="n">
        <v>42</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K-I-0190</t>
        </is>
      </c>
      <c r="B6064" s="12" t="inlineStr">
        <is>
          <t>K</t>
        </is>
      </c>
      <c r="C6064" s="12" t="inlineStr">
        <is>
          <t>Fuel supply (adjacent market)</t>
        </is>
      </c>
      <c r="D6064" s="12" t="inlineStr">
        <is>
          <t>Instrumentation</t>
        </is>
      </c>
      <c r="E6064" s="12" t="inlineStr"/>
      <c r="F6064" s="12" t="inlineStr">
        <is>
          <t>H2 20: 13.8 kV e-house</t>
        </is>
      </c>
      <c r="G6064" s="12" t="inlineStr"/>
      <c r="H6064" s="12" t="inlineStr">
        <is>
          <t>PEM electrolyzer 1 (HyLYZER-1000)</t>
        </is>
      </c>
      <c r="I6064" s="12" t="inlineStr">
        <is>
          <t>Instrumentation</t>
        </is>
      </c>
      <c r="J6064" s="12" t="inlineStr">
        <is>
          <t>Instrumentation ITC / PLTC, IS, #18 shielded pairs, blue jacket</t>
        </is>
      </c>
      <c r="K6064" s="12" t="inlineStr">
        <is>
          <t>ITC|4 pr|18</t>
        </is>
      </c>
      <c r="L6064" s="12" t="inlineStr">
        <is>
          <t>4 pr</t>
        </is>
      </c>
      <c r="M6064" s="12" t="inlineStr">
        <is>
          <t>18</t>
        </is>
      </c>
      <c r="N6064" s="12" t="n">
        <v>1</v>
      </c>
      <c r="O6064" s="12" t="n">
        <v>1</v>
      </c>
      <c r="P6064" s="12" t="n"/>
      <c r="Q6064" s="12" t="n"/>
      <c r="R6064" s="12" t="n"/>
      <c r="S6064" s="12" t="inlineStr">
        <is>
          <t>Duct bank</t>
        </is>
      </c>
      <c r="T6064" s="15" t="n">
        <v>358</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K-I-0191</t>
        </is>
      </c>
      <c r="B6065" s="12" t="inlineStr">
        <is>
          <t>K</t>
        </is>
      </c>
      <c r="C6065" s="12" t="inlineStr">
        <is>
          <t>Fuel supply (adjacent market)</t>
        </is>
      </c>
      <c r="D6065" s="12" t="inlineStr">
        <is>
          <t>Instrumentation</t>
        </is>
      </c>
      <c r="E6065" s="12" t="inlineStr"/>
      <c r="F6065" s="12" t="inlineStr">
        <is>
          <t>H2 20: 13.8 kV e-house</t>
        </is>
      </c>
      <c r="G6065" s="12" t="inlineStr"/>
      <c r="H6065" s="12" t="inlineStr">
        <is>
          <t>PEM electrolyzer 2 (HyLYZER-1000)</t>
        </is>
      </c>
      <c r="I6065" s="12" t="inlineStr">
        <is>
          <t>Instrumentation</t>
        </is>
      </c>
      <c r="J6065" s="12" t="inlineStr">
        <is>
          <t>Instrumentation ITC / PLTC, IS, #18 shielded pairs, blue jacket</t>
        </is>
      </c>
      <c r="K6065" s="12" t="inlineStr">
        <is>
          <t>ITC|4 pr|18</t>
        </is>
      </c>
      <c r="L6065" s="12" t="inlineStr">
        <is>
          <t>4 pr</t>
        </is>
      </c>
      <c r="M6065" s="12" t="inlineStr">
        <is>
          <t>18</t>
        </is>
      </c>
      <c r="N6065" s="12" t="n">
        <v>1</v>
      </c>
      <c r="O6065" s="12" t="n">
        <v>1</v>
      </c>
      <c r="P6065" s="12" t="n"/>
      <c r="Q6065" s="12" t="n"/>
      <c r="R6065" s="12" t="n"/>
      <c r="S6065" s="12" t="inlineStr">
        <is>
          <t>Duct bank</t>
        </is>
      </c>
      <c r="T6065" s="15" t="n">
        <v>358</v>
      </c>
      <c r="U6065" s="15" t="n">
        <v>48</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K-I-0192</t>
        </is>
      </c>
      <c r="B6066" s="12" t="inlineStr">
        <is>
          <t>K</t>
        </is>
      </c>
      <c r="C6066" s="12" t="inlineStr">
        <is>
          <t>Fuel supply (adjacent market)</t>
        </is>
      </c>
      <c r="D6066" s="12" t="inlineStr">
        <is>
          <t>Instrumentation</t>
        </is>
      </c>
      <c r="E6066" s="12" t="inlineStr"/>
      <c r="F6066" s="12" t="inlineStr">
        <is>
          <t>H2 20: 13.8 kV e-house</t>
        </is>
      </c>
      <c r="G6066" s="12" t="inlineStr"/>
      <c r="H6066" s="12" t="inlineStr">
        <is>
          <t>PEM electrolyzer 3 (HyLYZER-1000)</t>
        </is>
      </c>
      <c r="I6066" s="12" t="inlineStr">
        <is>
          <t>Instrumentation</t>
        </is>
      </c>
      <c r="J6066" s="12" t="inlineStr">
        <is>
          <t>Instrumentation ITC / PLTC, IS, #18 shielded pairs, blue jacket</t>
        </is>
      </c>
      <c r="K6066" s="12" t="inlineStr">
        <is>
          <t>ITC|4 pr|18</t>
        </is>
      </c>
      <c r="L6066" s="12" t="inlineStr">
        <is>
          <t>4 pr</t>
        </is>
      </c>
      <c r="M6066" s="12" t="inlineStr">
        <is>
          <t>18</t>
        </is>
      </c>
      <c r="N6066" s="12" t="n">
        <v>1</v>
      </c>
      <c r="O6066" s="12" t="n">
        <v>1</v>
      </c>
      <c r="P6066" s="12" t="n"/>
      <c r="Q6066" s="12" t="n"/>
      <c r="R6066" s="12" t="n"/>
      <c r="S6066" s="12" t="inlineStr">
        <is>
          <t>Duct bank</t>
        </is>
      </c>
      <c r="T6066" s="15" t="n">
        <v>348</v>
      </c>
      <c r="U6066" s="15" t="n">
        <v>49</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K-I-0193</t>
        </is>
      </c>
      <c r="B6067" s="12" t="inlineStr">
        <is>
          <t>K</t>
        </is>
      </c>
      <c r="C6067" s="12" t="inlineStr">
        <is>
          <t>Fuel supply (adjacent market)</t>
        </is>
      </c>
      <c r="D6067" s="12" t="inlineStr">
        <is>
          <t>Instrumentation</t>
        </is>
      </c>
      <c r="E6067" s="12" t="inlineStr"/>
      <c r="F6067" s="12" t="inlineStr">
        <is>
          <t>H2 20: 13.8 kV e-house</t>
        </is>
      </c>
      <c r="G6067" s="12" t="inlineStr"/>
      <c r="H6067" s="12" t="inlineStr">
        <is>
          <t>PEM electrolyzer 4 (HyLYZER-1000)</t>
        </is>
      </c>
      <c r="I6067" s="12" t="inlineStr">
        <is>
          <t>Instrumentation</t>
        </is>
      </c>
      <c r="J6067" s="12" t="inlineStr">
        <is>
          <t>Instrumentation ITC / PLTC, IS, #18 shielded pairs, blue jacket</t>
        </is>
      </c>
      <c r="K6067" s="12" t="inlineStr">
        <is>
          <t>ITC|4 pr|18</t>
        </is>
      </c>
      <c r="L6067" s="12" t="inlineStr">
        <is>
          <t>4 pr</t>
        </is>
      </c>
      <c r="M6067" s="12" t="inlineStr">
        <is>
          <t>18</t>
        </is>
      </c>
      <c r="N6067" s="12" t="n">
        <v>1</v>
      </c>
      <c r="O6067" s="12" t="n">
        <v>1</v>
      </c>
      <c r="P6067" s="12" t="n"/>
      <c r="Q6067" s="12" t="n"/>
      <c r="R6067" s="12" t="n"/>
      <c r="S6067" s="12" t="inlineStr">
        <is>
          <t>Duct bank</t>
        </is>
      </c>
      <c r="T6067" s="15" t="n">
        <v>328</v>
      </c>
      <c r="U6067" s="15" t="n">
        <v>49</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K-I-0194</t>
        </is>
      </c>
      <c r="B6068" s="12" t="inlineStr">
        <is>
          <t>K</t>
        </is>
      </c>
      <c r="C6068" s="12" t="inlineStr">
        <is>
          <t>Fuel supply (adjacent market)</t>
        </is>
      </c>
      <c r="D6068" s="12" t="inlineStr">
        <is>
          <t>Instrumentation</t>
        </is>
      </c>
      <c r="E6068" s="12" t="inlineStr"/>
      <c r="F6068" s="12" t="inlineStr">
        <is>
          <t>H2 20: 13.8 kV e-house</t>
        </is>
      </c>
      <c r="G6068" s="12" t="inlineStr"/>
      <c r="H6068" s="12" t="inlineStr">
        <is>
          <t>PEM electrolyzer 5 (HyLYZER-1000)</t>
        </is>
      </c>
      <c r="I6068" s="12" t="inlineStr">
        <is>
          <t>Instrumentation</t>
        </is>
      </c>
      <c r="J6068" s="12" t="inlineStr">
        <is>
          <t>Instrumentation ITC / PLTC, IS, #18 shielded pairs, blue jacket</t>
        </is>
      </c>
      <c r="K6068" s="12" t="inlineStr">
        <is>
          <t>ITC|4 pr|18</t>
        </is>
      </c>
      <c r="L6068" s="12" t="inlineStr">
        <is>
          <t>4 pr</t>
        </is>
      </c>
      <c r="M6068" s="12" t="inlineStr">
        <is>
          <t>18</t>
        </is>
      </c>
      <c r="N6068" s="12" t="n">
        <v>1</v>
      </c>
      <c r="O6068" s="12" t="n">
        <v>1</v>
      </c>
      <c r="P6068" s="12" t="n"/>
      <c r="Q6068" s="12" t="n"/>
      <c r="R6068" s="12" t="n"/>
      <c r="S6068" s="12" t="inlineStr">
        <is>
          <t>Duct bank</t>
        </is>
      </c>
      <c r="T6068" s="15" t="n">
        <v>328</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K-P-0001</t>
        </is>
      </c>
      <c r="B6069" s="12" t="inlineStr">
        <is>
          <t>K</t>
        </is>
      </c>
      <c r="C6069" s="12" t="inlineStr">
        <is>
          <t>Fuel supply (adjacent market)</t>
        </is>
      </c>
      <c r="D6069" s="12" t="inlineStr">
        <is>
          <t>Motor 1 of 1, 15 kW</t>
        </is>
      </c>
      <c r="E6069" s="12" t="inlineStr"/>
      <c r="F6069" s="12" t="inlineStr">
        <is>
          <t>H2 20: 13.8 kV e-house</t>
        </is>
      </c>
      <c r="G6069" s="12" t="inlineStr">
        <is>
          <t>T-H2</t>
        </is>
      </c>
      <c r="H6069" s="12" t="inlineStr">
        <is>
          <t>H2 19: T-H2 230/13.8 kV (about 40 MVA)</t>
        </is>
      </c>
      <c r="I6069" s="12" t="inlineStr">
        <is>
          <t>LV 600 V</t>
        </is>
      </c>
      <c r="J6069" s="12" t="inlineStr">
        <is>
          <t>ARMOR-X MC-HL 600 V 3/C Cu XHHW-2 + ground, CWA, black PVC (Class I Div 2)</t>
        </is>
      </c>
      <c r="K6069" s="12" t="inlineStr">
        <is>
          <t>LVAX|3/C+G|10</t>
        </is>
      </c>
      <c r="L6069" s="12" t="inlineStr">
        <is>
          <t>3/C+G</t>
        </is>
      </c>
      <c r="M6069" s="12" t="inlineStr">
        <is>
          <t>10</t>
        </is>
      </c>
      <c r="N6069" s="12" t="n">
        <v>1</v>
      </c>
      <c r="O6069" s="12" t="n">
        <v>1</v>
      </c>
      <c r="P6069" s="12" t="n">
        <v>480</v>
      </c>
      <c r="Q6069" s="12" t="n">
        <v>15</v>
      </c>
      <c r="R6069" s="12" t="n">
        <v>21.2</v>
      </c>
      <c r="S6069" s="12" t="inlineStr">
        <is>
          <t>Duct bank</t>
        </is>
      </c>
      <c r="T6069" s="15" t="n">
        <v>35</v>
      </c>
      <c r="U6069" s="15" t="n">
        <v>32</v>
      </c>
      <c r="V6069" s="15">
        <f>ROUNDUP((T6069+U6069+2*'Read Me'!$B$13)*(1+'Read Me'!$B$12),-1)</f>
        <v/>
      </c>
      <c r="W6069" s="15">
        <f>V6069*N6069*O6069</f>
        <v/>
      </c>
      <c r="X6069" s="12">
        <f>IF(LEFT(I6069,2)="MV",2*N6069*IF(L6069="1/C",O6069,1),0)</f>
        <v/>
      </c>
      <c r="Y6069" s="12">
        <f>IF(OR(LEFT(K6069,4)="LVAX",LEFT(K6069,6)="MV15AX",LEFT(K6069,4)="CTAX",LEFT(K6069,2)="W|"),2*N6069*O6069,0)</f>
        <v/>
      </c>
      <c r="Z6069" s="12" t="inlineStr">
        <is>
          <t>VD 0.7 %</t>
        </is>
      </c>
      <c r="AA6069" s="12">
        <f>N6069*O6069</f>
        <v/>
      </c>
    </row>
    <row r="6070">
      <c r="A6070" s="12" t="inlineStr">
        <is>
          <t>K-P-0002</t>
        </is>
      </c>
      <c r="B6070" s="12" t="inlineStr">
        <is>
          <t>K</t>
        </is>
      </c>
      <c r="C6070" s="12" t="inlineStr">
        <is>
          <t>Fuel supply (adjacent market)</t>
        </is>
      </c>
      <c r="D6070" s="12" t="inlineStr">
        <is>
          <t>Motor 1 of 1, 15 kW</t>
        </is>
      </c>
      <c r="E6070" s="12" t="inlineStr"/>
      <c r="F6070" s="12" t="inlineStr">
        <is>
          <t>H2 20: 13.8 kV e-house</t>
        </is>
      </c>
      <c r="G6070" s="12" t="inlineStr"/>
      <c r="H6070" s="12" t="inlineStr">
        <is>
          <t>H2 20: 13.8 kV e-house</t>
        </is>
      </c>
      <c r="I6070" s="12" t="inlineStr">
        <is>
          <t>LV 600 V</t>
        </is>
      </c>
      <c r="J6070" s="12" t="inlineStr">
        <is>
          <t>ARMOR-X MC-HL 600 V 3/C Cu XHHW-2 + ground, CWA, black PVC (Class I Div 2)</t>
        </is>
      </c>
      <c r="K6070" s="12" t="inlineStr">
        <is>
          <t>LVAX|3/C+G|10</t>
        </is>
      </c>
      <c r="L6070" s="12" t="inlineStr">
        <is>
          <t>3/C+G</t>
        </is>
      </c>
      <c r="M6070" s="12" t="inlineStr">
        <is>
          <t>10</t>
        </is>
      </c>
      <c r="N6070" s="12" t="n">
        <v>1</v>
      </c>
      <c r="O6070" s="12" t="n">
        <v>1</v>
      </c>
      <c r="P6070" s="12" t="n">
        <v>480</v>
      </c>
      <c r="Q6070" s="12" t="n">
        <v>15</v>
      </c>
      <c r="R6070" s="12" t="n">
        <v>21.2</v>
      </c>
      <c r="S6070" s="12" t="inlineStr">
        <is>
          <t>Tray</t>
        </is>
      </c>
      <c r="T6070" s="15" t="n">
        <v>0</v>
      </c>
      <c r="U6070" s="15" t="n">
        <v>32</v>
      </c>
      <c r="V6070" s="15">
        <f>ROUNDUP((T6070+U6070+2*'Read Me'!$B$13)*(1+'Read Me'!$B$12),-1)</f>
        <v/>
      </c>
      <c r="W6070" s="15">
        <f>V6070*N6070*O6070</f>
        <v/>
      </c>
      <c r="X6070" s="12">
        <f>IF(LEFT(I6070,2)="MV",2*N6070*IF(L6070="1/C",O6070,1),0)</f>
        <v/>
      </c>
      <c r="Y6070" s="12">
        <f>IF(OR(LEFT(K6070,4)="LVAX",LEFT(K6070,6)="MV15AX",LEFT(K6070,4)="CTAX",LEFT(K6070,2)="W|"),2*N6070*O6070,0)</f>
        <v/>
      </c>
      <c r="Z6070" s="12" t="inlineStr">
        <is>
          <t>VD 0.3 %</t>
        </is>
      </c>
      <c r="AA6070" s="12">
        <f>N6070*O6070</f>
        <v/>
      </c>
    </row>
    <row r="6071">
      <c r="A6071" s="12" t="inlineStr">
        <is>
          <t>K-P-0003</t>
        </is>
      </c>
      <c r="B6071" s="12" t="inlineStr">
        <is>
          <t>K</t>
        </is>
      </c>
      <c r="C6071" s="12" t="inlineStr">
        <is>
          <t>Fuel supply (adjacent market)</t>
        </is>
      </c>
      <c r="D6071" s="12" t="inlineStr">
        <is>
          <t>Motor 1 of 1, 15 kW</t>
        </is>
      </c>
      <c r="E6071" s="12" t="inlineStr"/>
      <c r="F6071" s="12" t="inlineStr">
        <is>
          <t>H2 20: 13.8 kV e-house</t>
        </is>
      </c>
      <c r="G6071" s="12" t="inlineStr"/>
      <c r="H6071" s="12" t="inlineStr">
        <is>
          <t>H2 21: rectifier transformer 1 (7 MVA)</t>
        </is>
      </c>
      <c r="I6071" s="12" t="inlineStr">
        <is>
          <t>LV 600 V</t>
        </is>
      </c>
      <c r="J6071" s="12" t="inlineStr">
        <is>
          <t>ARMOR-X MC-HL 600 V 3/C Cu XHHW-2 + ground, CWA, black PVC (Class I Div 2)</t>
        </is>
      </c>
      <c r="K6071" s="12" t="inlineStr">
        <is>
          <t>LVAX|3/C+G|8</t>
        </is>
      </c>
      <c r="L6071" s="12" t="inlineStr">
        <is>
          <t>3/C+G</t>
        </is>
      </c>
      <c r="M6071" s="12" t="inlineStr">
        <is>
          <t>8</t>
        </is>
      </c>
      <c r="N6071" s="12" t="n">
        <v>1</v>
      </c>
      <c r="O6071" s="12" t="n">
        <v>1</v>
      </c>
      <c r="P6071" s="12" t="n">
        <v>480</v>
      </c>
      <c r="Q6071" s="12" t="n">
        <v>15</v>
      </c>
      <c r="R6071" s="12" t="n">
        <v>21.2</v>
      </c>
      <c r="S6071" s="12" t="inlineStr">
        <is>
          <t>Duct bank</t>
        </is>
      </c>
      <c r="T6071" s="15" t="n">
        <v>356</v>
      </c>
      <c r="U6071" s="15" t="n">
        <v>48</v>
      </c>
      <c r="V6071" s="15">
        <f>ROUNDUP((T6071+U6071+2*'Read Me'!$B$13)*(1+'Read Me'!$B$12),-1)</f>
        <v/>
      </c>
      <c r="W6071" s="15">
        <f>V6071*N6071*O6071</f>
        <v/>
      </c>
      <c r="X6071" s="12">
        <f>IF(LEFT(I6071,2)="MV",2*N6071*IF(L6071="1/C",O6071,1),0)</f>
        <v/>
      </c>
      <c r="Y6071" s="12">
        <f>IF(OR(LEFT(K6071,4)="LVAX",LEFT(K6071,6)="MV15AX",LEFT(K6071,4)="CTAX",LEFT(K6071,2)="W|"),2*N6071*O6071,0)</f>
        <v/>
      </c>
      <c r="Z6071" s="12" t="inlineStr">
        <is>
          <t>VD 2.6 %</t>
        </is>
      </c>
      <c r="AA6071" s="12">
        <f>N6071*O6071</f>
        <v/>
      </c>
    </row>
    <row r="6072">
      <c r="A6072" s="12" t="inlineStr">
        <is>
          <t>K-P-0004</t>
        </is>
      </c>
      <c r="B6072" s="12" t="inlineStr">
        <is>
          <t>K</t>
        </is>
      </c>
      <c r="C6072" s="12" t="inlineStr">
        <is>
          <t>Fuel supply (adjacent market)</t>
        </is>
      </c>
      <c r="D6072" s="12" t="inlineStr">
        <is>
          <t>Motor 1 of 1, 15 kW</t>
        </is>
      </c>
      <c r="E6072" s="12" t="inlineStr"/>
      <c r="F6072" s="12" t="inlineStr">
        <is>
          <t>H2 20: 13.8 kV e-house</t>
        </is>
      </c>
      <c r="G6072" s="12" t="inlineStr"/>
      <c r="H6072" s="12" t="inlineStr">
        <is>
          <t>H2 21: rectifier transformer 2 (7 MVA)</t>
        </is>
      </c>
      <c r="I6072" s="12" t="inlineStr">
        <is>
          <t>LV 600 V</t>
        </is>
      </c>
      <c r="J6072" s="12" t="inlineStr">
        <is>
          <t>ARMOR-X MC-HL 600 V 3/C Cu XHHW-2 + ground, CWA, black PVC (Class I Div 2)</t>
        </is>
      </c>
      <c r="K6072" s="12" t="inlineStr">
        <is>
          <t>LVAX|3/C+G|8</t>
        </is>
      </c>
      <c r="L6072" s="12" t="inlineStr">
        <is>
          <t>3/C+G</t>
        </is>
      </c>
      <c r="M6072" s="12" t="inlineStr">
        <is>
          <t>8</t>
        </is>
      </c>
      <c r="N6072" s="12" t="n">
        <v>1</v>
      </c>
      <c r="O6072" s="12" t="n">
        <v>1</v>
      </c>
      <c r="P6072" s="12" t="n">
        <v>480</v>
      </c>
      <c r="Q6072" s="12" t="n">
        <v>15</v>
      </c>
      <c r="R6072" s="12" t="n">
        <v>21.2</v>
      </c>
      <c r="S6072" s="12" t="inlineStr">
        <is>
          <t>Duct bank</t>
        </is>
      </c>
      <c r="T6072" s="15" t="n">
        <v>356</v>
      </c>
      <c r="U6072" s="15" t="n">
        <v>32</v>
      </c>
      <c r="V6072" s="15">
        <f>ROUNDUP((T6072+U6072+2*'Read Me'!$B$13)*(1+'Read Me'!$B$12),-1)</f>
        <v/>
      </c>
      <c r="W6072" s="15">
        <f>V6072*N6072*O6072</f>
        <v/>
      </c>
      <c r="X6072" s="12">
        <f>IF(LEFT(I6072,2)="MV",2*N6072*IF(L6072="1/C",O6072,1),0)</f>
        <v/>
      </c>
      <c r="Y6072" s="12">
        <f>IF(OR(LEFT(K6072,4)="LVAX",LEFT(K6072,6)="MV15AX",LEFT(K6072,4)="CTAX",LEFT(K6072,2)="W|"),2*N6072*O6072,0)</f>
        <v/>
      </c>
      <c r="Z6072" s="12" t="inlineStr">
        <is>
          <t>VD 2.5 %</t>
        </is>
      </c>
      <c r="AA6072" s="12">
        <f>N6072*O6072</f>
        <v/>
      </c>
    </row>
    <row r="6073">
      <c r="A6073" s="12" t="inlineStr">
        <is>
          <t>K-P-0005</t>
        </is>
      </c>
      <c r="B6073" s="12" t="inlineStr">
        <is>
          <t>K</t>
        </is>
      </c>
      <c r="C6073" s="12" t="inlineStr">
        <is>
          <t>Fuel supply (adjacent market)</t>
        </is>
      </c>
      <c r="D6073" s="12" t="inlineStr">
        <is>
          <t>Motor 1 of 1, 15 kW</t>
        </is>
      </c>
      <c r="E6073" s="12" t="inlineStr"/>
      <c r="F6073" s="12" t="inlineStr">
        <is>
          <t>H2 20: 13.8 kV e-house</t>
        </is>
      </c>
      <c r="G6073" s="12" t="inlineStr"/>
      <c r="H6073" s="12" t="inlineStr">
        <is>
          <t>H2 21: rectifier transformer 3 (7 MVA)</t>
        </is>
      </c>
      <c r="I6073" s="12" t="inlineStr">
        <is>
          <t>LV 600 V</t>
        </is>
      </c>
      <c r="J6073" s="12" t="inlineStr">
        <is>
          <t>ARMOR-X MC-HL 600 V 3/C Cu XHHW-2 + ground, CWA, black PVC (Class I Div 2)</t>
        </is>
      </c>
      <c r="K6073" s="12" t="inlineStr">
        <is>
          <t>LVAX|3/C+G|8</t>
        </is>
      </c>
      <c r="L6073" s="12" t="inlineStr">
        <is>
          <t>3/C+G</t>
        </is>
      </c>
      <c r="M6073" s="12" t="inlineStr">
        <is>
          <t>8</t>
        </is>
      </c>
      <c r="N6073" s="12" t="n">
        <v>1</v>
      </c>
      <c r="O6073" s="12" t="n">
        <v>1</v>
      </c>
      <c r="P6073" s="12" t="n">
        <v>480</v>
      </c>
      <c r="Q6073" s="12" t="n">
        <v>15</v>
      </c>
      <c r="R6073" s="12" t="n">
        <v>21.2</v>
      </c>
      <c r="S6073" s="12" t="inlineStr">
        <is>
          <t>Duct bank</t>
        </is>
      </c>
      <c r="T6073" s="15" t="n">
        <v>334</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is>
          <t>VD 2.4 %</t>
        </is>
      </c>
      <c r="AA6073" s="12">
        <f>N6073*O6073</f>
        <v/>
      </c>
    </row>
    <row r="6074">
      <c r="A6074" s="12" t="inlineStr">
        <is>
          <t>K-P-0006</t>
        </is>
      </c>
      <c r="B6074" s="12" t="inlineStr">
        <is>
          <t>K</t>
        </is>
      </c>
      <c r="C6074" s="12" t="inlineStr">
        <is>
          <t>Fuel supply (adjacent market)</t>
        </is>
      </c>
      <c r="D6074" s="12" t="inlineStr">
        <is>
          <t>Motor 1 of 1, 15 kW</t>
        </is>
      </c>
      <c r="E6074" s="12" t="inlineStr"/>
      <c r="F6074" s="12" t="inlineStr">
        <is>
          <t>H2 20: 13.8 kV e-house</t>
        </is>
      </c>
      <c r="G6074" s="12" t="inlineStr"/>
      <c r="H6074" s="12" t="inlineStr">
        <is>
          <t>H2 21: rectifier transformer 4 (7 MVA)</t>
        </is>
      </c>
      <c r="I6074" s="12" t="inlineStr">
        <is>
          <t>LV 600 V</t>
        </is>
      </c>
      <c r="J6074" s="12" t="inlineStr">
        <is>
          <t>ARMOR-X MC-HL 600 V 3/C Cu XHHW-2 + ground, CWA, black PVC (Class I Div 2)</t>
        </is>
      </c>
      <c r="K6074" s="12" t="inlineStr">
        <is>
          <t>LVAX|3/C+G|8</t>
        </is>
      </c>
      <c r="L6074" s="12" t="inlineStr">
        <is>
          <t>3/C+G</t>
        </is>
      </c>
      <c r="M6074" s="12" t="inlineStr">
        <is>
          <t>8</t>
        </is>
      </c>
      <c r="N6074" s="12" t="n">
        <v>1</v>
      </c>
      <c r="O6074" s="12" t="n">
        <v>1</v>
      </c>
      <c r="P6074" s="12" t="n">
        <v>480</v>
      </c>
      <c r="Q6074" s="12" t="n">
        <v>15</v>
      </c>
      <c r="R6074" s="12" t="n">
        <v>21.2</v>
      </c>
      <c r="S6074" s="12" t="inlineStr">
        <is>
          <t>Duct bank</t>
        </is>
      </c>
      <c r="T6074" s="15" t="n">
        <v>312</v>
      </c>
      <c r="U6074" s="15" t="n">
        <v>32</v>
      </c>
      <c r="V6074" s="15">
        <f>ROUNDUP((T6074+U6074+2*'Read Me'!$B$13)*(1+'Read Me'!$B$12),-1)</f>
        <v/>
      </c>
      <c r="W6074" s="15">
        <f>V6074*N6074*O6074</f>
        <v/>
      </c>
      <c r="X6074" s="12">
        <f>IF(LEFT(I6074,2)="MV",2*N6074*IF(L6074="1/C",O6074,1),0)</f>
        <v/>
      </c>
      <c r="Y6074" s="12">
        <f>IF(OR(LEFT(K6074,4)="LVAX",LEFT(K6074,6)="MV15AX",LEFT(K6074,4)="CTAX",LEFT(K6074,2)="W|"),2*N6074*O6074,0)</f>
        <v/>
      </c>
      <c r="Z6074" s="12" t="inlineStr">
        <is>
          <t>VD 2.2 %</t>
        </is>
      </c>
      <c r="AA6074" s="12">
        <f>N6074*O6074</f>
        <v/>
      </c>
    </row>
    <row r="6075">
      <c r="A6075" s="12" t="inlineStr">
        <is>
          <t>K-P-0007</t>
        </is>
      </c>
      <c r="B6075" s="12" t="inlineStr">
        <is>
          <t>K</t>
        </is>
      </c>
      <c r="C6075" s="12" t="inlineStr">
        <is>
          <t>Fuel supply (adjacent market)</t>
        </is>
      </c>
      <c r="D6075" s="12" t="inlineStr">
        <is>
          <t>Motor 1 of 1, 15 kW</t>
        </is>
      </c>
      <c r="E6075" s="12" t="inlineStr"/>
      <c r="F6075" s="12" t="inlineStr">
        <is>
          <t>H2 20: 13.8 kV e-house</t>
        </is>
      </c>
      <c r="G6075" s="12" t="inlineStr"/>
      <c r="H6075" s="12" t="inlineStr">
        <is>
          <t>H2 21: rectifier transformer 5 (7 MVA)</t>
        </is>
      </c>
      <c r="I6075" s="12" t="inlineStr">
        <is>
          <t>LV 600 V</t>
        </is>
      </c>
      <c r="J6075" s="12" t="inlineStr">
        <is>
          <t>ARMOR-X MC-HL 600 V 3/C Cu XHHW-2 + ground, CWA, black PVC (Class I Div 2)</t>
        </is>
      </c>
      <c r="K6075" s="12" t="inlineStr">
        <is>
          <t>LVAX|3/C+G|10</t>
        </is>
      </c>
      <c r="L6075" s="12" t="inlineStr">
        <is>
          <t>3/C+G</t>
        </is>
      </c>
      <c r="M6075" s="12" t="inlineStr">
        <is>
          <t>10</t>
        </is>
      </c>
      <c r="N6075" s="12" t="n">
        <v>1</v>
      </c>
      <c r="O6075" s="12" t="n">
        <v>1</v>
      </c>
      <c r="P6075" s="12" t="n">
        <v>480</v>
      </c>
      <c r="Q6075" s="12" t="n">
        <v>15</v>
      </c>
      <c r="R6075" s="12" t="n">
        <v>21.2</v>
      </c>
      <c r="S6075" s="12" t="inlineStr">
        <is>
          <t>Duct bank</t>
        </is>
      </c>
      <c r="T6075" s="15" t="n">
        <v>254</v>
      </c>
      <c r="U6075" s="15" t="n">
        <v>32</v>
      </c>
      <c r="V6075" s="15">
        <f>ROUNDUP((T6075+U6075+2*'Read Me'!$B$13)*(1+'Read Me'!$B$12),-1)</f>
        <v/>
      </c>
      <c r="W6075" s="15">
        <f>V6075*N6075*O6075</f>
        <v/>
      </c>
      <c r="X6075" s="12">
        <f>IF(LEFT(I6075,2)="MV",2*N6075*IF(L6075="1/C",O6075,1),0)</f>
        <v/>
      </c>
      <c r="Y6075" s="12">
        <f>IF(OR(LEFT(K6075,4)="LVAX",LEFT(K6075,6)="MV15AX",LEFT(K6075,4)="CTAX",LEFT(K6075,2)="W|"),2*N6075*O6075,0)</f>
        <v/>
      </c>
      <c r="Z6075" s="12" t="inlineStr">
        <is>
          <t>VD 2.9 %</t>
        </is>
      </c>
      <c r="AA6075" s="12">
        <f>N6075*O6075</f>
        <v/>
      </c>
    </row>
    <row r="6076">
      <c r="A6076" s="12" t="inlineStr">
        <is>
          <t>K-P-0008</t>
        </is>
      </c>
      <c r="B6076" s="12" t="inlineStr">
        <is>
          <t>K</t>
        </is>
      </c>
      <c r="C6076" s="12" t="inlineStr">
        <is>
          <t>Fuel supply (adjacent market)</t>
        </is>
      </c>
      <c r="D6076" s="12" t="inlineStr">
        <is>
          <t>Motor 1 of 1, 15 kW</t>
        </is>
      </c>
      <c r="E6076" s="12" t="inlineStr"/>
      <c r="F6076" s="12" t="inlineStr">
        <is>
          <t>H2 20: 13.8 kV e-house</t>
        </is>
      </c>
      <c r="G6076" s="12" t="inlineStr">
        <is>
          <t>H2-EL</t>
        </is>
      </c>
      <c r="H6076" s="12" t="inlineStr">
        <is>
          <t>H2 22: electrolyzer building (5 x HyLYZER-1000 + 5 rectifiers)</t>
        </is>
      </c>
      <c r="I6076" s="12" t="inlineStr">
        <is>
          <t>LV 600 V</t>
        </is>
      </c>
      <c r="J6076" s="12" t="inlineStr">
        <is>
          <t>ARMOR-X MC-HL 600 V 3/C Cu XHHW-2 + ground, CWA, black PVC (Class I Div 2)</t>
        </is>
      </c>
      <c r="K6076" s="12" t="inlineStr">
        <is>
          <t>LVAX|3/C+G|8</t>
        </is>
      </c>
      <c r="L6076" s="12" t="inlineStr">
        <is>
          <t>3/C+G</t>
        </is>
      </c>
      <c r="M6076" s="12" t="inlineStr">
        <is>
          <t>8</t>
        </is>
      </c>
      <c r="N6076" s="12" t="n">
        <v>1</v>
      </c>
      <c r="O6076" s="12" t="n">
        <v>1</v>
      </c>
      <c r="P6076" s="12" t="n">
        <v>480</v>
      </c>
      <c r="Q6076" s="12" t="n">
        <v>15</v>
      </c>
      <c r="R6076" s="12" t="n">
        <v>21.2</v>
      </c>
      <c r="S6076" s="12" t="inlineStr">
        <is>
          <t>Duct bank</t>
        </is>
      </c>
      <c r="T6076" s="15" t="n">
        <v>346</v>
      </c>
      <c r="U6076" s="15" t="n">
        <v>32</v>
      </c>
      <c r="V6076" s="15">
        <f>ROUNDUP((T6076+U6076+2*'Read Me'!$B$13)*(1+'Read Me'!$B$12),-1)</f>
        <v/>
      </c>
      <c r="W6076" s="15">
        <f>V6076*N6076*O6076</f>
        <v/>
      </c>
      <c r="X6076" s="12">
        <f>IF(LEFT(I6076,2)="MV",2*N6076*IF(L6076="1/C",O6076,1),0)</f>
        <v/>
      </c>
      <c r="Y6076" s="12">
        <f>IF(OR(LEFT(K6076,4)="LVAX",LEFT(K6076,6)="MV15AX",LEFT(K6076,4)="CTAX",LEFT(K6076,2)="W|"),2*N6076*O6076,0)</f>
        <v/>
      </c>
      <c r="Z6076" s="12" t="inlineStr">
        <is>
          <t>VD 2.4 %</t>
        </is>
      </c>
      <c r="AA6076" s="12">
        <f>N6076*O6076</f>
        <v/>
      </c>
    </row>
    <row r="6077">
      <c r="A6077" s="12" t="inlineStr">
        <is>
          <t>K-P-0009</t>
        </is>
      </c>
      <c r="B6077" s="12" t="inlineStr">
        <is>
          <t>K</t>
        </is>
      </c>
      <c r="C6077" s="12" t="inlineStr">
        <is>
          <t>Fuel supply (adjacent market)</t>
        </is>
      </c>
      <c r="D6077" s="12" t="inlineStr">
        <is>
          <t>Motor 1 of 1, 15 kW</t>
        </is>
      </c>
      <c r="E6077" s="12" t="inlineStr"/>
      <c r="F6077" s="12" t="inlineStr">
        <is>
          <t>H2 20: 13.8 kV e-house</t>
        </is>
      </c>
      <c r="G6077" s="12" t="inlineStr"/>
      <c r="H6077" s="12" t="inlineStr">
        <is>
          <t>H2 23: dry coolers</t>
        </is>
      </c>
      <c r="I6077" s="12" t="inlineStr">
        <is>
          <t>LV 600 V</t>
        </is>
      </c>
      <c r="J6077" s="12" t="inlineStr">
        <is>
          <t>ARMOR-X MC-HL 600 V 3/C Cu XHHW-2 + ground, CWA, black PVC (Class I Div 2)</t>
        </is>
      </c>
      <c r="K6077" s="12" t="inlineStr">
        <is>
          <t>LVAX|3/C+G|10</t>
        </is>
      </c>
      <c r="L6077" s="12" t="inlineStr">
        <is>
          <t>3/C+G</t>
        </is>
      </c>
      <c r="M6077" s="12" t="inlineStr">
        <is>
          <t>10</t>
        </is>
      </c>
      <c r="N6077" s="12" t="n">
        <v>1</v>
      </c>
      <c r="O6077" s="12" t="n">
        <v>1</v>
      </c>
      <c r="P6077" s="12" t="n">
        <v>480</v>
      </c>
      <c r="Q6077" s="12" t="n">
        <v>15</v>
      </c>
      <c r="R6077" s="12" t="n">
        <v>21.2</v>
      </c>
      <c r="S6077" s="12" t="inlineStr">
        <is>
          <t>Duct bank</t>
        </is>
      </c>
      <c r="T6077" s="15" t="n">
        <v>100</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is>
          <t>VD 1.3 %</t>
        </is>
      </c>
      <c r="AA6077" s="12">
        <f>N6077*O6077</f>
        <v/>
      </c>
    </row>
    <row r="6078">
      <c r="A6078" s="12" t="inlineStr">
        <is>
          <t>K-P-0010</t>
        </is>
      </c>
      <c r="B6078" s="12" t="inlineStr">
        <is>
          <t>K</t>
        </is>
      </c>
      <c r="C6078" s="12" t="inlineStr">
        <is>
          <t>Fuel supply (adjacent market)</t>
        </is>
      </c>
      <c r="D6078" s="12" t="inlineStr">
        <is>
          <t>Motor 1 of 1, 15 kW</t>
        </is>
      </c>
      <c r="E6078" s="12" t="inlineStr"/>
      <c r="F6078" s="12" t="inlineStr">
        <is>
          <t>H2 20: 13.8 kV e-house</t>
        </is>
      </c>
      <c r="G6078" s="12" t="inlineStr"/>
      <c r="H6078" s="12" t="inlineStr">
        <is>
          <t>H2 24: water purification (RO / EDI)</t>
        </is>
      </c>
      <c r="I6078" s="12" t="inlineStr">
        <is>
          <t>LV 600 V</t>
        </is>
      </c>
      <c r="J6078" s="12" t="inlineStr">
        <is>
          <t>ARMOR-X MC-HL 600 V 3/C Cu XHHW-2 + ground, CWA, black PVC (Class I Div 2)</t>
        </is>
      </c>
      <c r="K6078" s="12" t="inlineStr">
        <is>
          <t>LVAX|3/C+G|10</t>
        </is>
      </c>
      <c r="L6078" s="12" t="inlineStr">
        <is>
          <t>3/C+G</t>
        </is>
      </c>
      <c r="M6078" s="12" t="inlineStr">
        <is>
          <t>10</t>
        </is>
      </c>
      <c r="N6078" s="12" t="n">
        <v>1</v>
      </c>
      <c r="O6078" s="12" t="n">
        <v>1</v>
      </c>
      <c r="P6078" s="12" t="n">
        <v>480</v>
      </c>
      <c r="Q6078" s="12" t="n">
        <v>15</v>
      </c>
      <c r="R6078" s="12" t="n">
        <v>21.2</v>
      </c>
      <c r="S6078" s="12" t="inlineStr">
        <is>
          <t>Duct bank</t>
        </is>
      </c>
      <c r="T6078" s="15" t="n">
        <v>146</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1.8 %</t>
        </is>
      </c>
      <c r="AA6078" s="12">
        <f>N6078*O6078</f>
        <v/>
      </c>
    </row>
    <row r="6079">
      <c r="A6079" s="12" t="inlineStr">
        <is>
          <t>K-P-0011</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25: H2 dryer / purification</t>
        </is>
      </c>
      <c r="I6079" s="12" t="inlineStr">
        <is>
          <t>LV 600 V</t>
        </is>
      </c>
      <c r="J6079" s="12" t="inlineStr">
        <is>
          <t>ARMOR-X MC-HL 600 V 3/C Cu XHHW-2 + ground, CWA, black PVC (Class I Div 2)</t>
        </is>
      </c>
      <c r="K6079" s="12" t="inlineStr">
        <is>
          <t>LVAX|3/C+G|10</t>
        </is>
      </c>
      <c r="L6079" s="12" t="inlineStr">
        <is>
          <t>3/C+G</t>
        </is>
      </c>
      <c r="M6079" s="12" t="inlineStr">
        <is>
          <t>10</t>
        </is>
      </c>
      <c r="N6079" s="12" t="n">
        <v>1</v>
      </c>
      <c r="O6079" s="12" t="n">
        <v>1</v>
      </c>
      <c r="P6079" s="12" t="n">
        <v>480</v>
      </c>
      <c r="Q6079" s="12" t="n">
        <v>15</v>
      </c>
      <c r="R6079" s="12" t="n">
        <v>21.2</v>
      </c>
      <c r="S6079" s="12" t="inlineStr">
        <is>
          <t>Duct bank</t>
        </is>
      </c>
      <c r="T6079" s="15" t="n">
        <v>0</v>
      </c>
      <c r="U6079" s="15" t="n">
        <v>49</v>
      </c>
      <c r="V6079" s="15">
        <f>ROUNDUP((T6079+U6079+2*'Read Me'!$B$13)*(1+'Read Me'!$B$12),-1)</f>
        <v/>
      </c>
      <c r="W6079" s="15">
        <f>V6079*N6079*O6079</f>
        <v/>
      </c>
      <c r="X6079" s="12">
        <f>IF(LEFT(I6079,2)="MV",2*N6079*IF(L6079="1/C",O6079,1),0)</f>
        <v/>
      </c>
      <c r="Y6079" s="12">
        <f>IF(OR(LEFT(K6079,4)="LVAX",LEFT(K6079,6)="MV15AX",LEFT(K6079,4)="CTAX",LEFT(K6079,2)="W|"),2*N6079*O6079,0)</f>
        <v/>
      </c>
      <c r="Z6079" s="12" t="inlineStr">
        <is>
          <t>VD 0.5 %</t>
        </is>
      </c>
      <c r="AA6079" s="12">
        <f>N6079*O6079</f>
        <v/>
      </c>
    </row>
    <row r="6080">
      <c r="A6080" s="12" t="inlineStr">
        <is>
          <t>K-P-0012</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26: H2 compressor 1 (40 ft ISO)</t>
        </is>
      </c>
      <c r="I6080" s="12" t="inlineStr">
        <is>
          <t>LV 600 V</t>
        </is>
      </c>
      <c r="J6080" s="12" t="inlineStr">
        <is>
          <t>ARMOR-X MC-HL 600 V 3/C Cu XHHW-2 + ground, CWA, black PVC (Class I Div 2)</t>
        </is>
      </c>
      <c r="K6080" s="12" t="inlineStr">
        <is>
          <t>LVAX|3/C+G|10</t>
        </is>
      </c>
      <c r="L6080" s="12" t="inlineStr">
        <is>
          <t>3/C+G</t>
        </is>
      </c>
      <c r="M6080" s="12" t="inlineStr">
        <is>
          <t>10</t>
        </is>
      </c>
      <c r="N6080" s="12" t="n">
        <v>1</v>
      </c>
      <c r="O6080" s="12" t="n">
        <v>1</v>
      </c>
      <c r="P6080" s="12" t="n">
        <v>480</v>
      </c>
      <c r="Q6080" s="12" t="n">
        <v>15</v>
      </c>
      <c r="R6080" s="12" t="n">
        <v>21.2</v>
      </c>
      <c r="S6080" s="12" t="inlineStr">
        <is>
          <t>Duct bank</t>
        </is>
      </c>
      <c r="T6080" s="15" t="n">
        <v>50</v>
      </c>
      <c r="U6080" s="15" t="n">
        <v>32</v>
      </c>
      <c r="V6080" s="15">
        <f>ROUNDUP((T6080+U6080+2*'Read Me'!$B$13)*(1+'Read Me'!$B$12),-1)</f>
        <v/>
      </c>
      <c r="W6080" s="15">
        <f>V6080*N6080*O6080</f>
        <v/>
      </c>
      <c r="X6080" s="12">
        <f>IF(LEFT(I6080,2)="MV",2*N6080*IF(L6080="1/C",O6080,1),0)</f>
        <v/>
      </c>
      <c r="Y6080" s="12">
        <f>IF(OR(LEFT(K6080,4)="LVAX",LEFT(K6080,6)="MV15AX",LEFT(K6080,4)="CTAX",LEFT(K6080,2)="W|"),2*N6080*O6080,0)</f>
        <v/>
      </c>
      <c r="Z6080" s="12" t="inlineStr">
        <is>
          <t>VD 0.8 %</t>
        </is>
      </c>
      <c r="AA6080" s="12">
        <f>N6080*O6080</f>
        <v/>
      </c>
    </row>
    <row r="6081">
      <c r="A6081" s="12" t="inlineStr">
        <is>
          <t>K-P-0013</t>
        </is>
      </c>
      <c r="B6081" s="12" t="inlineStr">
        <is>
          <t>K</t>
        </is>
      </c>
      <c r="C6081" s="12" t="inlineStr">
        <is>
          <t>Fuel supply (adjacent market)</t>
        </is>
      </c>
      <c r="D6081" s="12" t="inlineStr">
        <is>
          <t>Motor 1 of 1, 15 kW</t>
        </is>
      </c>
      <c r="E6081" s="12" t="inlineStr"/>
      <c r="F6081" s="12" t="inlineStr">
        <is>
          <t>H2 20: 13.8 kV e-house</t>
        </is>
      </c>
      <c r="G6081" s="12" t="inlineStr"/>
      <c r="H6081" s="12" t="inlineStr">
        <is>
          <t>H2 26: H2 compressor 2 (40 ft ISO)</t>
        </is>
      </c>
      <c r="I6081" s="12" t="inlineStr">
        <is>
          <t>LV 600 V</t>
        </is>
      </c>
      <c r="J6081" s="12" t="inlineStr">
        <is>
          <t>ARMOR-X MC-HL 600 V 3/C Cu XHHW-2 + ground, CWA, black PVC (Class I Div 2)</t>
        </is>
      </c>
      <c r="K6081" s="12" t="inlineStr">
        <is>
          <t>LVAX|3/C+G|10</t>
        </is>
      </c>
      <c r="L6081" s="12" t="inlineStr">
        <is>
          <t>3/C+G</t>
        </is>
      </c>
      <c r="M6081" s="12" t="inlineStr">
        <is>
          <t>10</t>
        </is>
      </c>
      <c r="N6081" s="12" t="n">
        <v>1</v>
      </c>
      <c r="O6081" s="12" t="n">
        <v>1</v>
      </c>
      <c r="P6081" s="12" t="n">
        <v>480</v>
      </c>
      <c r="Q6081" s="12" t="n">
        <v>15</v>
      </c>
      <c r="R6081" s="12" t="n">
        <v>21.2</v>
      </c>
      <c r="S6081" s="12" t="inlineStr">
        <is>
          <t>Duct bank</t>
        </is>
      </c>
      <c r="T6081" s="15" t="n">
        <v>50</v>
      </c>
      <c r="U6081" s="15" t="n">
        <v>47</v>
      </c>
      <c r="V6081" s="15">
        <f>ROUNDUP((T6081+U6081+2*'Read Me'!$B$13)*(1+'Read Me'!$B$12),-1)</f>
        <v/>
      </c>
      <c r="W6081" s="15">
        <f>V6081*N6081*O6081</f>
        <v/>
      </c>
      <c r="X6081" s="12">
        <f>IF(LEFT(I6081,2)="MV",2*N6081*IF(L6081="1/C",O6081,1),0)</f>
        <v/>
      </c>
      <c r="Y6081" s="12">
        <f>IF(OR(LEFT(K6081,4)="LVAX",LEFT(K6081,6)="MV15AX",LEFT(K6081,4)="CTAX",LEFT(K6081,2)="W|"),2*N6081*O6081,0)</f>
        <v/>
      </c>
      <c r="Z6081" s="12" t="inlineStr">
        <is>
          <t>VD 1.0 %</t>
        </is>
      </c>
      <c r="AA6081" s="12">
        <f>N6081*O6081</f>
        <v/>
      </c>
    </row>
    <row r="6082">
      <c r="A6082" s="12" t="inlineStr">
        <is>
          <t>K-P-0014</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27: storage tube bank (~40 ft tubes)</t>
        </is>
      </c>
      <c r="I6082" s="12" t="inlineStr">
        <is>
          <t>LV 600 V</t>
        </is>
      </c>
      <c r="J6082" s="12" t="inlineStr">
        <is>
          <t>ARMOR-X MC-HL 600 V 3/C Cu XHHW-2 + ground, CWA, black PVC (Class I Div 2)</t>
        </is>
      </c>
      <c r="K6082" s="12" t="inlineStr">
        <is>
          <t>LVAX|3/C+G|10</t>
        </is>
      </c>
      <c r="L6082" s="12" t="inlineStr">
        <is>
          <t>3/C+G</t>
        </is>
      </c>
      <c r="M6082" s="12" t="inlineStr">
        <is>
          <t>10</t>
        </is>
      </c>
      <c r="N6082" s="12" t="n">
        <v>1</v>
      </c>
      <c r="O6082" s="12" t="n">
        <v>1</v>
      </c>
      <c r="P6082" s="12" t="n">
        <v>480</v>
      </c>
      <c r="Q6082" s="12" t="n">
        <v>15</v>
      </c>
      <c r="R6082" s="12" t="n">
        <v>21.2</v>
      </c>
      <c r="S6082" s="12" t="inlineStr">
        <is>
          <t>Duct bank</t>
        </is>
      </c>
      <c r="T6082" s="15" t="n">
        <v>50</v>
      </c>
      <c r="U6082" s="15" t="n">
        <v>97</v>
      </c>
      <c r="V6082" s="15">
        <f>ROUNDUP((T6082+U6082+2*'Read Me'!$B$13)*(1+'Read Me'!$B$12),-1)</f>
        <v/>
      </c>
      <c r="W6082" s="15">
        <f>V6082*N6082*O6082</f>
        <v/>
      </c>
      <c r="X6082" s="12">
        <f>IF(LEFT(I6082,2)="MV",2*N6082*IF(L6082="1/C",O6082,1),0)</f>
        <v/>
      </c>
      <c r="Y6082" s="12">
        <f>IF(OR(LEFT(K6082,4)="LVAX",LEFT(K6082,6)="MV15AX",LEFT(K6082,4)="CTAX",LEFT(K6082,2)="W|"),2*N6082*O6082,0)</f>
        <v/>
      </c>
      <c r="Z6082" s="12" t="inlineStr">
        <is>
          <t>VD 1.5 %</t>
        </is>
      </c>
      <c r="AA6082" s="12">
        <f>N6082*O6082</f>
        <v/>
      </c>
    </row>
    <row r="6083">
      <c r="A6083" s="12" t="inlineStr">
        <is>
          <t>K-P-0015</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27: storage tube bank (~40 ft tubes)</t>
        </is>
      </c>
      <c r="I6083" s="12" t="inlineStr">
        <is>
          <t>LV 600 V</t>
        </is>
      </c>
      <c r="J6083" s="12" t="inlineStr">
        <is>
          <t>ARMOR-X MC-HL 600 V 3/C Cu XHHW-2 + ground, CWA, black PVC (Class I Div 2)</t>
        </is>
      </c>
      <c r="K6083" s="12" t="inlineStr">
        <is>
          <t>LVAX|3/C+G|10</t>
        </is>
      </c>
      <c r="L6083" s="12" t="inlineStr">
        <is>
          <t>3/C+G</t>
        </is>
      </c>
      <c r="M6083" s="12" t="inlineStr">
        <is>
          <t>10</t>
        </is>
      </c>
      <c r="N6083" s="12" t="n">
        <v>1</v>
      </c>
      <c r="O6083" s="12" t="n">
        <v>1</v>
      </c>
      <c r="P6083" s="12" t="n">
        <v>480</v>
      </c>
      <c r="Q6083" s="12" t="n">
        <v>15</v>
      </c>
      <c r="R6083" s="12" t="n">
        <v>21.2</v>
      </c>
      <c r="S6083" s="12" t="inlineStr">
        <is>
          <t>Duct bank</t>
        </is>
      </c>
      <c r="T6083" s="15" t="n">
        <v>50</v>
      </c>
      <c r="U6083" s="15" t="n">
        <v>117</v>
      </c>
      <c r="V6083" s="15">
        <f>ROUNDUP((T6083+U6083+2*'Read Me'!$B$13)*(1+'Read Me'!$B$12),-1)</f>
        <v/>
      </c>
      <c r="W6083" s="15">
        <f>V6083*N6083*O6083</f>
        <v/>
      </c>
      <c r="X6083" s="12">
        <f>IF(LEFT(I6083,2)="MV",2*N6083*IF(L6083="1/C",O6083,1),0)</f>
        <v/>
      </c>
      <c r="Y6083" s="12">
        <f>IF(OR(LEFT(K6083,4)="LVAX",LEFT(K6083,6)="MV15AX",LEFT(K6083,4)="CTAX",LEFT(K6083,2)="W|"),2*N6083*O6083,0)</f>
        <v/>
      </c>
      <c r="Z6083" s="12" t="inlineStr">
        <is>
          <t>VD 1.7 %</t>
        </is>
      </c>
      <c r="AA6083" s="12">
        <f>N6083*O6083</f>
        <v/>
      </c>
    </row>
    <row r="6084">
      <c r="A6084" s="12" t="inlineStr">
        <is>
          <t>K-P-0016</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27: storage tube bank (~40 ft tubes)</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50</v>
      </c>
      <c r="U6084" s="15" t="n">
        <v>97</v>
      </c>
      <c r="V6084" s="15">
        <f>ROUNDUP((T6084+U6084+2*'Read Me'!$B$13)*(1+'Read Me'!$B$12),-1)</f>
        <v/>
      </c>
      <c r="W6084" s="15">
        <f>V6084*N6084*O6084</f>
        <v/>
      </c>
      <c r="X6084" s="12">
        <f>IF(LEFT(I6084,2)="MV",2*N6084*IF(L6084="1/C",O6084,1),0)</f>
        <v/>
      </c>
      <c r="Y6084" s="12">
        <f>IF(OR(LEFT(K6084,4)="LVAX",LEFT(K6084,6)="MV15AX",LEFT(K6084,4)="CTAX",LEFT(K6084,2)="W|"),2*N6084*O6084,0)</f>
        <v/>
      </c>
      <c r="Z6084" s="12" t="inlineStr">
        <is>
          <t>VD 1.5 %</t>
        </is>
      </c>
      <c r="AA6084" s="12">
        <f>N6084*O6084</f>
        <v/>
      </c>
    </row>
    <row r="6085">
      <c r="A6085" s="12" t="inlineStr">
        <is>
          <t>K-P-0017</t>
        </is>
      </c>
      <c r="B6085" s="12" t="inlineStr">
        <is>
          <t>K</t>
        </is>
      </c>
      <c r="C6085" s="12" t="inlineStr">
        <is>
          <t>Fuel supply (adjacent market)</t>
        </is>
      </c>
      <c r="D6085" s="12" t="inlineStr">
        <is>
          <t>Motor 1 of 1, 15 kW</t>
        </is>
      </c>
      <c r="E6085" s="12" t="inlineStr"/>
      <c r="F6085" s="12" t="inlineStr">
        <is>
          <t>H2 20: 13.8 kV e-house</t>
        </is>
      </c>
      <c r="G6085" s="12" t="inlineStr"/>
      <c r="H6085" s="12" t="inlineStr">
        <is>
          <t>H2 27: storage tube bank (~40 ft tubes)</t>
        </is>
      </c>
      <c r="I6085" s="12" t="inlineStr">
        <is>
          <t>LV 600 V</t>
        </is>
      </c>
      <c r="J6085" s="12" t="inlineStr">
        <is>
          <t>ARMOR-X MC-HL 600 V 3/C Cu XHHW-2 + ground, CWA, black PVC (Class I Div 2)</t>
        </is>
      </c>
      <c r="K6085" s="12" t="inlineStr">
        <is>
          <t>LVAX|3/C+G|10</t>
        </is>
      </c>
      <c r="L6085" s="12" t="inlineStr">
        <is>
          <t>3/C+G</t>
        </is>
      </c>
      <c r="M6085" s="12" t="inlineStr">
        <is>
          <t>10</t>
        </is>
      </c>
      <c r="N6085" s="12" t="n">
        <v>1</v>
      </c>
      <c r="O6085" s="12" t="n">
        <v>1</v>
      </c>
      <c r="P6085" s="12" t="n">
        <v>480</v>
      </c>
      <c r="Q6085" s="12" t="n">
        <v>15</v>
      </c>
      <c r="R6085" s="12" t="n">
        <v>21.2</v>
      </c>
      <c r="S6085" s="12" t="inlineStr">
        <is>
          <t>Duct bank</t>
        </is>
      </c>
      <c r="T6085" s="15" t="n">
        <v>50</v>
      </c>
      <c r="U6085" s="15" t="n">
        <v>117</v>
      </c>
      <c r="V6085" s="15">
        <f>ROUNDUP((T6085+U6085+2*'Read Me'!$B$13)*(1+'Read Me'!$B$12),-1)</f>
        <v/>
      </c>
      <c r="W6085" s="15">
        <f>V6085*N6085*O6085</f>
        <v/>
      </c>
      <c r="X6085" s="12">
        <f>IF(LEFT(I6085,2)="MV",2*N6085*IF(L6085="1/C",O6085,1),0)</f>
        <v/>
      </c>
      <c r="Y6085" s="12">
        <f>IF(OR(LEFT(K6085,4)="LVAX",LEFT(K6085,6)="MV15AX",LEFT(K6085,4)="CTAX",LEFT(K6085,2)="W|"),2*N6085*O6085,0)</f>
        <v/>
      </c>
      <c r="Z6085" s="12" t="inlineStr">
        <is>
          <t>VD 1.7 %</t>
        </is>
      </c>
      <c r="AA6085" s="12">
        <f>N6085*O6085</f>
        <v/>
      </c>
    </row>
    <row r="6086">
      <c r="A6086" s="12" t="inlineStr">
        <is>
          <t>K-P-0018</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28: N2 purge supply</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53</v>
      </c>
      <c r="U6086" s="15" t="n">
        <v>36</v>
      </c>
      <c r="V6086" s="15">
        <f>ROUNDUP((T6086+U6086+2*'Read Me'!$B$13)*(1+'Read Me'!$B$12),-1)</f>
        <v/>
      </c>
      <c r="W6086" s="15">
        <f>V6086*N6086*O6086</f>
        <v/>
      </c>
      <c r="X6086" s="12">
        <f>IF(LEFT(I6086,2)="MV",2*N6086*IF(L6086="1/C",O6086,1),0)</f>
        <v/>
      </c>
      <c r="Y6086" s="12">
        <f>IF(OR(LEFT(K6086,4)="LVAX",LEFT(K6086,6)="MV15AX",LEFT(K6086,4)="CTAX",LEFT(K6086,2)="W|"),2*N6086*O6086,0)</f>
        <v/>
      </c>
      <c r="Z6086" s="12" t="inlineStr">
        <is>
          <t>VD 0.9 %</t>
        </is>
      </c>
      <c r="AA6086" s="12">
        <f>N6086*O6086</f>
        <v/>
      </c>
    </row>
    <row r="6087">
      <c r="A6087" s="12" t="inlineStr">
        <is>
          <t>K-P-0019</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29: vent stack</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55</v>
      </c>
      <c r="U6087" s="15" t="n">
        <v>205</v>
      </c>
      <c r="V6087" s="15">
        <f>ROUNDUP((T6087+U6087+2*'Read Me'!$B$13)*(1+'Read Me'!$B$12),-1)</f>
        <v/>
      </c>
      <c r="W6087" s="15">
        <f>V6087*N6087*O6087</f>
        <v/>
      </c>
      <c r="X6087" s="12">
        <f>IF(LEFT(I6087,2)="MV",2*N6087*IF(L6087="1/C",O6087,1),0)</f>
        <v/>
      </c>
      <c r="Y6087" s="12">
        <f>IF(OR(LEFT(K6087,4)="LVAX",LEFT(K6087,6)="MV15AX",LEFT(K6087,4)="CTAX",LEFT(K6087,2)="W|"),2*N6087*O6087,0)</f>
        <v/>
      </c>
      <c r="Z6087" s="12" t="inlineStr">
        <is>
          <t>VD 2.7 %</t>
        </is>
      </c>
      <c r="AA6087" s="12">
        <f>N6087*O6087</f>
        <v/>
      </c>
    </row>
    <row r="6088">
      <c r="A6088" s="12" t="inlineStr">
        <is>
          <t>K-P-0020</t>
        </is>
      </c>
      <c r="B6088" s="12" t="inlineStr">
        <is>
          <t>K</t>
        </is>
      </c>
      <c r="C6088" s="12" t="inlineStr">
        <is>
          <t>Fuel supply (adjacent market)</t>
        </is>
      </c>
      <c r="D6088" s="12" t="inlineStr">
        <is>
          <t>Motor 1 of 1, 15 kW</t>
        </is>
      </c>
      <c r="E6088" s="12" t="inlineStr"/>
      <c r="F6088" s="12" t="inlineStr">
        <is>
          <t>LNG 17: LNG e-house (13.8 kV / 480 V)</t>
        </is>
      </c>
      <c r="G6088" s="12" t="inlineStr"/>
      <c r="H6088" s="12" t="inlineStr">
        <is>
          <t>H2 30: H2 / gas blending station (plant gas yard)</t>
        </is>
      </c>
      <c r="I6088" s="12" t="inlineStr">
        <is>
          <t>LV 600 V</t>
        </is>
      </c>
      <c r="J6088" s="12" t="inlineStr">
        <is>
          <t>ARMOR-X MC-HL 600 V 3/C Cu XHHW-2 + ground, CWA, black PVC (Class I Div 2)</t>
        </is>
      </c>
      <c r="K6088" s="12" t="inlineStr">
        <is>
          <t>LVAX|3/C+G|4</t>
        </is>
      </c>
      <c r="L6088" s="12" t="inlineStr">
        <is>
          <t>3/C+G</t>
        </is>
      </c>
      <c r="M6088" s="12" t="inlineStr">
        <is>
          <t>4</t>
        </is>
      </c>
      <c r="N6088" s="12" t="n">
        <v>1</v>
      </c>
      <c r="O6088" s="12" t="n">
        <v>1</v>
      </c>
      <c r="P6088" s="12" t="n">
        <v>480</v>
      </c>
      <c r="Q6088" s="12" t="n">
        <v>15</v>
      </c>
      <c r="R6088" s="12" t="n">
        <v>21.2</v>
      </c>
      <c r="S6088" s="12" t="inlineStr">
        <is>
          <t>Duct bank</t>
        </is>
      </c>
      <c r="T6088" s="15" t="n">
        <v>994</v>
      </c>
      <c r="U6088" s="15" t="n">
        <v>114</v>
      </c>
      <c r="V6088" s="15">
        <f>ROUNDUP((T6088+U6088+2*'Read Me'!$B$13)*(1+'Read Me'!$B$12),-1)</f>
        <v/>
      </c>
      <c r="W6088" s="15">
        <f>V6088*N6088*O6088</f>
        <v/>
      </c>
      <c r="X6088" s="12">
        <f>IF(LEFT(I6088,2)="MV",2*N6088*IF(L6088="1/C",O6088,1),0)</f>
        <v/>
      </c>
      <c r="Y6088" s="12">
        <f>IF(OR(LEFT(K6088,4)="LVAX",LEFT(K6088,6)="MV15AX",LEFT(K6088,4)="CTAX",LEFT(K6088,2)="W|"),2*N6088*O6088,0)</f>
        <v/>
      </c>
      <c r="Z6088" s="12" t="inlineStr">
        <is>
          <t>VD 2.9 %</t>
        </is>
      </c>
      <c r="AA6088" s="12">
        <f>N6088*O6088</f>
        <v/>
      </c>
    </row>
    <row r="6089">
      <c r="A6089" s="12" t="inlineStr">
        <is>
          <t>K-P-0021</t>
        </is>
      </c>
      <c r="B6089" s="12" t="inlineStr">
        <is>
          <t>K</t>
        </is>
      </c>
      <c r="C6089" s="12" t="inlineStr">
        <is>
          <t>Fuel supply (adjacent market)</t>
        </is>
      </c>
      <c r="D6089" s="12" t="inlineStr">
        <is>
          <t>Motor 1 of 2, 250 kW</t>
        </is>
      </c>
      <c r="E6089" s="12" t="inlineStr"/>
      <c r="F6089" s="12" t="inlineStr">
        <is>
          <t>H2 20: 13.8 kV e-house</t>
        </is>
      </c>
      <c r="G6089" s="12" t="inlineStr"/>
      <c r="H6089" s="12" t="inlineStr">
        <is>
          <t>H2 pipe track and cable trench, hall -&gt; dryer / compressors (N2, instr</t>
        </is>
      </c>
      <c r="I6089" s="12" t="inlineStr">
        <is>
          <t>LV 600 V</t>
        </is>
      </c>
      <c r="J6089" s="12" t="inlineStr">
        <is>
          <t>ARMOR-X MC-HL 600 V 3/C Cu XHHW-2 + ground, CWA, black PVC (Class I Div 2)</t>
        </is>
      </c>
      <c r="K6089" s="12" t="inlineStr">
        <is>
          <t>LVAX|3/C+G|4/0</t>
        </is>
      </c>
      <c r="L6089" s="12" t="inlineStr">
        <is>
          <t>3/C+G</t>
        </is>
      </c>
      <c r="M6089" s="12" t="inlineStr">
        <is>
          <t>4/0</t>
        </is>
      </c>
      <c r="N6089" s="12" t="n">
        <v>2</v>
      </c>
      <c r="O6089" s="12" t="n">
        <v>1</v>
      </c>
      <c r="P6089" s="12" t="n">
        <v>480</v>
      </c>
      <c r="Q6089" s="12" t="n">
        <v>250</v>
      </c>
      <c r="R6089" s="12" t="n">
        <v>353.8</v>
      </c>
      <c r="S6089" s="12" t="inlineStr">
        <is>
          <t>Duct bank</t>
        </is>
      </c>
      <c r="T6089" s="15" t="n">
        <v>53</v>
      </c>
      <c r="U6089" s="15" t="n">
        <v>62</v>
      </c>
      <c r="V6089" s="15">
        <f>ROUNDUP((T6089+U6089+2*'Read Me'!$B$13)*(1+'Read Me'!$B$12),-1)</f>
        <v/>
      </c>
      <c r="W6089" s="15">
        <f>V6089*N6089*O6089</f>
        <v/>
      </c>
      <c r="X6089" s="12">
        <f>IF(LEFT(I6089,2)="MV",2*N6089*IF(L6089="1/C",O6089,1),0)</f>
        <v/>
      </c>
      <c r="Y6089" s="12">
        <f>IF(OR(LEFT(K6089,4)="LVAX",LEFT(K6089,6)="MV15AX",LEFT(K6089,4)="CTAX",LEFT(K6089,2)="W|"),2*N6089*O6089,0)</f>
        <v/>
      </c>
      <c r="Z6089" s="12" t="inlineStr">
        <is>
          <t>VD 0.5 %</t>
        </is>
      </c>
      <c r="AA6089" s="12">
        <f>N6089*O6089</f>
        <v/>
      </c>
    </row>
    <row r="6090">
      <c r="A6090" s="12" t="inlineStr">
        <is>
          <t>K-P-0022</t>
        </is>
      </c>
      <c r="B6090" s="12" t="inlineStr">
        <is>
          <t>K</t>
        </is>
      </c>
      <c r="C6090" s="12" t="inlineStr">
        <is>
          <t>Fuel supply (adjacent market)</t>
        </is>
      </c>
      <c r="D6090" s="12" t="inlineStr">
        <is>
          <t>Motor 2 of 2, 250 kW</t>
        </is>
      </c>
      <c r="E6090" s="12" t="inlineStr"/>
      <c r="F6090" s="12" t="inlineStr">
        <is>
          <t>H2 20: 13.8 kV e-house</t>
        </is>
      </c>
      <c r="G6090" s="12" t="inlineStr"/>
      <c r="H6090" s="12" t="inlineStr">
        <is>
          <t>H2 pipe track and cable trench, hall -&gt; dryer / compressors (N2, instr</t>
        </is>
      </c>
      <c r="I6090" s="12" t="inlineStr">
        <is>
          <t>LV 600 V</t>
        </is>
      </c>
      <c r="J6090" s="12" t="inlineStr">
        <is>
          <t>ARMOR-X MC-HL 600 V 3/C Cu XHHW-2 + ground, CWA, black PVC (Class I Div 2)</t>
        </is>
      </c>
      <c r="K6090" s="12" t="inlineStr">
        <is>
          <t>LVAX|3/C+G|4/0</t>
        </is>
      </c>
      <c r="L6090" s="12" t="inlineStr">
        <is>
          <t>3/C+G</t>
        </is>
      </c>
      <c r="M6090" s="12" t="inlineStr">
        <is>
          <t>4/0</t>
        </is>
      </c>
      <c r="N6090" s="12" t="n">
        <v>2</v>
      </c>
      <c r="O6090" s="12" t="n">
        <v>1</v>
      </c>
      <c r="P6090" s="12" t="n">
        <v>480</v>
      </c>
      <c r="Q6090" s="12" t="n">
        <v>250</v>
      </c>
      <c r="R6090" s="12" t="n">
        <v>353.8</v>
      </c>
      <c r="S6090" s="12" t="inlineStr">
        <is>
          <t>Duct bank</t>
        </is>
      </c>
      <c r="T6090" s="15" t="n">
        <v>53</v>
      </c>
      <c r="U6090" s="15" t="n">
        <v>62</v>
      </c>
      <c r="V6090" s="15">
        <f>ROUNDUP((T6090+U6090+2*'Read Me'!$B$13)*(1+'Read Me'!$B$12),-1)</f>
        <v/>
      </c>
      <c r="W6090" s="15">
        <f>V6090*N6090*O6090</f>
        <v/>
      </c>
      <c r="X6090" s="12">
        <f>IF(LEFT(I6090,2)="MV",2*N6090*IF(L6090="1/C",O6090,1),0)</f>
        <v/>
      </c>
      <c r="Y6090" s="12">
        <f>IF(OR(LEFT(K6090,4)="LVAX",LEFT(K6090,6)="MV15AX",LEFT(K6090,4)="CTAX",LEFT(K6090,2)="W|"),2*N6090*O6090,0)</f>
        <v/>
      </c>
      <c r="Z6090" s="12" t="inlineStr">
        <is>
          <t>VD 0.5 %</t>
        </is>
      </c>
      <c r="AA6090" s="12">
        <f>N6090*O6090</f>
        <v/>
      </c>
    </row>
    <row r="6091">
      <c r="A6091" s="12" t="inlineStr">
        <is>
          <t>K-P-0023</t>
        </is>
      </c>
      <c r="B6091" s="12" t="inlineStr">
        <is>
          <t>K</t>
        </is>
      </c>
      <c r="C6091" s="12" t="inlineStr">
        <is>
          <t>Fuel supply (adjacent market)</t>
        </is>
      </c>
      <c r="D6091" s="12" t="inlineStr">
        <is>
          <t>LV power feeder</t>
        </is>
      </c>
      <c r="E6091" s="12" t="inlineStr"/>
      <c r="F6091" s="12" t="inlineStr">
        <is>
          <t>H2 20: 13.8 kV e-house</t>
        </is>
      </c>
      <c r="G6091" s="12" t="inlineStr">
        <is>
          <t>H2-ST</t>
        </is>
      </c>
      <c r="H6091" s="12" t="inlineStr">
        <is>
          <t>H2 storage tube banks x4</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50</v>
      </c>
      <c r="U6091" s="15" t="n">
        <v>92</v>
      </c>
      <c r="V6091" s="15">
        <f>ROUNDUP((T6091+U6091+2*'Read Me'!$B$13)*(1+'Read Me'!$B$12),-1)</f>
        <v/>
      </c>
      <c r="W6091" s="15">
        <f>V6091*N6091*O6091</f>
        <v/>
      </c>
      <c r="X6091" s="12">
        <f>IF(LEFT(I6091,2)="MV",2*N6091*IF(L6091="1/C",O6091,1),0)</f>
        <v/>
      </c>
      <c r="Y6091" s="12">
        <f>IF(OR(LEFT(K6091,4)="LVAX",LEFT(K6091,6)="MV15AX",LEFT(K6091,4)="CTAX",LEFT(K6091,2)="W|"),2*N6091*O6091,0)</f>
        <v/>
      </c>
      <c r="Z6091" s="12" t="inlineStr">
        <is>
          <t>VD 1.4 %</t>
        </is>
      </c>
      <c r="AA6091" s="12">
        <f>N6091*O6091</f>
        <v/>
      </c>
    </row>
    <row r="6092">
      <c r="A6092" s="12" t="inlineStr">
        <is>
          <t>K-P-0024</t>
        </is>
      </c>
      <c r="B6092" s="12" t="inlineStr">
        <is>
          <t>K</t>
        </is>
      </c>
      <c r="C6092" s="12" t="inlineStr">
        <is>
          <t>Fuel supply (adjacent market)</t>
        </is>
      </c>
      <c r="D6092" s="12" t="inlineStr">
        <is>
          <t>LV power feeder</t>
        </is>
      </c>
      <c r="E6092" s="12" t="inlineStr"/>
      <c r="F6092" s="12" t="inlineStr">
        <is>
          <t>H2 20: 13.8 kV e-house</t>
        </is>
      </c>
      <c r="G6092" s="12" t="inlineStr">
        <is>
          <t>H2R</t>
        </is>
      </c>
      <c r="H6092" s="12" t="inlineStr">
        <is>
          <t>H2R: hydrogen pipeline receiving station (pig receiver, filters, meter</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40</v>
      </c>
      <c r="U6092" s="15" t="n">
        <v>32</v>
      </c>
      <c r="V6092" s="15">
        <f>ROUNDUP((T6092+U6092+2*'Read Me'!$B$13)*(1+'Read Me'!$B$12),-1)</f>
        <v/>
      </c>
      <c r="W6092" s="15">
        <f>V6092*N6092*O6092</f>
        <v/>
      </c>
      <c r="X6092" s="12">
        <f>IF(LEFT(I6092,2)="MV",2*N6092*IF(L6092="1/C",O6092,1),0)</f>
        <v/>
      </c>
      <c r="Y6092" s="12">
        <f>IF(OR(LEFT(K6092,4)="LVAX",LEFT(K6092,6)="MV15AX",LEFT(K6092,4)="CTAX",LEFT(K6092,2)="W|"),2*N6092*O6092,0)</f>
        <v/>
      </c>
      <c r="Z6092" s="12" t="inlineStr">
        <is>
          <t>VD 0.7 %</t>
        </is>
      </c>
      <c r="AA6092" s="12">
        <f>N6092*O6092</f>
        <v/>
      </c>
    </row>
    <row r="6093">
      <c r="A6093" s="12" t="inlineStr">
        <is>
          <t>K-P-0025</t>
        </is>
      </c>
      <c r="B6093" s="12" t="inlineStr">
        <is>
          <t>K</t>
        </is>
      </c>
      <c r="C6093" s="12" t="inlineStr">
        <is>
          <t>Fuel supply (adjacent market)</t>
        </is>
      </c>
      <c r="D6093" s="12" t="inlineStr">
        <is>
          <t>Motor 1 of 1, 15 kW</t>
        </is>
      </c>
      <c r="E6093" s="12" t="inlineStr"/>
      <c r="F6093" s="12" t="inlineStr">
        <is>
          <t>LNG 17: LNG e-house (13.8 kV / 480 V)</t>
        </is>
      </c>
      <c r="G6093" s="12" t="inlineStr"/>
      <c r="H6093" s="12" t="inlineStr">
        <is>
          <t>LNG 10: truck unloading bay 1</t>
        </is>
      </c>
      <c r="I6093" s="12" t="inlineStr">
        <is>
          <t>LV 600 V</t>
        </is>
      </c>
      <c r="J6093" s="12" t="inlineStr">
        <is>
          <t>ARMOR-X MC-HL 600 V 3/C Cu XHHW-2 + ground, CWA, black PVC (Class I Div 2)</t>
        </is>
      </c>
      <c r="K6093" s="12" t="inlineStr">
        <is>
          <t>LVAX|3/C+G|8</t>
        </is>
      </c>
      <c r="L6093" s="12" t="inlineStr">
        <is>
          <t>3/C+G</t>
        </is>
      </c>
      <c r="M6093" s="12" t="inlineStr">
        <is>
          <t>8</t>
        </is>
      </c>
      <c r="N6093" s="12" t="n">
        <v>1</v>
      </c>
      <c r="O6093" s="12" t="n">
        <v>1</v>
      </c>
      <c r="P6093" s="12" t="n">
        <v>480</v>
      </c>
      <c r="Q6093" s="12" t="n">
        <v>15</v>
      </c>
      <c r="R6093" s="12" t="n">
        <v>21.2</v>
      </c>
      <c r="S6093" s="12" t="inlineStr">
        <is>
          <t>Duct bank</t>
        </is>
      </c>
      <c r="T6093" s="15" t="n">
        <v>237</v>
      </c>
      <c r="U6093" s="15" t="n">
        <v>61</v>
      </c>
      <c r="V6093" s="15">
        <f>ROUNDUP((T6093+U6093+2*'Read Me'!$B$13)*(1+'Read Me'!$B$12),-1)</f>
        <v/>
      </c>
      <c r="W6093" s="15">
        <f>V6093*N6093*O6093</f>
        <v/>
      </c>
      <c r="X6093" s="12">
        <f>IF(LEFT(I6093,2)="MV",2*N6093*IF(L6093="1/C",O6093,1),0)</f>
        <v/>
      </c>
      <c r="Y6093" s="12">
        <f>IF(OR(LEFT(K6093,4)="LVAX",LEFT(K6093,6)="MV15AX",LEFT(K6093,4)="CTAX",LEFT(K6093,2)="W|"),2*N6093*O6093,0)</f>
        <v/>
      </c>
      <c r="Z6093" s="12" t="inlineStr">
        <is>
          <t>VD 1.9 %</t>
        </is>
      </c>
      <c r="AA6093" s="12">
        <f>N6093*O6093</f>
        <v/>
      </c>
    </row>
    <row r="6094">
      <c r="A6094" s="12" t="inlineStr">
        <is>
          <t>K-P-0026</t>
        </is>
      </c>
      <c r="B6094" s="12" t="inlineStr">
        <is>
          <t>K</t>
        </is>
      </c>
      <c r="C6094" s="12" t="inlineStr">
        <is>
          <t>Fuel supply (adjacent market)</t>
        </is>
      </c>
      <c r="D6094" s="12" t="inlineStr">
        <is>
          <t>Motor 1 of 1, 15 kW</t>
        </is>
      </c>
      <c r="E6094" s="12" t="inlineStr"/>
      <c r="F6094" s="12" t="inlineStr">
        <is>
          <t>LNG 17: LNG e-house (13.8 kV / 480 V)</t>
        </is>
      </c>
      <c r="G6094" s="12" t="inlineStr"/>
      <c r="H6094" s="12" t="inlineStr">
        <is>
          <t>LNG 10: truck unloading bay 2</t>
        </is>
      </c>
      <c r="I6094" s="12" t="inlineStr">
        <is>
          <t>LV 600 V</t>
        </is>
      </c>
      <c r="J6094" s="12" t="inlineStr">
        <is>
          <t>ARMOR-X MC-HL 600 V 3/C Cu XHHW-2 + ground, CWA, black PVC (Class I Div 2)</t>
        </is>
      </c>
      <c r="K6094" s="12" t="inlineStr">
        <is>
          <t>LVAX|3/C+G|10</t>
        </is>
      </c>
      <c r="L6094" s="12" t="inlineStr">
        <is>
          <t>3/C+G</t>
        </is>
      </c>
      <c r="M6094" s="12" t="inlineStr">
        <is>
          <t>10</t>
        </is>
      </c>
      <c r="N6094" s="12" t="n">
        <v>1</v>
      </c>
      <c r="O6094" s="12" t="n">
        <v>1</v>
      </c>
      <c r="P6094" s="12" t="n">
        <v>480</v>
      </c>
      <c r="Q6094" s="12" t="n">
        <v>15</v>
      </c>
      <c r="R6094" s="12" t="n">
        <v>21.2</v>
      </c>
      <c r="S6094" s="12" t="inlineStr">
        <is>
          <t>Duct bank</t>
        </is>
      </c>
      <c r="T6094" s="15" t="n">
        <v>147</v>
      </c>
      <c r="U6094" s="15" t="n">
        <v>66</v>
      </c>
      <c r="V6094" s="15">
        <f>ROUNDUP((T6094+U6094+2*'Read Me'!$B$13)*(1+'Read Me'!$B$12),-1)</f>
        <v/>
      </c>
      <c r="W6094" s="15">
        <f>V6094*N6094*O6094</f>
        <v/>
      </c>
      <c r="X6094" s="12">
        <f>IF(LEFT(I6094,2)="MV",2*N6094*IF(L6094="1/C",O6094,1),0)</f>
        <v/>
      </c>
      <c r="Y6094" s="12">
        <f>IF(OR(LEFT(K6094,4)="LVAX",LEFT(K6094,6)="MV15AX",LEFT(K6094,4)="CTAX",LEFT(K6094,2)="W|"),2*N6094*O6094,0)</f>
        <v/>
      </c>
      <c r="Z6094" s="12" t="inlineStr">
        <is>
          <t>VD 2.2 %</t>
        </is>
      </c>
      <c r="AA6094" s="12">
        <f>N6094*O6094</f>
        <v/>
      </c>
    </row>
    <row r="6095">
      <c r="A6095" s="12" t="inlineStr">
        <is>
          <t>K-P-0027</t>
        </is>
      </c>
      <c r="B6095" s="12" t="inlineStr">
        <is>
          <t>K</t>
        </is>
      </c>
      <c r="C6095" s="12" t="inlineStr">
        <is>
          <t>Fuel supply (adjacent market)</t>
        </is>
      </c>
      <c r="D6095" s="12" t="inlineStr">
        <is>
          <t>Motor 1 of 1, 15 kW</t>
        </is>
      </c>
      <c r="E6095" s="12" t="inlineStr"/>
      <c r="F6095" s="12" t="inlineStr">
        <is>
          <t>LNG 17: LNG e-house (13.8 kV / 480 V)</t>
        </is>
      </c>
      <c r="G6095" s="12" t="inlineStr"/>
      <c r="H6095" s="12" t="inlineStr">
        <is>
          <t>LNG 10: unloading skid</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237</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2.7 %</t>
        </is>
      </c>
      <c r="AA6095" s="12">
        <f>N6095*O6095</f>
        <v/>
      </c>
    </row>
    <row r="6096">
      <c r="A6096" s="12" t="inlineStr">
        <is>
          <t>K-P-0028</t>
        </is>
      </c>
      <c r="B6096" s="12" t="inlineStr">
        <is>
          <t>K</t>
        </is>
      </c>
      <c r="C6096" s="12" t="inlineStr">
        <is>
          <t>Fuel supply (adjacent market)</t>
        </is>
      </c>
      <c r="D6096" s="12" t="inlineStr">
        <is>
          <t>LV power feeder</t>
        </is>
      </c>
      <c r="E6096" s="12" t="inlineStr"/>
      <c r="F6096" s="12" t="inlineStr">
        <is>
          <t>LNG 17: LNG e-house (13.8 kV / 480 V)</t>
        </is>
      </c>
      <c r="G6096" s="12" t="inlineStr">
        <is>
          <t>LNG-T1</t>
        </is>
      </c>
      <c r="H6096" s="12" t="inlineStr">
        <is>
          <t>LNG 11: tank 1, Chart HS 50000 (51,780 gal)</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10</v>
      </c>
      <c r="R6096" s="12" t="n">
        <v>14.2</v>
      </c>
      <c r="S6096" s="12" t="inlineStr">
        <is>
          <t>Duct bank</t>
        </is>
      </c>
      <c r="T6096" s="15" t="n">
        <v>210</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1.6 %</t>
        </is>
      </c>
      <c r="AA6096" s="12">
        <f>N6096*O6096</f>
        <v/>
      </c>
    </row>
    <row r="6097">
      <c r="A6097" s="12" t="inlineStr">
        <is>
          <t>K-P-0029</t>
        </is>
      </c>
      <c r="B6097" s="12" t="inlineStr">
        <is>
          <t>K</t>
        </is>
      </c>
      <c r="C6097" s="12" t="inlineStr">
        <is>
          <t>Fuel supply (adjacent market)</t>
        </is>
      </c>
      <c r="D6097" s="12" t="inlineStr">
        <is>
          <t>LV power feeder</t>
        </is>
      </c>
      <c r="E6097" s="12" t="inlineStr"/>
      <c r="F6097" s="12" t="inlineStr">
        <is>
          <t>LNG 17: LNG e-house (13.8 kV / 480 V)</t>
        </is>
      </c>
      <c r="G6097" s="12" t="inlineStr">
        <is>
          <t>LNG-T2</t>
        </is>
      </c>
      <c r="H6097" s="12" t="inlineStr">
        <is>
          <t>LNG 11: tank 2, Chart HS 50000 (51,780 gal)</t>
        </is>
      </c>
      <c r="I6097" s="12" t="inlineStr">
        <is>
          <t>LV 600 V</t>
        </is>
      </c>
      <c r="J6097" s="12" t="inlineStr">
        <is>
          <t>ARMOR-X MC-HL 600 V 3/C Cu XHHW-2 + ground, CWA, black PVC (Class I Div 2)</t>
        </is>
      </c>
      <c r="K6097" s="12" t="inlineStr">
        <is>
          <t>LVAX|3/C+G|10</t>
        </is>
      </c>
      <c r="L6097" s="12" t="inlineStr">
        <is>
          <t>3/C+G</t>
        </is>
      </c>
      <c r="M6097" s="12" t="inlineStr">
        <is>
          <t>10</t>
        </is>
      </c>
      <c r="N6097" s="12" t="n">
        <v>1</v>
      </c>
      <c r="O6097" s="12" t="n">
        <v>1</v>
      </c>
      <c r="P6097" s="12" t="n">
        <v>480</v>
      </c>
      <c r="Q6097" s="12" t="n">
        <v>10</v>
      </c>
      <c r="R6097" s="12" t="n">
        <v>14.2</v>
      </c>
      <c r="S6097" s="12" t="inlineStr">
        <is>
          <t>Duct bank</t>
        </is>
      </c>
      <c r="T6097" s="15" t="n">
        <v>230</v>
      </c>
      <c r="U6097" s="15" t="n">
        <v>32</v>
      </c>
      <c r="V6097" s="15">
        <f>ROUNDUP((T6097+U6097+2*'Read Me'!$B$13)*(1+'Read Me'!$B$12),-1)</f>
        <v/>
      </c>
      <c r="W6097" s="15">
        <f>V6097*N6097*O6097</f>
        <v/>
      </c>
      <c r="X6097" s="12">
        <f>IF(LEFT(I6097,2)="MV",2*N6097*IF(L6097="1/C",O6097,1),0)</f>
        <v/>
      </c>
      <c r="Y6097" s="12">
        <f>IF(OR(LEFT(K6097,4)="LVAX",LEFT(K6097,6)="MV15AX",LEFT(K6097,4)="CTAX",LEFT(K6097,2)="W|"),2*N6097*O6097,0)</f>
        <v/>
      </c>
      <c r="Z6097" s="12" t="inlineStr">
        <is>
          <t>VD 1.8 %</t>
        </is>
      </c>
      <c r="AA6097" s="12">
        <f>N6097*O6097</f>
        <v/>
      </c>
    </row>
    <row r="6098">
      <c r="A6098" s="12" t="inlineStr">
        <is>
          <t>K-P-0030</t>
        </is>
      </c>
      <c r="B6098" s="12" t="inlineStr">
        <is>
          <t>K</t>
        </is>
      </c>
      <c r="C6098" s="12" t="inlineStr">
        <is>
          <t>Fuel supply (adjacent market)</t>
        </is>
      </c>
      <c r="D6098" s="12" t="inlineStr">
        <is>
          <t>LV power feeder</t>
        </is>
      </c>
      <c r="E6098" s="12" t="inlineStr"/>
      <c r="F6098" s="12" t="inlineStr">
        <is>
          <t>LNG 17: LNG e-house (13.8 kV / 480 V)</t>
        </is>
      </c>
      <c r="G6098" s="12" t="inlineStr">
        <is>
          <t>LNG-T3</t>
        </is>
      </c>
      <c r="H6098" s="12" t="inlineStr">
        <is>
          <t>LNG 11: tank 3, Chart HS 50000 (51,780 gal)</t>
        </is>
      </c>
      <c r="I6098" s="12" t="inlineStr">
        <is>
          <t>LV 600 V</t>
        </is>
      </c>
      <c r="J6098" s="12" t="inlineStr">
        <is>
          <t>ARMOR-X MC-HL 600 V 3/C Cu XHHW-2 + ground, CWA, black PVC (Class I Div 2)</t>
        </is>
      </c>
      <c r="K6098" s="12" t="inlineStr">
        <is>
          <t>LVAX|3/C+G|10</t>
        </is>
      </c>
      <c r="L6098" s="12" t="inlineStr">
        <is>
          <t>3/C+G</t>
        </is>
      </c>
      <c r="M6098" s="12" t="inlineStr">
        <is>
          <t>10</t>
        </is>
      </c>
      <c r="N6098" s="12" t="n">
        <v>1</v>
      </c>
      <c r="O6098" s="12" t="n">
        <v>1</v>
      </c>
      <c r="P6098" s="12" t="n">
        <v>480</v>
      </c>
      <c r="Q6098" s="12" t="n">
        <v>10</v>
      </c>
      <c r="R6098" s="12" t="n">
        <v>14.2</v>
      </c>
      <c r="S6098" s="12" t="inlineStr">
        <is>
          <t>Duct bank</t>
        </is>
      </c>
      <c r="T6098" s="15" t="n">
        <v>250</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1.9 %</t>
        </is>
      </c>
      <c r="AA6098" s="12">
        <f>N6098*O6098</f>
        <v/>
      </c>
    </row>
    <row r="6099">
      <c r="A6099" s="12" t="inlineStr">
        <is>
          <t>K-P-0031</t>
        </is>
      </c>
      <c r="B6099" s="12" t="inlineStr">
        <is>
          <t>K</t>
        </is>
      </c>
      <c r="C6099" s="12" t="inlineStr">
        <is>
          <t>Fuel supply (adjacent market)</t>
        </is>
      </c>
      <c r="D6099" s="12" t="inlineStr">
        <is>
          <t>LV power feeder</t>
        </is>
      </c>
      <c r="E6099" s="12" t="inlineStr"/>
      <c r="F6099" s="12" t="inlineStr">
        <is>
          <t>LNG 17: LNG e-house (13.8 kV / 480 V)</t>
        </is>
      </c>
      <c r="G6099" s="12" t="inlineStr">
        <is>
          <t>LNG-T4</t>
        </is>
      </c>
      <c r="H6099" s="12" t="inlineStr">
        <is>
          <t>LNG 11: tank 4, Chart HS 50000 (51,780 gal)</t>
        </is>
      </c>
      <c r="I6099" s="12" t="inlineStr">
        <is>
          <t>LV 600 V</t>
        </is>
      </c>
      <c r="J6099" s="12" t="inlineStr">
        <is>
          <t>ARMOR-X MC-HL 600 V 3/C Cu XHHW-2 + ground, CWA, black PVC (Class I Div 2)</t>
        </is>
      </c>
      <c r="K6099" s="12" t="inlineStr">
        <is>
          <t>LVAX|3/C+G|10</t>
        </is>
      </c>
      <c r="L6099" s="12" t="inlineStr">
        <is>
          <t>3/C+G</t>
        </is>
      </c>
      <c r="M6099" s="12" t="inlineStr">
        <is>
          <t>10</t>
        </is>
      </c>
      <c r="N6099" s="12" t="n">
        <v>1</v>
      </c>
      <c r="O6099" s="12" t="n">
        <v>1</v>
      </c>
      <c r="P6099" s="12" t="n">
        <v>480</v>
      </c>
      <c r="Q6099" s="12" t="n">
        <v>10</v>
      </c>
      <c r="R6099" s="12" t="n">
        <v>14.2</v>
      </c>
      <c r="S6099" s="12" t="inlineStr">
        <is>
          <t>Duct bank</t>
        </is>
      </c>
      <c r="T6099" s="15" t="n">
        <v>270</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2.1 %</t>
        </is>
      </c>
      <c r="AA6099" s="12">
        <f>N6099*O6099</f>
        <v/>
      </c>
    </row>
    <row r="6100">
      <c r="A6100" s="12" t="inlineStr">
        <is>
          <t>K-P-0032</t>
        </is>
      </c>
      <c r="B6100" s="12" t="inlineStr">
        <is>
          <t>K</t>
        </is>
      </c>
      <c r="C6100" s="12" t="inlineStr">
        <is>
          <t>Fuel supply (adjacent market)</t>
        </is>
      </c>
      <c r="D6100" s="12" t="inlineStr">
        <is>
          <t>LV power feeder</t>
        </is>
      </c>
      <c r="E6100" s="12" t="inlineStr"/>
      <c r="F6100" s="12" t="inlineStr">
        <is>
          <t>LNG 17: LNG e-house (13.8 kV / 480 V)</t>
        </is>
      </c>
      <c r="G6100" s="12" t="inlineStr">
        <is>
          <t>LNG-T5</t>
        </is>
      </c>
      <c r="H6100" s="12" t="inlineStr">
        <is>
          <t>LNG 11: tank 5, Chart HS 50000 (51,780 gal)</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10</v>
      </c>
      <c r="R6100" s="12" t="n">
        <v>14.2</v>
      </c>
      <c r="S6100" s="12" t="inlineStr">
        <is>
          <t>Duct bank</t>
        </is>
      </c>
      <c r="T6100" s="15" t="n">
        <v>290</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2.2 %</t>
        </is>
      </c>
      <c r="AA6100" s="12">
        <f>N6100*O6100</f>
        <v/>
      </c>
    </row>
    <row r="6101">
      <c r="A6101" s="12" t="inlineStr">
        <is>
          <t>K-P-0033</t>
        </is>
      </c>
      <c r="B6101" s="12" t="inlineStr">
        <is>
          <t>K</t>
        </is>
      </c>
      <c r="C6101" s="12" t="inlineStr">
        <is>
          <t>Fuel supply (adjacent market)</t>
        </is>
      </c>
      <c r="D6101" s="12" t="inlineStr">
        <is>
          <t>LV power feeder</t>
        </is>
      </c>
      <c r="E6101" s="12" t="inlineStr"/>
      <c r="F6101" s="12" t="inlineStr">
        <is>
          <t>LNG 17: LNG e-house (13.8 kV / 480 V)</t>
        </is>
      </c>
      <c r="G6101" s="12" t="inlineStr">
        <is>
          <t>LNG-T6</t>
        </is>
      </c>
      <c r="H6101" s="12" t="inlineStr">
        <is>
          <t>LNG 11: tank 6, Chart HS 50000 (51,780 gal)</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10</v>
      </c>
      <c r="R6101" s="12" t="n">
        <v>14.2</v>
      </c>
      <c r="S6101" s="12" t="inlineStr">
        <is>
          <t>Duct bank</t>
        </is>
      </c>
      <c r="T6101" s="15" t="n">
        <v>310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2.3 %</t>
        </is>
      </c>
      <c r="AA6101" s="12">
        <f>N6101*O6101</f>
        <v/>
      </c>
    </row>
    <row r="6102">
      <c r="A6102" s="12" t="inlineStr">
        <is>
          <t>K-P-0034</t>
        </is>
      </c>
      <c r="B6102" s="12" t="inlineStr">
        <is>
          <t>K</t>
        </is>
      </c>
      <c r="C6102" s="12" t="inlineStr">
        <is>
          <t>Fuel supply (adjacent market)</t>
        </is>
      </c>
      <c r="D6102" s="12" t="inlineStr">
        <is>
          <t>LV power feeder</t>
        </is>
      </c>
      <c r="E6102" s="12" t="inlineStr"/>
      <c r="F6102" s="12" t="inlineStr">
        <is>
          <t>LNG 17: LNG e-house (13.8 kV / 480 V)</t>
        </is>
      </c>
      <c r="G6102" s="12" t="inlineStr">
        <is>
          <t>LNG-T7</t>
        </is>
      </c>
      <c r="H6102" s="12" t="inlineStr">
        <is>
          <t>LNG 11: tank 7, Chart HS 50000 (51,780 gal)</t>
        </is>
      </c>
      <c r="I6102" s="12" t="inlineStr">
        <is>
          <t>LV 600 V</t>
        </is>
      </c>
      <c r="J6102" s="12" t="inlineStr">
        <is>
          <t>ARMOR-X MC-HL 600 V 3/C Cu XHHW-2 + ground, CWA, black PVC (Class I Div 2)</t>
        </is>
      </c>
      <c r="K6102" s="12" t="inlineStr">
        <is>
          <t>LVAX|3/C+G|10</t>
        </is>
      </c>
      <c r="L6102" s="12" t="inlineStr">
        <is>
          <t>3/C+G</t>
        </is>
      </c>
      <c r="M6102" s="12" t="inlineStr">
        <is>
          <t>10</t>
        </is>
      </c>
      <c r="N6102" s="12" t="n">
        <v>1</v>
      </c>
      <c r="O6102" s="12" t="n">
        <v>1</v>
      </c>
      <c r="P6102" s="12" t="n">
        <v>480</v>
      </c>
      <c r="Q6102" s="12" t="n">
        <v>10</v>
      </c>
      <c r="R6102" s="12" t="n">
        <v>14.2</v>
      </c>
      <c r="S6102" s="12" t="inlineStr">
        <is>
          <t>Duct bank</t>
        </is>
      </c>
      <c r="T6102" s="15" t="n">
        <v>330</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2.5 %</t>
        </is>
      </c>
      <c r="AA6102" s="12">
        <f>N6102*O6102</f>
        <v/>
      </c>
    </row>
    <row r="6103">
      <c r="A6103" s="12" t="inlineStr">
        <is>
          <t>K-P-0035</t>
        </is>
      </c>
      <c r="B6103" s="12" t="inlineStr">
        <is>
          <t>K</t>
        </is>
      </c>
      <c r="C6103" s="12" t="inlineStr">
        <is>
          <t>Fuel supply (adjacent market)</t>
        </is>
      </c>
      <c r="D6103" s="12" t="inlineStr">
        <is>
          <t>LV power feeder</t>
        </is>
      </c>
      <c r="E6103" s="12" t="inlineStr"/>
      <c r="F6103" s="12" t="inlineStr">
        <is>
          <t>LNG 17: LNG e-house (13.8 kV / 480 V)</t>
        </is>
      </c>
      <c r="G6103" s="12" t="inlineStr">
        <is>
          <t>LNG-T8</t>
        </is>
      </c>
      <c r="H6103" s="12" t="inlineStr">
        <is>
          <t>LNG 11: tank 8, Chart HS 50000 (51,780 gal)</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10</v>
      </c>
      <c r="R6103" s="12" t="n">
        <v>14.2</v>
      </c>
      <c r="S6103" s="12" t="inlineStr">
        <is>
          <t>Duct bank</t>
        </is>
      </c>
      <c r="T6103" s="15" t="n">
        <v>350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2.6 %</t>
        </is>
      </c>
      <c r="AA6103" s="12">
        <f>N6103*O6103</f>
        <v/>
      </c>
    </row>
    <row r="6104">
      <c r="A6104" s="12" t="inlineStr">
        <is>
          <t>K-P-0036</t>
        </is>
      </c>
      <c r="B6104" s="12" t="inlineStr">
        <is>
          <t>K</t>
        </is>
      </c>
      <c r="C6104" s="12" t="inlineStr">
        <is>
          <t>Fuel supply (adjacent market)</t>
        </is>
      </c>
      <c r="D6104" s="12" t="inlineStr">
        <is>
          <t>Motor 1 of 1, 15 kW</t>
        </is>
      </c>
      <c r="E6104" s="12" t="inlineStr"/>
      <c r="F6104" s="12" t="inlineStr">
        <is>
          <t>LNG 17: LNG e-house (13.8 kV / 480 V)</t>
        </is>
      </c>
      <c r="G6104" s="12" t="inlineStr"/>
      <c r="H6104" s="12" t="inlineStr">
        <is>
          <t>LNG 12: spill impoundment (NFPA 59A, to verify)</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230</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K-P-0037</t>
        </is>
      </c>
      <c r="B6105" s="12" t="inlineStr">
        <is>
          <t>K</t>
        </is>
      </c>
      <c r="C6105" s="12" t="inlineStr">
        <is>
          <t>Fuel supply (adjacent market)</t>
        </is>
      </c>
      <c r="D6105" s="12" t="inlineStr">
        <is>
          <t>Motor 1 of 1, 15 kW</t>
        </is>
      </c>
      <c r="E6105" s="12" t="inlineStr"/>
      <c r="F6105" s="12" t="inlineStr">
        <is>
          <t>LNG 17: LNG e-house (13.8 kV / 480 V)</t>
        </is>
      </c>
      <c r="G6105" s="12" t="inlineStr"/>
      <c r="H6105" s="12" t="inlineStr">
        <is>
          <t>LNG 13: send-out pumps 2 x 100%</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110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1.4 %</t>
        </is>
      </c>
      <c r="AA6105" s="12">
        <f>N6105*O6105</f>
        <v/>
      </c>
    </row>
    <row r="6106">
      <c r="A6106" s="12" t="inlineStr">
        <is>
          <t>K-P-0038</t>
        </is>
      </c>
      <c r="B6106" s="12" t="inlineStr">
        <is>
          <t>K</t>
        </is>
      </c>
      <c r="C6106" s="12" t="inlineStr">
        <is>
          <t>Fuel supply (adjacent market)</t>
        </is>
      </c>
      <c r="D6106" s="12" t="inlineStr">
        <is>
          <t>Motor 1 of 1, 15 kW</t>
        </is>
      </c>
      <c r="E6106" s="12" t="inlineStr"/>
      <c r="F6106" s="12" t="inlineStr">
        <is>
          <t>LNG 17: LNG e-house (13.8 kV / 480 V)</t>
        </is>
      </c>
      <c r="G6106" s="12" t="inlineStr"/>
      <c r="H6106" s="12" t="inlineStr">
        <is>
          <t>LNG 14: vaporizers + glycol heater</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259</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3.0 %</t>
        </is>
      </c>
      <c r="AA6106" s="12">
        <f>N6106*O6106</f>
        <v/>
      </c>
    </row>
    <row r="6107">
      <c r="A6107" s="12" t="inlineStr">
        <is>
          <t>K-P-0039</t>
        </is>
      </c>
      <c r="B6107" s="12" t="inlineStr">
        <is>
          <t>K</t>
        </is>
      </c>
      <c r="C6107" s="12" t="inlineStr">
        <is>
          <t>Fuel supply (adjacent market)</t>
        </is>
      </c>
      <c r="D6107" s="12" t="inlineStr">
        <is>
          <t>Motor 1 of 1, 15 kW</t>
        </is>
      </c>
      <c r="E6107" s="12" t="inlineStr"/>
      <c r="F6107" s="12" t="inlineStr">
        <is>
          <t>LNG 17: LNG e-house (13.8 kV / 480 V)</t>
        </is>
      </c>
      <c r="G6107" s="12" t="inlineStr"/>
      <c r="H6107" s="12" t="inlineStr">
        <is>
          <t>LNG 15: boil-off gas compressor</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25</v>
      </c>
      <c r="U6107" s="15" t="n">
        <v>54</v>
      </c>
      <c r="V6107" s="15">
        <f>ROUNDUP((T6107+U6107+2*'Read Me'!$B$13)*(1+'Read Me'!$B$12),-1)</f>
        <v/>
      </c>
      <c r="W6107" s="15">
        <f>V6107*N6107*O6107</f>
        <v/>
      </c>
      <c r="X6107" s="12">
        <f>IF(LEFT(I6107,2)="MV",2*N6107*IF(L6107="1/C",O6107,1),0)</f>
        <v/>
      </c>
      <c r="Y6107" s="12">
        <f>IF(OR(LEFT(K6107,4)="LVAX",LEFT(K6107,6)="MV15AX",LEFT(K6107,4)="CTAX",LEFT(K6107,2)="W|"),2*N6107*O6107,0)</f>
        <v/>
      </c>
      <c r="Z6107" s="12" t="inlineStr">
        <is>
          <t>VD 0.8 %</t>
        </is>
      </c>
      <c r="AA6107" s="12">
        <f>N6107*O6107</f>
        <v/>
      </c>
    </row>
    <row r="6108">
      <c r="A6108" s="12" t="inlineStr">
        <is>
          <t>K-P-0040</t>
        </is>
      </c>
      <c r="B6108" s="12" t="inlineStr">
        <is>
          <t>K</t>
        </is>
      </c>
      <c r="C6108" s="12" t="inlineStr">
        <is>
          <t>Fuel supply (adjacent market)</t>
        </is>
      </c>
      <c r="D6108" s="12" t="inlineStr">
        <is>
          <t>Motor 1 of 1, 15 kW</t>
        </is>
      </c>
      <c r="E6108" s="12" t="inlineStr"/>
      <c r="F6108" s="12" t="inlineStr">
        <is>
          <t>LNG 17: LNG e-house (13.8 kV / 480 V)</t>
        </is>
      </c>
      <c r="G6108" s="12" t="inlineStr"/>
      <c r="H6108" s="12" t="inlineStr">
        <is>
          <t>LNG 16: send-out metering + pressure control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20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0.5 %</t>
        </is>
      </c>
      <c r="AA6108" s="12">
        <f>N6108*O6108</f>
        <v/>
      </c>
    </row>
    <row r="6109">
      <c r="A6109" s="12" t="inlineStr">
        <is>
          <t>K-P-0041</t>
        </is>
      </c>
      <c r="B6109" s="12" t="inlineStr">
        <is>
          <t>K</t>
        </is>
      </c>
      <c r="C6109" s="12" t="inlineStr">
        <is>
          <t>Fuel supply (adjacent market)</t>
        </is>
      </c>
      <c r="D6109" s="12" t="inlineStr">
        <is>
          <t>Motor 1 of 1, 15 kW</t>
        </is>
      </c>
      <c r="E6109" s="12" t="inlineStr"/>
      <c r="F6109" s="12" t="inlineStr">
        <is>
          <t>LNG 17: LNG e-house (13.8 kV / 480 V)</t>
        </is>
      </c>
      <c r="G6109" s="12" t="inlineStr"/>
      <c r="H6109" s="12" t="inlineStr">
        <is>
          <t>LNG 17: LNG e-house (13.8 kV / 480 V)</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Tray</t>
        </is>
      </c>
      <c r="T6109" s="15" t="n">
        <v>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0.3 %</t>
        </is>
      </c>
      <c r="AA6109" s="12">
        <f>N6109*O6109</f>
        <v/>
      </c>
    </row>
    <row r="6110">
      <c r="A6110" s="12" t="inlineStr">
        <is>
          <t>K-P-0042</t>
        </is>
      </c>
      <c r="B6110" s="12" t="inlineStr">
        <is>
          <t>K</t>
        </is>
      </c>
      <c r="C6110" s="12" t="inlineStr">
        <is>
          <t>Fuel supply (adjacent market)</t>
        </is>
      </c>
      <c r="D6110" s="12" t="inlineStr">
        <is>
          <t>Motor 1 of 1, 15 kW</t>
        </is>
      </c>
      <c r="E6110" s="12" t="inlineStr"/>
      <c r="F6110" s="12" t="inlineStr">
        <is>
          <t>LNG 17: LNG e-house (13.8 kV / 480 V)</t>
        </is>
      </c>
      <c r="G6110" s="12" t="inlineStr"/>
      <c r="H6110" s="12" t="inlineStr">
        <is>
          <t>LNG 18: vent stack</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25</v>
      </c>
      <c r="U6110" s="15" t="n">
        <v>117</v>
      </c>
      <c r="V6110" s="15">
        <f>ROUNDUP((T6110+U6110+2*'Read Me'!$B$13)*(1+'Read Me'!$B$12),-1)</f>
        <v/>
      </c>
      <c r="W6110" s="15">
        <f>V6110*N6110*O6110</f>
        <v/>
      </c>
      <c r="X6110" s="12">
        <f>IF(LEFT(I6110,2)="MV",2*N6110*IF(L6110="1/C",O6110,1),0)</f>
        <v/>
      </c>
      <c r="Y6110" s="12">
        <f>IF(OR(LEFT(K6110,4)="LVAX",LEFT(K6110,6)="MV15AX",LEFT(K6110,4)="CTAX",LEFT(K6110,2)="W|"),2*N6110*O6110,0)</f>
        <v/>
      </c>
      <c r="Z6110" s="12" t="inlineStr">
        <is>
          <t>VD 1.4 %</t>
        </is>
      </c>
      <c r="AA6110" s="12">
        <f>N6110*O6110</f>
        <v/>
      </c>
    </row>
    <row r="6111">
      <c r="A6111" s="12" t="inlineStr">
        <is>
          <t>K-P-0043</t>
        </is>
      </c>
      <c r="B6111" s="12" t="inlineStr">
        <is>
          <t>K</t>
        </is>
      </c>
      <c r="C6111" s="12" t="inlineStr">
        <is>
          <t>Fuel supply (adjacent market)</t>
        </is>
      </c>
      <c r="D6111" s="12" t="inlineStr">
        <is>
          <t>LV power feeder</t>
        </is>
      </c>
      <c r="E6111" s="12" t="inlineStr"/>
      <c r="F6111" s="12" t="inlineStr">
        <is>
          <t>LNG 17: LNG e-house (13.8 kV / 480 V)</t>
        </is>
      </c>
      <c r="G6111" s="12" t="inlineStr"/>
      <c r="H6111" s="12" t="inlineStr">
        <is>
          <t>LNG impoundment sump pump</t>
        </is>
      </c>
      <c r="I6111" s="12" t="inlineStr">
        <is>
          <t>LV 600 V</t>
        </is>
      </c>
      <c r="J6111" s="12" t="inlineStr">
        <is>
          <t>ARMOR-X MC-HL 600 V 3/C Cu XHHW-2 + ground, CWA, black PVC (Class I Div 2)</t>
        </is>
      </c>
      <c r="K6111" s="12" t="inlineStr">
        <is>
          <t>LVAX|3/C+G|8</t>
        </is>
      </c>
      <c r="L6111" s="12" t="inlineStr">
        <is>
          <t>3/C+G</t>
        </is>
      </c>
      <c r="M6111" s="12" t="inlineStr">
        <is>
          <t>8</t>
        </is>
      </c>
      <c r="N6111" s="12" t="n">
        <v>1</v>
      </c>
      <c r="O6111" s="12" t="n">
        <v>1</v>
      </c>
      <c r="P6111" s="12" t="n">
        <v>480</v>
      </c>
      <c r="Q6111" s="12" t="n">
        <v>15</v>
      </c>
      <c r="R6111" s="12" t="n">
        <v>21.2</v>
      </c>
      <c r="S6111" s="12" t="inlineStr">
        <is>
          <t>Duct bank</t>
        </is>
      </c>
      <c r="T6111" s="15" t="n">
        <v>334</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2.4 %</t>
        </is>
      </c>
      <c r="AA6111" s="12">
        <f>N6111*O6111</f>
        <v/>
      </c>
    </row>
    <row r="6112">
      <c r="A6112" s="12" t="inlineStr">
        <is>
          <t>K-P-0044</t>
        </is>
      </c>
      <c r="B6112" s="12" t="inlineStr">
        <is>
          <t>K</t>
        </is>
      </c>
      <c r="C6112" s="12" t="inlineStr">
        <is>
          <t>Fuel supply (adjacent market)</t>
        </is>
      </c>
      <c r="D6112" s="12" t="inlineStr">
        <is>
          <t>LV power feeder</t>
        </is>
      </c>
      <c r="E6112" s="12" t="inlineStr"/>
      <c r="F6112" s="12" t="inlineStr">
        <is>
          <t>LNG 17: LNG e-house (13.8 kV / 480 V)</t>
        </is>
      </c>
      <c r="G6112" s="12" t="inlineStr"/>
      <c r="H6112" s="12" t="inlineStr">
        <is>
          <t>M&amp;R 2: insulating joint + ESD valve</t>
        </is>
      </c>
      <c r="I6112" s="12" t="inlineStr">
        <is>
          <t>LV 600 V</t>
        </is>
      </c>
      <c r="J6112" s="12" t="inlineStr">
        <is>
          <t>ARMOR-X MC-HL 600 V 3/C Cu XHHW-2 + ground, CWA, black PVC (Class I Div 2)</t>
        </is>
      </c>
      <c r="K6112" s="12" t="inlineStr">
        <is>
          <t>LVAX|3/C+G|6</t>
        </is>
      </c>
      <c r="L6112" s="12" t="inlineStr">
        <is>
          <t>3/C+G</t>
        </is>
      </c>
      <c r="M6112" s="12" t="inlineStr">
        <is>
          <t>6</t>
        </is>
      </c>
      <c r="N6112" s="12" t="n">
        <v>1</v>
      </c>
      <c r="O6112" s="12" t="n">
        <v>1</v>
      </c>
      <c r="P6112" s="12" t="n">
        <v>480</v>
      </c>
      <c r="Q6112" s="12" t="n">
        <v>10</v>
      </c>
      <c r="R6112" s="12" t="n">
        <v>14.2</v>
      </c>
      <c r="S6112" s="12" t="inlineStr">
        <is>
          <t>Duct bank</t>
        </is>
      </c>
      <c r="T6112" s="15" t="n">
        <v>758</v>
      </c>
      <c r="U6112" s="15" t="n">
        <v>32</v>
      </c>
      <c r="V6112" s="15">
        <f>ROUNDUP((T6112+U6112+2*'Read Me'!$B$13)*(1+'Read Me'!$B$12),-1)</f>
        <v/>
      </c>
      <c r="W6112" s="15">
        <f>V6112*N6112*O6112</f>
        <v/>
      </c>
      <c r="X6112" s="12">
        <f>IF(LEFT(I6112,2)="MV",2*N6112*IF(L6112="1/C",O6112,1),0)</f>
        <v/>
      </c>
      <c r="Y6112" s="12">
        <f>IF(OR(LEFT(K6112,4)="LVAX",LEFT(K6112,6)="MV15AX",LEFT(K6112,4)="CTAX",LEFT(K6112,2)="W|"),2*N6112*O6112,0)</f>
        <v/>
      </c>
      <c r="Z6112" s="12" t="inlineStr">
        <is>
          <t>VD 2.2 %</t>
        </is>
      </c>
      <c r="AA6112" s="12">
        <f>N6112*O6112</f>
        <v/>
      </c>
    </row>
    <row r="6113">
      <c r="A6113" s="12" t="inlineStr">
        <is>
          <t>K-P-0045</t>
        </is>
      </c>
      <c r="B6113" s="12" t="inlineStr">
        <is>
          <t>K</t>
        </is>
      </c>
      <c r="C6113" s="12" t="inlineStr">
        <is>
          <t>Fuel supply (adjacent market)</t>
        </is>
      </c>
      <c r="D6113" s="12" t="inlineStr">
        <is>
          <t>LV power feeder</t>
        </is>
      </c>
      <c r="E6113" s="12" t="inlineStr"/>
      <c r="F6113" s="12" t="inlineStr">
        <is>
          <t>LNG 17: LNG e-house (13.8 kV / 480 V)</t>
        </is>
      </c>
      <c r="G6113" s="12" t="inlineStr"/>
      <c r="H6113" s="12" t="inlineStr">
        <is>
          <t>M&amp;R 3: horizontal filter-separator</t>
        </is>
      </c>
      <c r="I6113" s="12" t="inlineStr">
        <is>
          <t>LV 600 V</t>
        </is>
      </c>
      <c r="J6113" s="12" t="inlineStr">
        <is>
          <t>ARMOR-X MC-HL 600 V 3/C Cu XHHW-2 + ground, CWA, black PVC (Class I Div 2)</t>
        </is>
      </c>
      <c r="K6113" s="12" t="inlineStr">
        <is>
          <t>LVAX|3/C+G|4</t>
        </is>
      </c>
      <c r="L6113" s="12" t="inlineStr">
        <is>
          <t>3/C+G</t>
        </is>
      </c>
      <c r="M6113" s="12" t="inlineStr">
        <is>
          <t>4</t>
        </is>
      </c>
      <c r="N6113" s="12" t="n">
        <v>1</v>
      </c>
      <c r="O6113" s="12" t="n">
        <v>1</v>
      </c>
      <c r="P6113" s="12" t="n">
        <v>480</v>
      </c>
      <c r="Q6113" s="12" t="n">
        <v>15</v>
      </c>
      <c r="R6113" s="12" t="n">
        <v>21.2</v>
      </c>
      <c r="S6113" s="12" t="inlineStr">
        <is>
          <t>Duct bank</t>
        </is>
      </c>
      <c r="T6113" s="15" t="n">
        <v>797</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2.2 %</t>
        </is>
      </c>
      <c r="AA6113" s="12">
        <f>N6113*O6113</f>
        <v/>
      </c>
    </row>
    <row r="6114">
      <c r="A6114" s="12" t="inlineStr">
        <is>
          <t>K-P-0046</t>
        </is>
      </c>
      <c r="B6114" s="12" t="inlineStr">
        <is>
          <t>K</t>
        </is>
      </c>
      <c r="C6114" s="12" t="inlineStr">
        <is>
          <t>Fuel supply (adjacent market)</t>
        </is>
      </c>
      <c r="D6114" s="12" t="inlineStr">
        <is>
          <t>LV power feeder</t>
        </is>
      </c>
      <c r="E6114" s="12" t="inlineStr"/>
      <c r="F6114" s="12" t="inlineStr">
        <is>
          <t>LNG 17: LNG e-house (13.8 kV / 480 V)</t>
        </is>
      </c>
      <c r="G6114" s="12" t="inlineStr"/>
      <c r="H6114" s="12" t="inlineStr">
        <is>
          <t>M&amp;R 4: line heater 1 (water bath)</t>
        </is>
      </c>
      <c r="I6114" s="12" t="inlineStr">
        <is>
          <t>LV 600 V</t>
        </is>
      </c>
      <c r="J6114" s="12" t="inlineStr">
        <is>
          <t>ARMOR-X MC-HL 600 V 3/C Cu XHHW-2 + ground, CWA, black PVC (Class I Div 2)</t>
        </is>
      </c>
      <c r="K6114" s="12" t="inlineStr">
        <is>
          <t>LVAX|3/C+G|6</t>
        </is>
      </c>
      <c r="L6114" s="12" t="inlineStr">
        <is>
          <t>3/C+G</t>
        </is>
      </c>
      <c r="M6114" s="12" t="inlineStr">
        <is>
          <t>6</t>
        </is>
      </c>
      <c r="N6114" s="12" t="n">
        <v>1</v>
      </c>
      <c r="O6114" s="12" t="n">
        <v>1</v>
      </c>
      <c r="P6114" s="12" t="n">
        <v>480</v>
      </c>
      <c r="Q6114" s="12" t="n">
        <v>15</v>
      </c>
      <c r="R6114" s="12" t="n">
        <v>21.2</v>
      </c>
      <c r="S6114" s="12" t="inlineStr">
        <is>
          <t>Duct bank</t>
        </is>
      </c>
      <c r="T6114" s="15" t="n">
        <v>593</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2.6 %</t>
        </is>
      </c>
      <c r="AA6114" s="12">
        <f>N6114*O6114</f>
        <v/>
      </c>
    </row>
    <row r="6115">
      <c r="A6115" s="12" t="inlineStr">
        <is>
          <t>K-P-0047</t>
        </is>
      </c>
      <c r="B6115" s="12" t="inlineStr">
        <is>
          <t>K</t>
        </is>
      </c>
      <c r="C6115" s="12" t="inlineStr">
        <is>
          <t>Fuel supply (adjacent market)</t>
        </is>
      </c>
      <c r="D6115" s="12" t="inlineStr">
        <is>
          <t>LV power feeder</t>
        </is>
      </c>
      <c r="E6115" s="12" t="inlineStr"/>
      <c r="F6115" s="12" t="inlineStr">
        <is>
          <t>LNG 17: LNG e-house (13.8 kV / 480 V)</t>
        </is>
      </c>
      <c r="G6115" s="12" t="inlineStr"/>
      <c r="H6115" s="12" t="inlineStr">
        <is>
          <t>M&amp;R 4: line heater 2 (water bath)</t>
        </is>
      </c>
      <c r="I6115" s="12" t="inlineStr">
        <is>
          <t>LV 600 V</t>
        </is>
      </c>
      <c r="J6115" s="12" t="inlineStr">
        <is>
          <t>ARMOR-X MC-HL 600 V 3/C Cu XHHW-2 + ground, CWA, black PVC (Class I Div 2)</t>
        </is>
      </c>
      <c r="K6115" s="12" t="inlineStr">
        <is>
          <t>LVAX|3/C+G|6</t>
        </is>
      </c>
      <c r="L6115" s="12" t="inlineStr">
        <is>
          <t>3/C+G</t>
        </is>
      </c>
      <c r="M6115" s="12" t="inlineStr">
        <is>
          <t>6</t>
        </is>
      </c>
      <c r="N6115" s="12" t="n">
        <v>1</v>
      </c>
      <c r="O6115" s="12" t="n">
        <v>1</v>
      </c>
      <c r="P6115" s="12" t="n">
        <v>480</v>
      </c>
      <c r="Q6115" s="12" t="n">
        <v>15</v>
      </c>
      <c r="R6115" s="12" t="n">
        <v>21.2</v>
      </c>
      <c r="S6115" s="12" t="inlineStr">
        <is>
          <t>Duct bank</t>
        </is>
      </c>
      <c r="T6115" s="15" t="n">
        <v>593</v>
      </c>
      <c r="U6115" s="15" t="n">
        <v>50</v>
      </c>
      <c r="V6115" s="15">
        <f>ROUNDUP((T6115+U6115+2*'Read Me'!$B$13)*(1+'Read Me'!$B$12),-1)</f>
        <v/>
      </c>
      <c r="W6115" s="15">
        <f>V6115*N6115*O6115</f>
        <v/>
      </c>
      <c r="X6115" s="12">
        <f>IF(LEFT(I6115,2)="MV",2*N6115*IF(L6115="1/C",O6115,1),0)</f>
        <v/>
      </c>
      <c r="Y6115" s="12">
        <f>IF(OR(LEFT(K6115,4)="LVAX",LEFT(K6115,6)="MV15AX",LEFT(K6115,4)="CTAX",LEFT(K6115,2)="W|"),2*N6115*O6115,0)</f>
        <v/>
      </c>
      <c r="Z6115" s="12" t="inlineStr">
        <is>
          <t>VD 2.7 %</t>
        </is>
      </c>
      <c r="AA6115" s="12">
        <f>N6115*O6115</f>
        <v/>
      </c>
    </row>
    <row r="6116">
      <c r="A6116" s="12" t="inlineStr">
        <is>
          <t>K-P-0048</t>
        </is>
      </c>
      <c r="B6116" s="12" t="inlineStr">
        <is>
          <t>K</t>
        </is>
      </c>
      <c r="C6116" s="12" t="inlineStr">
        <is>
          <t>Fuel supply (adjacent market)</t>
        </is>
      </c>
      <c r="D6116" s="12" t="inlineStr">
        <is>
          <t>LV power feeder</t>
        </is>
      </c>
      <c r="E6116" s="12" t="inlineStr"/>
      <c r="F6116" s="12" t="inlineStr">
        <is>
          <t>LNG 17: LNG e-house (13.8 kV / 480 V)</t>
        </is>
      </c>
      <c r="G6116" s="12" t="inlineStr"/>
      <c r="H6116" s="12" t="inlineStr">
        <is>
          <t>M&amp;R 4: line heater 3 (water bath)</t>
        </is>
      </c>
      <c r="I6116" s="12" t="inlineStr">
        <is>
          <t>LV 600 V</t>
        </is>
      </c>
      <c r="J6116" s="12" t="inlineStr">
        <is>
          <t>ARMOR-X MC-HL 600 V 3/C Cu XHHW-2 + ground, CWA, black PVC (Class I Div 2)</t>
        </is>
      </c>
      <c r="K6116" s="12" t="inlineStr">
        <is>
          <t>LVAX|3/C+G|6</t>
        </is>
      </c>
      <c r="L6116" s="12" t="inlineStr">
        <is>
          <t>3/C+G</t>
        </is>
      </c>
      <c r="M6116" s="12" t="inlineStr">
        <is>
          <t>6</t>
        </is>
      </c>
      <c r="N6116" s="12" t="n">
        <v>1</v>
      </c>
      <c r="O6116" s="12" t="n">
        <v>1</v>
      </c>
      <c r="P6116" s="12" t="n">
        <v>480</v>
      </c>
      <c r="Q6116" s="12" t="n">
        <v>15</v>
      </c>
      <c r="R6116" s="12" t="n">
        <v>21.2</v>
      </c>
      <c r="S6116" s="12" t="inlineStr">
        <is>
          <t>Duct bank</t>
        </is>
      </c>
      <c r="T6116" s="15" t="n">
        <v>593</v>
      </c>
      <c r="U6116" s="15" t="n">
        <v>68</v>
      </c>
      <c r="V6116" s="15">
        <f>ROUNDUP((T6116+U6116+2*'Read Me'!$B$13)*(1+'Read Me'!$B$12),-1)</f>
        <v/>
      </c>
      <c r="W6116" s="15">
        <f>V6116*N6116*O6116</f>
        <v/>
      </c>
      <c r="X6116" s="12">
        <f>IF(LEFT(I6116,2)="MV",2*N6116*IF(L6116="1/C",O6116,1),0)</f>
        <v/>
      </c>
      <c r="Y6116" s="12">
        <f>IF(OR(LEFT(K6116,4)="LVAX",LEFT(K6116,6)="MV15AX",LEFT(K6116,4)="CTAX",LEFT(K6116,2)="W|"),2*N6116*O6116,0)</f>
        <v/>
      </c>
      <c r="Z6116" s="12" t="inlineStr">
        <is>
          <t>VD 2.7 %</t>
        </is>
      </c>
      <c r="AA6116" s="12">
        <f>N6116*O6116</f>
        <v/>
      </c>
    </row>
    <row r="6117">
      <c r="A6117" s="12" t="inlineStr">
        <is>
          <t>K-P-0049</t>
        </is>
      </c>
      <c r="B6117" s="12" t="inlineStr">
        <is>
          <t>K</t>
        </is>
      </c>
      <c r="C6117" s="12" t="inlineStr">
        <is>
          <t>Fuel supply (adjacent market)</t>
        </is>
      </c>
      <c r="D6117" s="12" t="inlineStr">
        <is>
          <t>LV panel / distribution feeder</t>
        </is>
      </c>
      <c r="E6117" s="12" t="inlineStr"/>
      <c r="F6117" s="12" t="inlineStr">
        <is>
          <t>LNG 17: LNG e-house (13.8 kV / 480 V)</t>
        </is>
      </c>
      <c r="G6117" s="12" t="inlineStr"/>
      <c r="H6117" s="12" t="inlineStr">
        <is>
          <t>M&amp;R 6: regulation / flow control building</t>
        </is>
      </c>
      <c r="I6117" s="12" t="inlineStr">
        <is>
          <t>LV 600 V</t>
        </is>
      </c>
      <c r="J6117" s="12" t="inlineStr">
        <is>
          <t>ARMOR-X MC-HL 600 V 3/C Cu XHHW-2 + ground, CWA, black PVC (Class I Div 2)</t>
        </is>
      </c>
      <c r="K6117" s="12" t="inlineStr">
        <is>
          <t>LVAX|3/C+G|8</t>
        </is>
      </c>
      <c r="L6117" s="12" t="inlineStr">
        <is>
          <t>3/C+G</t>
        </is>
      </c>
      <c r="M6117" s="12" t="inlineStr">
        <is>
          <t>8</t>
        </is>
      </c>
      <c r="N6117" s="12" t="n">
        <v>1</v>
      </c>
      <c r="O6117" s="12" t="n">
        <v>1</v>
      </c>
      <c r="P6117" s="12" t="n">
        <v>480</v>
      </c>
      <c r="Q6117" s="12" t="n">
        <v>10</v>
      </c>
      <c r="R6117" s="12" t="n">
        <v>14.2</v>
      </c>
      <c r="S6117" s="12" t="inlineStr">
        <is>
          <t>Duct bank</t>
        </is>
      </c>
      <c r="T6117" s="15" t="n">
        <v>470</v>
      </c>
      <c r="U6117" s="15" t="n">
        <v>70</v>
      </c>
      <c r="V6117" s="15">
        <f>ROUNDUP((T6117+U6117+2*'Read Me'!$B$13)*(1+'Read Me'!$B$12),-1)</f>
        <v/>
      </c>
      <c r="W6117" s="15">
        <f>V6117*N6117*O6117</f>
        <v/>
      </c>
      <c r="X6117" s="12">
        <f>IF(LEFT(I6117,2)="MV",2*N6117*IF(L6117="1/C",O6117,1),0)</f>
        <v/>
      </c>
      <c r="Y6117" s="12">
        <f>IF(OR(LEFT(K6117,4)="LVAX",LEFT(K6117,6)="MV15AX",LEFT(K6117,4)="CTAX",LEFT(K6117,2)="W|"),2*N6117*O6117,0)</f>
        <v/>
      </c>
      <c r="Z6117" s="12" t="inlineStr">
        <is>
          <t>VD 2.3 %</t>
        </is>
      </c>
      <c r="AA6117" s="12">
        <f>N6117*O6117</f>
        <v/>
      </c>
    </row>
    <row r="6118">
      <c r="A6118" s="12" t="inlineStr">
        <is>
          <t>K-P-0050</t>
        </is>
      </c>
      <c r="B6118" s="12" t="inlineStr">
        <is>
          <t>K</t>
        </is>
      </c>
      <c r="C6118" s="12" t="inlineStr">
        <is>
          <t>Fuel supply (adjacent market)</t>
        </is>
      </c>
      <c r="D6118" s="12" t="inlineStr">
        <is>
          <t>LV panel / distribution feeder</t>
        </is>
      </c>
      <c r="E6118" s="12" t="inlineStr"/>
      <c r="F6118" s="12" t="inlineStr">
        <is>
          <t>LNG 17: LNG e-house (13.8 kV / 480 V)</t>
        </is>
      </c>
      <c r="G6118" s="12" t="inlineStr"/>
      <c r="H6118" s="12" t="inlineStr">
        <is>
          <t>M&amp;R 7: gas quality + measurement building</t>
        </is>
      </c>
      <c r="I6118" s="12" t="inlineStr">
        <is>
          <t>LV 600 V</t>
        </is>
      </c>
      <c r="J6118" s="12" t="inlineStr">
        <is>
          <t>ARMOR-X MC-HL 600 V 3/C Cu XHHW-2 + ground, CWA, black PVC (Class I Div 2)</t>
        </is>
      </c>
      <c r="K6118" s="12" t="inlineStr">
        <is>
          <t>LVAX|3/C+G|2</t>
        </is>
      </c>
      <c r="L6118" s="12" t="inlineStr">
        <is>
          <t>3/C+G</t>
        </is>
      </c>
      <c r="M6118" s="12" t="inlineStr">
        <is>
          <t>2</t>
        </is>
      </c>
      <c r="N6118" s="12" t="n">
        <v>1</v>
      </c>
      <c r="O6118" s="12" t="n">
        <v>1</v>
      </c>
      <c r="P6118" s="12" t="n">
        <v>480</v>
      </c>
      <c r="Q6118" s="12" t="n">
        <v>30</v>
      </c>
      <c r="R6118" s="12" t="n">
        <v>42.5</v>
      </c>
      <c r="S6118" s="12" t="inlineStr">
        <is>
          <t>Duct bank</t>
        </is>
      </c>
      <c r="T6118" s="15" t="n">
        <v>616</v>
      </c>
      <c r="U6118" s="15" t="n">
        <v>52</v>
      </c>
      <c r="V6118" s="15">
        <f>ROUNDUP((T6118+U6118+2*'Read Me'!$B$13)*(1+'Read Me'!$B$12),-1)</f>
        <v/>
      </c>
      <c r="W6118" s="15">
        <f>V6118*N6118*O6118</f>
        <v/>
      </c>
      <c r="X6118" s="12">
        <f>IF(LEFT(I6118,2)="MV",2*N6118*IF(L6118="1/C",O6118,1),0)</f>
        <v/>
      </c>
      <c r="Y6118" s="12">
        <f>IF(OR(LEFT(K6118,4)="LVAX",LEFT(K6118,6)="MV15AX",LEFT(K6118,4)="CTAX",LEFT(K6118,2)="W|"),2*N6118*O6118,0)</f>
        <v/>
      </c>
      <c r="Z6118" s="12" t="inlineStr">
        <is>
          <t>VD 2.2 %</t>
        </is>
      </c>
      <c r="AA6118" s="12">
        <f>N6118*O6118</f>
        <v/>
      </c>
    </row>
    <row r="6119">
      <c r="A6119" s="12" t="inlineStr">
        <is>
          <t>K-P-0051</t>
        </is>
      </c>
      <c r="B6119" s="12" t="inlineStr">
        <is>
          <t>K</t>
        </is>
      </c>
      <c r="C6119" s="12" t="inlineStr">
        <is>
          <t>Fuel supply (adjacent market)</t>
        </is>
      </c>
      <c r="D6119" s="12" t="inlineStr">
        <is>
          <t>LV power feeder</t>
        </is>
      </c>
      <c r="E6119" s="12" t="inlineStr"/>
      <c r="F6119" s="12" t="inlineStr">
        <is>
          <t>LNG 17: LNG e-house (13.8 kV / 480 V)</t>
        </is>
      </c>
      <c r="G6119" s="12" t="inlineStr"/>
      <c r="H6119" s="12" t="inlineStr">
        <is>
          <t>M&amp;R 8: condensate tank</t>
        </is>
      </c>
      <c r="I6119" s="12" t="inlineStr">
        <is>
          <t>LV 600 V</t>
        </is>
      </c>
      <c r="J6119" s="12" t="inlineStr">
        <is>
          <t>ARMOR-X MC-HL 600 V 3/C Cu XHHW-2 + ground, CWA, black PVC (Class I Div 2)</t>
        </is>
      </c>
      <c r="K6119" s="12" t="inlineStr">
        <is>
          <t>LVAX|3/C+G|8</t>
        </is>
      </c>
      <c r="L6119" s="12" t="inlineStr">
        <is>
          <t>3/C+G</t>
        </is>
      </c>
      <c r="M6119" s="12" t="inlineStr">
        <is>
          <t>8</t>
        </is>
      </c>
      <c r="N6119" s="12" t="n">
        <v>1</v>
      </c>
      <c r="O6119" s="12" t="n">
        <v>1</v>
      </c>
      <c r="P6119" s="12" t="n">
        <v>480</v>
      </c>
      <c r="Q6119" s="12" t="n">
        <v>10</v>
      </c>
      <c r="R6119" s="12" t="n">
        <v>14.2</v>
      </c>
      <c r="S6119" s="12" t="inlineStr">
        <is>
          <t>Duct bank</t>
        </is>
      </c>
      <c r="T6119" s="15" t="n">
        <v>530</v>
      </c>
      <c r="U6119" s="15" t="n">
        <v>87</v>
      </c>
      <c r="V6119" s="15">
        <f>ROUNDUP((T6119+U6119+2*'Read Me'!$B$13)*(1+'Read Me'!$B$12),-1)</f>
        <v/>
      </c>
      <c r="W6119" s="15">
        <f>V6119*N6119*O6119</f>
        <v/>
      </c>
      <c r="X6119" s="12">
        <f>IF(LEFT(I6119,2)="MV",2*N6119*IF(L6119="1/C",O6119,1),0)</f>
        <v/>
      </c>
      <c r="Y6119" s="12">
        <f>IF(OR(LEFT(K6119,4)="LVAX",LEFT(K6119,6)="MV15AX",LEFT(K6119,4)="CTAX",LEFT(K6119,2)="W|"),2*N6119*O6119,0)</f>
        <v/>
      </c>
      <c r="Z6119" s="12" t="inlineStr">
        <is>
          <t>VD 2.6 %</t>
        </is>
      </c>
      <c r="AA6119" s="12">
        <f>N6119*O6119</f>
        <v/>
      </c>
    </row>
    <row r="6120">
      <c r="A6120" s="12" t="inlineStr">
        <is>
          <t>K-P-0052</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M&amp;R 9: service panel + UPS, SCADA RTU, CP</t>
        </is>
      </c>
      <c r="I6120" s="12" t="inlineStr">
        <is>
          <t>LV 600 V</t>
        </is>
      </c>
      <c r="J6120" s="12" t="inlineStr">
        <is>
          <t>ARMOR-X MC-HL 600 V 3/C Cu XHHW-2 + ground, CWA, black PVC (Class I Div 2)</t>
        </is>
      </c>
      <c r="K6120" s="12" t="inlineStr">
        <is>
          <t>LVAX|3/C+G|6</t>
        </is>
      </c>
      <c r="L6120" s="12" t="inlineStr">
        <is>
          <t>3/C+G</t>
        </is>
      </c>
      <c r="M6120" s="12" t="inlineStr">
        <is>
          <t>6</t>
        </is>
      </c>
      <c r="N6120" s="12" t="n">
        <v>1</v>
      </c>
      <c r="O6120" s="12" t="n">
        <v>1</v>
      </c>
      <c r="P6120" s="12" t="n">
        <v>480</v>
      </c>
      <c r="Q6120" s="12" t="n">
        <v>15</v>
      </c>
      <c r="R6120" s="12" t="n">
        <v>21.2</v>
      </c>
      <c r="S6120" s="12" t="inlineStr">
        <is>
          <t>Duct bank</t>
        </is>
      </c>
      <c r="T6120" s="15" t="n">
        <v>466</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2.1 %</t>
        </is>
      </c>
      <c r="AA6120" s="12">
        <f>N6120*O6120</f>
        <v/>
      </c>
    </row>
    <row r="6121">
      <c r="A6121" s="12" t="inlineStr">
        <is>
          <t>K-P-0053</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CP test station (as drawn)</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15</v>
      </c>
      <c r="R6121" s="12" t="n">
        <v>21.2</v>
      </c>
      <c r="S6121" s="12" t="inlineStr">
        <is>
          <t>Duct bank</t>
        </is>
      </c>
      <c r="T6121" s="15" t="n">
        <v>441</v>
      </c>
      <c r="U6121" s="15" t="n">
        <v>42</v>
      </c>
      <c r="V6121" s="15">
        <f>ROUNDUP((T6121+U6121+2*'Read Me'!$B$13)*(1+'Read Me'!$B$12),-1)</f>
        <v/>
      </c>
      <c r="W6121" s="15">
        <f>V6121*N6121*O6121</f>
        <v/>
      </c>
      <c r="X6121" s="12">
        <f>IF(LEFT(I6121,2)="MV",2*N6121*IF(L6121="1/C",O6121,1),0)</f>
        <v/>
      </c>
      <c r="Y6121" s="12">
        <f>IF(OR(LEFT(K6121,4)="LVAX",LEFT(K6121,6)="MV15AX",LEFT(K6121,4)="CTAX",LEFT(K6121,2)="W|"),2*N6121*O6121,0)</f>
        <v/>
      </c>
      <c r="Z6121" s="12" t="inlineStr">
        <is>
          <t>VD 2.0 %</t>
        </is>
      </c>
      <c r="AA6121" s="12">
        <f>N6121*O6121</f>
        <v/>
      </c>
    </row>
    <row r="6122">
      <c r="A6122" s="12" t="inlineStr">
        <is>
          <t>K-P-0054</t>
        </is>
      </c>
      <c r="B6122" s="12" t="inlineStr">
        <is>
          <t>K</t>
        </is>
      </c>
      <c r="C6122" s="12" t="inlineStr">
        <is>
          <t>Fuel supply (adjacent market)</t>
        </is>
      </c>
      <c r="D6122" s="12" t="inlineStr">
        <is>
          <t>LV power feeder</t>
        </is>
      </c>
      <c r="E6122" s="12" t="inlineStr"/>
      <c r="F6122" s="12" t="inlineStr">
        <is>
          <t>LNG 17: LNG e-house (13.8 kV / 480 V)</t>
        </is>
      </c>
      <c r="G6122" s="12" t="inlineStr"/>
      <c r="H6122" s="12" t="inlineStr">
        <is>
          <t>M&amp;R SCADA antenna mast base (as drawn)</t>
        </is>
      </c>
      <c r="I6122" s="12" t="inlineStr">
        <is>
          <t>LV 600 V</t>
        </is>
      </c>
      <c r="J6122" s="12" t="inlineStr">
        <is>
          <t>ARMOR-X MC-HL 600 V 3/C Cu XHHW-2 + ground, CWA, black PVC (Class I Div 2)</t>
        </is>
      </c>
      <c r="K6122" s="12" t="inlineStr">
        <is>
          <t>LVAX|3/C+G|8</t>
        </is>
      </c>
      <c r="L6122" s="12" t="inlineStr">
        <is>
          <t>3/C+G</t>
        </is>
      </c>
      <c r="M6122" s="12" t="inlineStr">
        <is>
          <t>8</t>
        </is>
      </c>
      <c r="N6122" s="12" t="n">
        <v>1</v>
      </c>
      <c r="O6122" s="12" t="n">
        <v>1</v>
      </c>
      <c r="P6122" s="12" t="n">
        <v>480</v>
      </c>
      <c r="Q6122" s="12" t="n">
        <v>15</v>
      </c>
      <c r="R6122" s="12" t="n">
        <v>21.2</v>
      </c>
      <c r="S6122" s="12" t="inlineStr">
        <is>
          <t>Duct bank</t>
        </is>
      </c>
      <c r="T6122" s="15" t="n">
        <v>433</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3.0 %</t>
        </is>
      </c>
      <c r="AA6122" s="12">
        <f>N6122*O6122</f>
        <v/>
      </c>
    </row>
    <row r="6123">
      <c r="A6123" s="12" t="inlineStr">
        <is>
          <t>K-MV-0001</t>
        </is>
      </c>
      <c r="B6123" s="12" t="inlineStr">
        <is>
          <t>K</t>
        </is>
      </c>
      <c r="C6123" s="12" t="inlineStr">
        <is>
          <t>Fuel supply (adjacent market)</t>
        </is>
      </c>
      <c r="D6123" s="12" t="inlineStr">
        <is>
          <t>H2 13.8 kV e-house (electrolyzers)</t>
        </is>
      </c>
      <c r="E6123" s="12" t="inlineStr">
        <is>
          <t>SWGR-13.8-3</t>
        </is>
      </c>
      <c r="F6123" s="12" t="inlineStr">
        <is>
          <t>R1 SWGR-13.8-3 (11 x 36 in cubicles, 15 kV metal-clad)</t>
        </is>
      </c>
      <c r="G6123" s="12" t="inlineStr"/>
      <c r="H6123" s="12" t="inlineStr">
        <is>
          <t>H2 20: 13.8 kV e-house</t>
        </is>
      </c>
      <c r="I6123" s="12" t="inlineStr">
        <is>
          <t>MV 15 kV</t>
        </is>
      </c>
      <c r="J6123" s="12" t="inlineStr">
        <is>
          <t>MV-105 15 kV 1/C Cu, EPR 133%, Cu tape shield, PVC jacket (triplexed)</t>
        </is>
      </c>
      <c r="K6123" s="12" t="inlineStr">
        <is>
          <t>MV15|1/C|750</t>
        </is>
      </c>
      <c r="L6123" s="12" t="inlineStr">
        <is>
          <t>1/C</t>
        </is>
      </c>
      <c r="M6123" s="12" t="inlineStr">
        <is>
          <t>750 kcmil</t>
        </is>
      </c>
      <c r="N6123" s="12" t="n">
        <v>2</v>
      </c>
      <c r="O6123" s="12" t="n">
        <v>3</v>
      </c>
      <c r="P6123" s="12" t="n">
        <v>13800</v>
      </c>
      <c r="Q6123" s="12" t="n">
        <v>20000</v>
      </c>
      <c r="R6123" s="12" t="n">
        <v>837</v>
      </c>
      <c r="S6123" s="12" t="inlineStr">
        <is>
          <t>HV duct bank</t>
        </is>
      </c>
      <c r="T6123" s="15" t="n">
        <v>4013</v>
      </c>
      <c r="U6123" s="15" t="n">
        <v>128</v>
      </c>
      <c r="V6123" s="15">
        <f>ROUNDUP((T6123+U6123+2*'Read Me'!$B$13)*(1+'Read Me'!$B$12),-1)</f>
        <v/>
      </c>
      <c r="W6123" s="15">
        <f>V6123*N6123*O6123</f>
        <v/>
      </c>
      <c r="X6123" s="12">
        <f>IF(LEFT(I6123,2)="MV",2*N6123*IF(L6123="1/C",O6123,1),0)</f>
        <v/>
      </c>
      <c r="Y6123" s="12">
        <f>IF(OR(LEFT(K6123,4)="LVAX",LEFT(K6123,6)="MV15AX",LEFT(K6123,4)="CTAX",LEFT(K6123,2)="W|"),2*N6123*O6123,0)</f>
        <v/>
      </c>
      <c r="Z6123" s="12" t="inlineStr"/>
      <c r="AA6123" s="12">
        <f>N6123*O6123</f>
        <v/>
      </c>
    </row>
    <row r="6124">
      <c r="A6124" s="12" t="inlineStr">
        <is>
          <t>K-MV-0002</t>
        </is>
      </c>
      <c r="B6124" s="12" t="inlineStr">
        <is>
          <t>K</t>
        </is>
      </c>
      <c r="C6124" s="12" t="inlineStr">
        <is>
          <t>Fuel supply (adjacent market)</t>
        </is>
      </c>
      <c r="D6124" s="12" t="inlineStr">
        <is>
          <t>LNG e-house</t>
        </is>
      </c>
      <c r="E6124" s="12" t="inlineStr">
        <is>
          <t>SWGR-13.8-3</t>
        </is>
      </c>
      <c r="F6124" s="12" t="inlineStr">
        <is>
          <t>R1 SWGR-13.8-3 (11 x 36 in cubicles, 15 kV metal-clad)</t>
        </is>
      </c>
      <c r="G6124" s="12" t="inlineStr"/>
      <c r="H6124" s="12" t="inlineStr">
        <is>
          <t>LNG 17: LNG e-house (13.8 kV / 480 V)</t>
        </is>
      </c>
      <c r="I6124" s="12" t="inlineStr">
        <is>
          <t>MV 15 kV</t>
        </is>
      </c>
      <c r="J6124" s="12" t="inlineStr">
        <is>
          <t>MV-105 15 kV 1/C Cu, EPR 133%, Cu tape shield, PVC jacket (triplexed)</t>
        </is>
      </c>
      <c r="K6124" s="12" t="inlineStr">
        <is>
          <t>MV15|1/C|4/0</t>
        </is>
      </c>
      <c r="L6124" s="12" t="inlineStr">
        <is>
          <t>1/C</t>
        </is>
      </c>
      <c r="M6124" s="12" t="inlineStr">
        <is>
          <t>4/0</t>
        </is>
      </c>
      <c r="N6124" s="12" t="n">
        <v>1</v>
      </c>
      <c r="O6124" s="12" t="n">
        <v>3</v>
      </c>
      <c r="P6124" s="12" t="n">
        <v>13800</v>
      </c>
      <c r="Q6124" s="12" t="n">
        <v>5000</v>
      </c>
      <c r="R6124" s="12" t="n">
        <v>209</v>
      </c>
      <c r="S6124" s="12" t="inlineStr">
        <is>
          <t>Duct bank</t>
        </is>
      </c>
      <c r="T6124" s="15" t="n">
        <v>2649</v>
      </c>
      <c r="U6124" s="15" t="n">
        <v>219</v>
      </c>
      <c r="V6124" s="15">
        <f>ROUNDUP((T6124+U6124+2*'Read Me'!$B$13)*(1+'Read Me'!$B$12),-1)</f>
        <v/>
      </c>
      <c r="W6124" s="15">
        <f>V6124*N6124*O6124</f>
        <v/>
      </c>
      <c r="X6124" s="12">
        <f>IF(LEFT(I6124,2)="MV",2*N6124*IF(L6124="1/C",O6124,1),0)</f>
        <v/>
      </c>
      <c r="Y6124" s="12">
        <f>IF(OR(LEFT(K6124,4)="LVAX",LEFT(K6124,6)="MV15AX",LEFT(K6124,4)="CTAX",LEFT(K6124,2)="W|"),2*N6124*O6124,0)</f>
        <v/>
      </c>
      <c r="Z6124" s="12" t="inlineStr"/>
      <c r="AA6124" s="12">
        <f>N6124*O6124</f>
        <v/>
      </c>
    </row>
    <row r="6125">
      <c r="A6125" s="12" t="inlineStr">
        <is>
          <t>C-C-0128</t>
        </is>
      </c>
      <c r="B6125" s="12" t="inlineStr">
        <is>
          <t>C</t>
        </is>
      </c>
      <c r="C6125" s="12" t="inlineStr">
        <is>
          <t>Grid interface</t>
        </is>
      </c>
      <c r="D6125" s="12" t="inlineStr">
        <is>
          <t>Motor 1 of 10: control / local station</t>
        </is>
      </c>
      <c r="E6125" s="12" t="inlineStr">
        <is>
          <t>MCC-C1</t>
        </is>
      </c>
      <c r="F6125" s="12" t="inlineStr">
        <is>
          <t>R1 MCC-C1</t>
        </is>
      </c>
      <c r="G6125" s="12" t="inlineStr"/>
      <c r="H6125" s="12" t="inlineStr">
        <is>
          <t xml:space="preserve">CO2 compression 3 x ~19 MW + dehydration: rooftop HVAC, exhaust fans, </t>
        </is>
      </c>
      <c r="I6125" s="12" t="inlineStr">
        <is>
          <t>Control</t>
        </is>
      </c>
      <c r="J6125" s="12" t="inlineStr">
        <is>
          <t>Control cable 600 V Type TC-ER, Cu #14 AWG, PVC jacket</t>
        </is>
      </c>
      <c r="K6125" s="12" t="inlineStr">
        <is>
          <t>CT|7/C|14</t>
        </is>
      </c>
      <c r="L6125" s="12" t="inlineStr">
        <is>
          <t>7/C</t>
        </is>
      </c>
      <c r="M6125" s="12" t="inlineStr">
        <is>
          <t>14</t>
        </is>
      </c>
      <c r="N6125" s="12" t="n">
        <v>1</v>
      </c>
      <c r="O6125" s="12" t="n">
        <v>1</v>
      </c>
      <c r="P6125" s="12" t="n"/>
      <c r="Q6125" s="12" t="n"/>
      <c r="R6125" s="12" t="n"/>
      <c r="S6125" s="12" t="inlineStr">
        <is>
          <t>Tray</t>
        </is>
      </c>
      <c r="T6125" s="15" t="n">
        <v>1744</v>
      </c>
      <c r="U6125" s="15" t="n">
        <v>161</v>
      </c>
      <c r="V6125" s="15">
        <f>ROUNDUP((T6125+U6125+2*'Read Me'!$B$13)*(1+'Read Me'!$B$12),-1)</f>
        <v/>
      </c>
      <c r="W6125" s="15">
        <f>V6125*N6125*O6125</f>
        <v/>
      </c>
      <c r="X6125" s="12">
        <f>IF(LEFT(I6125,2)="MV",2*N6125*IF(L6125="1/C",O6125,1),0)</f>
        <v/>
      </c>
      <c r="Y6125" s="12">
        <f>IF(OR(LEFT(K6125,4)="LVAX",LEFT(K6125,6)="MV15AX",LEFT(K6125,4)="CTAX",LEFT(K6125,2)="W|"),2*N6125*O6125,0)</f>
        <v/>
      </c>
      <c r="Z6125" s="12" t="inlineStr"/>
      <c r="AA6125" s="12">
        <f>N6125*O6125</f>
        <v/>
      </c>
    </row>
    <row r="6126">
      <c r="A6126" s="12" t="inlineStr">
        <is>
          <t>C-C-0129</t>
        </is>
      </c>
      <c r="B6126" s="12" t="inlineStr">
        <is>
          <t>C</t>
        </is>
      </c>
      <c r="C6126" s="12" t="inlineStr">
        <is>
          <t>Grid interface</t>
        </is>
      </c>
      <c r="D6126" s="12" t="inlineStr">
        <is>
          <t>Motor 2 of 10: control / local station</t>
        </is>
      </c>
      <c r="E6126" s="12" t="inlineStr">
        <is>
          <t>MCC-C1</t>
        </is>
      </c>
      <c r="F6126" s="12" t="inlineStr">
        <is>
          <t>R1 MCC-C1</t>
        </is>
      </c>
      <c r="G6126" s="12" t="inlineStr"/>
      <c r="H6126" s="12" t="inlineStr">
        <is>
          <t xml:space="preserve">CO2 compression 3 x ~19 MW + dehydration: rooftop HVAC, exhaust fans, </t>
        </is>
      </c>
      <c r="I6126" s="12" t="inlineStr">
        <is>
          <t>Control</t>
        </is>
      </c>
      <c r="J6126" s="12" t="inlineStr">
        <is>
          <t>Control cable 600 V Type TC-ER, Cu #14 AWG, PVC jacket</t>
        </is>
      </c>
      <c r="K6126" s="12" t="inlineStr">
        <is>
          <t>CT|7/C|14</t>
        </is>
      </c>
      <c r="L6126" s="12" t="inlineStr">
        <is>
          <t>7/C</t>
        </is>
      </c>
      <c r="M6126" s="12" t="inlineStr">
        <is>
          <t>14</t>
        </is>
      </c>
      <c r="N6126" s="12" t="n">
        <v>1</v>
      </c>
      <c r="O6126" s="12" t="n">
        <v>1</v>
      </c>
      <c r="P6126" s="12" t="n"/>
      <c r="Q6126" s="12" t="n"/>
      <c r="R6126" s="12" t="n"/>
      <c r="S6126" s="12" t="inlineStr">
        <is>
          <t>Tray</t>
        </is>
      </c>
      <c r="T6126" s="15" t="n">
        <v>1744</v>
      </c>
      <c r="U6126" s="15" t="n">
        <v>161</v>
      </c>
      <c r="V6126" s="15">
        <f>ROUNDUP((T6126+U6126+2*'Read Me'!$B$13)*(1+'Read Me'!$B$12),-1)</f>
        <v/>
      </c>
      <c r="W6126" s="15">
        <f>V6126*N6126*O6126</f>
        <v/>
      </c>
      <c r="X6126" s="12">
        <f>IF(LEFT(I6126,2)="MV",2*N6126*IF(L6126="1/C",O6126,1),0)</f>
        <v/>
      </c>
      <c r="Y6126" s="12">
        <f>IF(OR(LEFT(K6126,4)="LVAX",LEFT(K6126,6)="MV15AX",LEFT(K6126,4)="CTAX",LEFT(K6126,2)="W|"),2*N6126*O6126,0)</f>
        <v/>
      </c>
      <c r="Z6126" s="12" t="inlineStr"/>
      <c r="AA6126" s="12">
        <f>N6126*O6126</f>
        <v/>
      </c>
    </row>
    <row r="6127">
      <c r="A6127" s="12" t="inlineStr">
        <is>
          <t>C-C-0130</t>
        </is>
      </c>
      <c r="B6127" s="12" t="inlineStr">
        <is>
          <t>C</t>
        </is>
      </c>
      <c r="C6127" s="12" t="inlineStr">
        <is>
          <t>Grid interface</t>
        </is>
      </c>
      <c r="D6127" s="12" t="inlineStr">
        <is>
          <t>Motor 3 of 10: control / local station</t>
        </is>
      </c>
      <c r="E6127" s="12" t="inlineStr">
        <is>
          <t>MCC-C1</t>
        </is>
      </c>
      <c r="F6127" s="12" t="inlineStr">
        <is>
          <t>R1 MCC-C1</t>
        </is>
      </c>
      <c r="G6127" s="12" t="inlineStr"/>
      <c r="H6127" s="12" t="inlineStr">
        <is>
          <t xml:space="preserve">CO2 compression 3 x ~19 MW + dehydration: rooftop HVAC, exhaust fans, </t>
        </is>
      </c>
      <c r="I6127" s="12" t="inlineStr">
        <is>
          <t>Control</t>
        </is>
      </c>
      <c r="J6127" s="12" t="inlineStr">
        <is>
          <t>Control cable 600 V Type TC-ER, Cu #14 AWG, PVC jacket</t>
        </is>
      </c>
      <c r="K6127" s="12" t="inlineStr">
        <is>
          <t>CT|7/C|14</t>
        </is>
      </c>
      <c r="L6127" s="12" t="inlineStr">
        <is>
          <t>7/C</t>
        </is>
      </c>
      <c r="M6127" s="12" t="inlineStr">
        <is>
          <t>14</t>
        </is>
      </c>
      <c r="N6127" s="12" t="n">
        <v>1</v>
      </c>
      <c r="O6127" s="12" t="n">
        <v>1</v>
      </c>
      <c r="P6127" s="12" t="n"/>
      <c r="Q6127" s="12" t="n"/>
      <c r="R6127" s="12" t="n"/>
      <c r="S6127" s="12" t="inlineStr">
        <is>
          <t>Tray</t>
        </is>
      </c>
      <c r="T6127" s="15" t="n">
        <v>1744</v>
      </c>
      <c r="U6127" s="15" t="n">
        <v>161</v>
      </c>
      <c r="V6127" s="15">
        <f>ROUNDUP((T6127+U6127+2*'Read Me'!$B$13)*(1+'Read Me'!$B$12),-1)</f>
        <v/>
      </c>
      <c r="W6127" s="15">
        <f>V6127*N6127*O6127</f>
        <v/>
      </c>
      <c r="X6127" s="12">
        <f>IF(LEFT(I6127,2)="MV",2*N6127*IF(L6127="1/C",O6127,1),0)</f>
        <v/>
      </c>
      <c r="Y6127" s="12">
        <f>IF(OR(LEFT(K6127,4)="LVAX",LEFT(K6127,6)="MV15AX",LEFT(K6127,4)="CTAX",LEFT(K6127,2)="W|"),2*N6127*O6127,0)</f>
        <v/>
      </c>
      <c r="Z6127" s="12" t="inlineStr"/>
      <c r="AA6127" s="12">
        <f>N6127*O6127</f>
        <v/>
      </c>
    </row>
    <row r="6128">
      <c r="A6128" s="12" t="inlineStr">
        <is>
          <t>C-C-0131</t>
        </is>
      </c>
      <c r="B6128" s="12" t="inlineStr">
        <is>
          <t>C</t>
        </is>
      </c>
      <c r="C6128" s="12" t="inlineStr">
        <is>
          <t>Grid interface</t>
        </is>
      </c>
      <c r="D6128" s="12" t="inlineStr">
        <is>
          <t>Motor 4 of 10: control / local station</t>
        </is>
      </c>
      <c r="E6128" s="12" t="inlineStr">
        <is>
          <t>MCC-C1</t>
        </is>
      </c>
      <c r="F6128" s="12" t="inlineStr">
        <is>
          <t>R1 MCC-C1</t>
        </is>
      </c>
      <c r="G6128" s="12" t="inlineStr"/>
      <c r="H6128" s="12" t="inlineStr">
        <is>
          <t xml:space="preserve">CO2 compression 3 x ~19 MW + dehydration: rooftop HVAC, exhaust fans, </t>
        </is>
      </c>
      <c r="I6128" s="12" t="inlineStr">
        <is>
          <t>Control</t>
        </is>
      </c>
      <c r="J6128" s="12" t="inlineStr">
        <is>
          <t>Control cable 600 V Type TC-ER, Cu #14 AWG, PVC jacket</t>
        </is>
      </c>
      <c r="K6128" s="12" t="inlineStr">
        <is>
          <t>CT|7/C|14</t>
        </is>
      </c>
      <c r="L6128" s="12" t="inlineStr">
        <is>
          <t>7/C</t>
        </is>
      </c>
      <c r="M6128" s="12" t="inlineStr">
        <is>
          <t>14</t>
        </is>
      </c>
      <c r="N6128" s="12" t="n">
        <v>1</v>
      </c>
      <c r="O6128" s="12" t="n">
        <v>1</v>
      </c>
      <c r="P6128" s="12" t="n"/>
      <c r="Q6128" s="12" t="n"/>
      <c r="R6128" s="12" t="n"/>
      <c r="S6128" s="12" t="inlineStr">
        <is>
          <t>Tray</t>
        </is>
      </c>
      <c r="T6128" s="15" t="n">
        <v>1744</v>
      </c>
      <c r="U6128" s="15" t="n">
        <v>161</v>
      </c>
      <c r="V6128" s="15">
        <f>ROUNDUP((T6128+U6128+2*'Read Me'!$B$13)*(1+'Read Me'!$B$12),-1)</f>
        <v/>
      </c>
      <c r="W6128" s="15">
        <f>V6128*N6128*O6128</f>
        <v/>
      </c>
      <c r="X6128" s="12">
        <f>IF(LEFT(I6128,2)="MV",2*N6128*IF(L6128="1/C",O6128,1),0)</f>
        <v/>
      </c>
      <c r="Y6128" s="12">
        <f>IF(OR(LEFT(K6128,4)="LVAX",LEFT(K6128,6)="MV15AX",LEFT(K6128,4)="CTAX",LEFT(K6128,2)="W|"),2*N6128*O6128,0)</f>
        <v/>
      </c>
      <c r="Z6128" s="12" t="inlineStr"/>
      <c r="AA6128" s="12">
        <f>N6128*O6128</f>
        <v/>
      </c>
    </row>
    <row r="6129">
      <c r="A6129" s="12" t="inlineStr">
        <is>
          <t>C-C-0132</t>
        </is>
      </c>
      <c r="B6129" s="12" t="inlineStr">
        <is>
          <t>C</t>
        </is>
      </c>
      <c r="C6129" s="12" t="inlineStr">
        <is>
          <t>Grid interface</t>
        </is>
      </c>
      <c r="D6129" s="12" t="inlineStr">
        <is>
          <t>Motor 5 of 10: control / local station</t>
        </is>
      </c>
      <c r="E6129" s="12" t="inlineStr">
        <is>
          <t>MCC-C1</t>
        </is>
      </c>
      <c r="F6129" s="12" t="inlineStr">
        <is>
          <t>R1 MCC-C1</t>
        </is>
      </c>
      <c r="G6129" s="12" t="inlineStr"/>
      <c r="H6129" s="12" t="inlineStr">
        <is>
          <t xml:space="preserve">CO2 compression 3 x ~19 MW + dehydration: rooftop HVAC, exhaust fans, </t>
        </is>
      </c>
      <c r="I6129" s="12" t="inlineStr">
        <is>
          <t>Control</t>
        </is>
      </c>
      <c r="J6129" s="12" t="inlineStr">
        <is>
          <t>Control cable 600 V Type TC-ER, Cu #14 AWG, PVC jacket</t>
        </is>
      </c>
      <c r="K6129" s="12" t="inlineStr">
        <is>
          <t>CT|7/C|14</t>
        </is>
      </c>
      <c r="L6129" s="12" t="inlineStr">
        <is>
          <t>7/C</t>
        </is>
      </c>
      <c r="M6129" s="12" t="inlineStr">
        <is>
          <t>14</t>
        </is>
      </c>
      <c r="N6129" s="12" t="n">
        <v>1</v>
      </c>
      <c r="O6129" s="12" t="n">
        <v>1</v>
      </c>
      <c r="P6129" s="12" t="n"/>
      <c r="Q6129" s="12" t="n"/>
      <c r="R6129" s="12" t="n"/>
      <c r="S6129" s="12" t="inlineStr">
        <is>
          <t>Tray</t>
        </is>
      </c>
      <c r="T6129" s="15" t="n">
        <v>1744</v>
      </c>
      <c r="U6129" s="15" t="n">
        <v>161</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C-C-0133</t>
        </is>
      </c>
      <c r="B6130" s="12" t="inlineStr">
        <is>
          <t>C</t>
        </is>
      </c>
      <c r="C6130" s="12" t="inlineStr">
        <is>
          <t>Grid interface</t>
        </is>
      </c>
      <c r="D6130" s="12" t="inlineStr">
        <is>
          <t>Motor 6 of 10: control / local station</t>
        </is>
      </c>
      <c r="E6130" s="12" t="inlineStr">
        <is>
          <t>MCC-C1</t>
        </is>
      </c>
      <c r="F6130" s="12" t="inlineStr">
        <is>
          <t>R1 MCC-C1</t>
        </is>
      </c>
      <c r="G6130" s="12" t="inlineStr"/>
      <c r="H6130" s="12" t="inlineStr">
        <is>
          <t xml:space="preserve">CO2 compression 3 x ~19 MW + dehydration: rooftop HVAC, exhaust fans, </t>
        </is>
      </c>
      <c r="I6130" s="12" t="inlineStr">
        <is>
          <t>Control</t>
        </is>
      </c>
      <c r="J6130" s="12" t="inlineStr">
        <is>
          <t>Control cable 600 V Type TC-ER, Cu #14 AWG, PVC jacket</t>
        </is>
      </c>
      <c r="K6130" s="12" t="inlineStr">
        <is>
          <t>CT|7/C|14</t>
        </is>
      </c>
      <c r="L6130" s="12" t="inlineStr">
        <is>
          <t>7/C</t>
        </is>
      </c>
      <c r="M6130" s="12" t="inlineStr">
        <is>
          <t>14</t>
        </is>
      </c>
      <c r="N6130" s="12" t="n">
        <v>1</v>
      </c>
      <c r="O6130" s="12" t="n">
        <v>1</v>
      </c>
      <c r="P6130" s="12" t="n"/>
      <c r="Q6130" s="12" t="n"/>
      <c r="R6130" s="12" t="n"/>
      <c r="S6130" s="12" t="inlineStr">
        <is>
          <t>Tray</t>
        </is>
      </c>
      <c r="T6130" s="15" t="n">
        <v>1744</v>
      </c>
      <c r="U6130" s="15" t="n">
        <v>161</v>
      </c>
      <c r="V6130" s="15">
        <f>ROUNDUP((T6130+U6130+2*'Read Me'!$B$13)*(1+'Read Me'!$B$12),-1)</f>
        <v/>
      </c>
      <c r="W6130" s="15">
        <f>V6130*N6130*O6130</f>
        <v/>
      </c>
      <c r="X6130" s="12">
        <f>IF(LEFT(I6130,2)="MV",2*N6130*IF(L6130="1/C",O6130,1),0)</f>
        <v/>
      </c>
      <c r="Y6130" s="12">
        <f>IF(OR(LEFT(K6130,4)="LVAX",LEFT(K6130,6)="MV15AX",LEFT(K6130,4)="CTAX",LEFT(K6130,2)="W|"),2*N6130*O6130,0)</f>
        <v/>
      </c>
      <c r="Z6130" s="12" t="inlineStr"/>
      <c r="AA6130" s="12">
        <f>N6130*O6130</f>
        <v/>
      </c>
    </row>
    <row r="6131">
      <c r="A6131" s="12" t="inlineStr">
        <is>
          <t>C-C-0134</t>
        </is>
      </c>
      <c r="B6131" s="12" t="inlineStr">
        <is>
          <t>C</t>
        </is>
      </c>
      <c r="C6131" s="12" t="inlineStr">
        <is>
          <t>Grid interface</t>
        </is>
      </c>
      <c r="D6131" s="12" t="inlineStr">
        <is>
          <t>Motor 7 of 10: control / local station</t>
        </is>
      </c>
      <c r="E6131" s="12" t="inlineStr">
        <is>
          <t>MCC-C1</t>
        </is>
      </c>
      <c r="F6131" s="12" t="inlineStr">
        <is>
          <t>R1 MCC-C1</t>
        </is>
      </c>
      <c r="G6131" s="12" t="inlineStr"/>
      <c r="H6131" s="12" t="inlineStr">
        <is>
          <t xml:space="preserve">CO2 compression 3 x ~19 MW + dehydration: rooftop HVAC, exhaust fans, </t>
        </is>
      </c>
      <c r="I6131" s="12" t="inlineStr">
        <is>
          <t>Control</t>
        </is>
      </c>
      <c r="J6131" s="12" t="inlineStr">
        <is>
          <t>Control cable 600 V Type TC-ER, Cu #14 AWG, PVC jacket</t>
        </is>
      </c>
      <c r="K6131" s="12" t="inlineStr">
        <is>
          <t>CT|7/C|14</t>
        </is>
      </c>
      <c r="L6131" s="12" t="inlineStr">
        <is>
          <t>7/C</t>
        </is>
      </c>
      <c r="M6131" s="12" t="inlineStr">
        <is>
          <t>14</t>
        </is>
      </c>
      <c r="N6131" s="12" t="n">
        <v>1</v>
      </c>
      <c r="O6131" s="12" t="n">
        <v>1</v>
      </c>
      <c r="P6131" s="12" t="n"/>
      <c r="Q6131" s="12" t="n"/>
      <c r="R6131" s="12" t="n"/>
      <c r="S6131" s="12" t="inlineStr">
        <is>
          <t>Tray</t>
        </is>
      </c>
      <c r="T6131" s="15" t="n">
        <v>1744</v>
      </c>
      <c r="U6131" s="15" t="n">
        <v>161</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C-C-0135</t>
        </is>
      </c>
      <c r="B6132" s="12" t="inlineStr">
        <is>
          <t>C</t>
        </is>
      </c>
      <c r="C6132" s="12" t="inlineStr">
        <is>
          <t>Grid interface</t>
        </is>
      </c>
      <c r="D6132" s="12" t="inlineStr">
        <is>
          <t>Motor 8 of 10: control / local station</t>
        </is>
      </c>
      <c r="E6132" s="12" t="inlineStr">
        <is>
          <t>MCC-C1</t>
        </is>
      </c>
      <c r="F6132" s="12" t="inlineStr">
        <is>
          <t>R1 MCC-C1</t>
        </is>
      </c>
      <c r="G6132" s="12" t="inlineStr"/>
      <c r="H6132" s="12" t="inlineStr">
        <is>
          <t xml:space="preserve">CO2 compression 3 x ~19 MW + dehydration: rooftop HVAC, exhaust fans, </t>
        </is>
      </c>
      <c r="I6132" s="12" t="inlineStr">
        <is>
          <t>Control</t>
        </is>
      </c>
      <c r="J6132" s="12" t="inlineStr">
        <is>
          <t>Control cable 600 V Type TC-ER, Cu #14 AWG, PVC jacket</t>
        </is>
      </c>
      <c r="K6132" s="12" t="inlineStr">
        <is>
          <t>CT|7/C|14</t>
        </is>
      </c>
      <c r="L6132" s="12" t="inlineStr">
        <is>
          <t>7/C</t>
        </is>
      </c>
      <c r="M6132" s="12" t="inlineStr">
        <is>
          <t>14</t>
        </is>
      </c>
      <c r="N6132" s="12" t="n">
        <v>1</v>
      </c>
      <c r="O6132" s="12" t="n">
        <v>1</v>
      </c>
      <c r="P6132" s="12" t="n"/>
      <c r="Q6132" s="12" t="n"/>
      <c r="R6132" s="12" t="n"/>
      <c r="S6132" s="12" t="inlineStr">
        <is>
          <t>Tray</t>
        </is>
      </c>
      <c r="T6132" s="15" t="n">
        <v>1744</v>
      </c>
      <c r="U6132" s="15" t="n">
        <v>161</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C-C-0136</t>
        </is>
      </c>
      <c r="B6133" s="12" t="inlineStr">
        <is>
          <t>C</t>
        </is>
      </c>
      <c r="C6133" s="12" t="inlineStr">
        <is>
          <t>Grid interface</t>
        </is>
      </c>
      <c r="D6133" s="12" t="inlineStr">
        <is>
          <t>Motor 9 of 10: control / local station</t>
        </is>
      </c>
      <c r="E6133" s="12" t="inlineStr">
        <is>
          <t>MCC-C1</t>
        </is>
      </c>
      <c r="F6133" s="12" t="inlineStr">
        <is>
          <t>R1 MCC-C1</t>
        </is>
      </c>
      <c r="G6133" s="12" t="inlineStr"/>
      <c r="H6133" s="12" t="inlineStr">
        <is>
          <t xml:space="preserve">CO2 compression 3 x ~19 MW + dehydration: rooftop HVAC, exhaust fans, </t>
        </is>
      </c>
      <c r="I6133" s="12" t="inlineStr">
        <is>
          <t>Control</t>
        </is>
      </c>
      <c r="J6133" s="12" t="inlineStr">
        <is>
          <t>Control cable 600 V Type TC-ER, Cu #14 AWG, PVC jacket</t>
        </is>
      </c>
      <c r="K6133" s="12" t="inlineStr">
        <is>
          <t>CT|7/C|14</t>
        </is>
      </c>
      <c r="L6133" s="12" t="inlineStr">
        <is>
          <t>7/C</t>
        </is>
      </c>
      <c r="M6133" s="12" t="inlineStr">
        <is>
          <t>14</t>
        </is>
      </c>
      <c r="N6133" s="12" t="n">
        <v>1</v>
      </c>
      <c r="O6133" s="12" t="n">
        <v>1</v>
      </c>
      <c r="P6133" s="12" t="n"/>
      <c r="Q6133" s="12" t="n"/>
      <c r="R6133" s="12" t="n"/>
      <c r="S6133" s="12" t="inlineStr">
        <is>
          <t>Tray</t>
        </is>
      </c>
      <c r="T6133" s="15" t="n">
        <v>1744</v>
      </c>
      <c r="U6133" s="15" t="n">
        <v>161</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C-C-0137</t>
        </is>
      </c>
      <c r="B6134" s="12" t="inlineStr">
        <is>
          <t>C</t>
        </is>
      </c>
      <c r="C6134" s="12" t="inlineStr">
        <is>
          <t>Grid interface</t>
        </is>
      </c>
      <c r="D6134" s="12" t="inlineStr">
        <is>
          <t>Motor 10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C-C-0138</t>
        </is>
      </c>
      <c r="B6135" s="12" t="inlineStr">
        <is>
          <t>C</t>
        </is>
      </c>
      <c r="C6135" s="12" t="inlineStr">
        <is>
          <t>Grid interface</t>
        </is>
      </c>
      <c r="D6135" s="12" t="inlineStr">
        <is>
          <t>Motor 1 of 2: control / local station</t>
        </is>
      </c>
      <c r="E6135" s="12" t="inlineStr">
        <is>
          <t>MCC-C1</t>
        </is>
      </c>
      <c r="F6135" s="12" t="inlineStr">
        <is>
          <t>R1 MCC-C1</t>
        </is>
      </c>
      <c r="G6135" s="12" t="inlineStr"/>
      <c r="H6135" s="12" t="inlineStr">
        <is>
          <t>Small-bore piping: instrument air, service water, nitrogen, HRSG drain</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614</v>
      </c>
      <c r="U6135" s="15" t="n">
        <v>145</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C-C-0139</t>
        </is>
      </c>
      <c r="B6136" s="12" t="inlineStr">
        <is>
          <t>C</t>
        </is>
      </c>
      <c r="C6136" s="12" t="inlineStr">
        <is>
          <t>Grid interface</t>
        </is>
      </c>
      <c r="D6136" s="12" t="inlineStr">
        <is>
          <t>Motor 2 of 2: control / local station</t>
        </is>
      </c>
      <c r="E6136" s="12" t="inlineStr">
        <is>
          <t>MCC-C1</t>
        </is>
      </c>
      <c r="F6136" s="12" t="inlineStr">
        <is>
          <t>R1 MCC-C1</t>
        </is>
      </c>
      <c r="G6136" s="12" t="inlineStr"/>
      <c r="H6136" s="12" t="inlineStr">
        <is>
          <t>Small-bore piping: instrument air, service water, nitrogen, HRSG drain</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614</v>
      </c>
      <c r="U6136" s="15" t="n">
        <v>145</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C-C-0140</t>
        </is>
      </c>
      <c r="B6137" s="12" t="inlineStr">
        <is>
          <t>C</t>
        </is>
      </c>
      <c r="C6137" s="12" t="inlineStr">
        <is>
          <t>Grid interface</t>
        </is>
      </c>
      <c r="D6137" s="12" t="inlineStr">
        <is>
          <t>Motor 1 of 8: control / local station</t>
        </is>
      </c>
      <c r="E6137" s="12" t="inlineStr">
        <is>
          <t>MCC-C1</t>
        </is>
      </c>
      <c r="F6137" s="12" t="inlineStr">
        <is>
          <t>R1 MCC-C1</t>
        </is>
      </c>
      <c r="G6137" s="12" t="inlineStr"/>
      <c r="H6137" s="12" t="inlineStr">
        <is>
          <t>Wastewater treatment: rooftop HVAC, exhaust fans, vents</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Duct bank</t>
        </is>
      </c>
      <c r="T6137" s="15" t="n">
        <v>1859</v>
      </c>
      <c r="U6137" s="15" t="n">
        <v>228</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C-C-0141</t>
        </is>
      </c>
      <c r="B6138" s="12" t="inlineStr">
        <is>
          <t>C</t>
        </is>
      </c>
      <c r="C6138" s="12" t="inlineStr">
        <is>
          <t>Grid interface</t>
        </is>
      </c>
      <c r="D6138" s="12" t="inlineStr">
        <is>
          <t>Motor 2 of 8: control / local station</t>
        </is>
      </c>
      <c r="E6138" s="12" t="inlineStr">
        <is>
          <t>MCC-C1</t>
        </is>
      </c>
      <c r="F6138" s="12" t="inlineStr">
        <is>
          <t>R1 MCC-C1</t>
        </is>
      </c>
      <c r="G6138" s="12" t="inlineStr"/>
      <c r="H6138" s="12" t="inlineStr">
        <is>
          <t>Wastewater treatment: rooftop HVAC, exhaust fans, vents</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Duct bank</t>
        </is>
      </c>
      <c r="T6138" s="15" t="n">
        <v>1859</v>
      </c>
      <c r="U6138" s="15" t="n">
        <v>228</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C-C-0142</t>
        </is>
      </c>
      <c r="B6139" s="12" t="inlineStr">
        <is>
          <t>C</t>
        </is>
      </c>
      <c r="C6139" s="12" t="inlineStr">
        <is>
          <t>Grid interface</t>
        </is>
      </c>
      <c r="D6139" s="12" t="inlineStr">
        <is>
          <t>Motor 3 of 8: control / local station</t>
        </is>
      </c>
      <c r="E6139" s="12" t="inlineStr">
        <is>
          <t>MCC-C1</t>
        </is>
      </c>
      <c r="F6139" s="12" t="inlineStr">
        <is>
          <t>R1 MCC-C1</t>
        </is>
      </c>
      <c r="G6139" s="12" t="inlineStr"/>
      <c r="H6139" s="12" t="inlineStr">
        <is>
          <t>Wastewater treatment: rooftop HVAC, exhaust fans, vents</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Duct bank</t>
        </is>
      </c>
      <c r="T6139" s="15" t="n">
        <v>1859</v>
      </c>
      <c r="U6139" s="15" t="n">
        <v>228</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C-C-0143</t>
        </is>
      </c>
      <c r="B6140" s="12" t="inlineStr">
        <is>
          <t>C</t>
        </is>
      </c>
      <c r="C6140" s="12" t="inlineStr">
        <is>
          <t>Grid interface</t>
        </is>
      </c>
      <c r="D6140" s="12" t="inlineStr">
        <is>
          <t>Motor 4 of 8: control / local station</t>
        </is>
      </c>
      <c r="E6140" s="12" t="inlineStr">
        <is>
          <t>MCC-C1</t>
        </is>
      </c>
      <c r="F6140" s="12" t="inlineStr">
        <is>
          <t>R1 MCC-C1</t>
        </is>
      </c>
      <c r="G6140" s="12" t="inlineStr"/>
      <c r="H6140" s="12" t="inlineStr">
        <is>
          <t>Wastewater treatment: rooftop HVAC, exhaust fans, vents</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Duct bank</t>
        </is>
      </c>
      <c r="T6140" s="15" t="n">
        <v>1859</v>
      </c>
      <c r="U6140" s="15" t="n">
        <v>228</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C-C-0144</t>
        </is>
      </c>
      <c r="B6141" s="12" t="inlineStr">
        <is>
          <t>C</t>
        </is>
      </c>
      <c r="C6141" s="12" t="inlineStr">
        <is>
          <t>Grid interface</t>
        </is>
      </c>
      <c r="D6141" s="12" t="inlineStr">
        <is>
          <t>Motor 5 of 8: control / local station</t>
        </is>
      </c>
      <c r="E6141" s="12" t="inlineStr">
        <is>
          <t>MCC-C1</t>
        </is>
      </c>
      <c r="F6141" s="12" t="inlineStr">
        <is>
          <t>R1 MCC-C1</t>
        </is>
      </c>
      <c r="G6141" s="12" t="inlineStr"/>
      <c r="H6141" s="12" t="inlineStr">
        <is>
          <t>Wastewater treatment: rooftop HVAC, exhaust fans, vents</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Duct bank</t>
        </is>
      </c>
      <c r="T6141" s="15" t="n">
        <v>1859</v>
      </c>
      <c r="U6141" s="15" t="n">
        <v>228</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C-C-0145</t>
        </is>
      </c>
      <c r="B6142" s="12" t="inlineStr">
        <is>
          <t>C</t>
        </is>
      </c>
      <c r="C6142" s="12" t="inlineStr">
        <is>
          <t>Grid interface</t>
        </is>
      </c>
      <c r="D6142" s="12" t="inlineStr">
        <is>
          <t>Motor 6 of 8: control / local station</t>
        </is>
      </c>
      <c r="E6142" s="12" t="inlineStr">
        <is>
          <t>MCC-C1</t>
        </is>
      </c>
      <c r="F6142" s="12" t="inlineStr">
        <is>
          <t>R1 MCC-C1</t>
        </is>
      </c>
      <c r="G6142" s="12" t="inlineStr"/>
      <c r="H6142" s="12" t="inlineStr">
        <is>
          <t>Wastewater treatment: rooftop HVAC, exhaust fans, vents</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Duct bank</t>
        </is>
      </c>
      <c r="T6142" s="15" t="n">
        <v>1859</v>
      </c>
      <c r="U6142" s="15" t="n">
        <v>228</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C-C-0146</t>
        </is>
      </c>
      <c r="B6143" s="12" t="inlineStr">
        <is>
          <t>C</t>
        </is>
      </c>
      <c r="C6143" s="12" t="inlineStr">
        <is>
          <t>Grid interface</t>
        </is>
      </c>
      <c r="D6143" s="12" t="inlineStr">
        <is>
          <t>Motor 7 of 8: control / local station</t>
        </is>
      </c>
      <c r="E6143" s="12" t="inlineStr">
        <is>
          <t>MCC-C1</t>
        </is>
      </c>
      <c r="F6143" s="12" t="inlineStr">
        <is>
          <t>R1 MCC-C1</t>
        </is>
      </c>
      <c r="G6143" s="12" t="inlineStr"/>
      <c r="H6143" s="12" t="inlineStr">
        <is>
          <t>Wastewater treatment: rooftop HVAC, exhaust fans, vents</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Duct bank</t>
        </is>
      </c>
      <c r="T6143" s="15" t="n">
        <v>1859</v>
      </c>
      <c r="U6143" s="15" t="n">
        <v>228</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C-C-0147</t>
        </is>
      </c>
      <c r="B6144" s="12" t="inlineStr">
        <is>
          <t>C</t>
        </is>
      </c>
      <c r="C6144" s="12" t="inlineStr">
        <is>
          <t>Grid interface</t>
        </is>
      </c>
      <c r="D6144" s="12" t="inlineStr">
        <is>
          <t>Motor 8 of 8: control / local station</t>
        </is>
      </c>
      <c r="E6144" s="12" t="inlineStr">
        <is>
          <t>MCC-C1</t>
        </is>
      </c>
      <c r="F6144" s="12" t="inlineStr">
        <is>
          <t>R1 MCC-C1</t>
        </is>
      </c>
      <c r="G6144" s="12" t="inlineStr"/>
      <c r="H6144" s="12" t="inlineStr">
        <is>
          <t>Wastewater treatment: rooftop HVAC, exhaust fans, vents</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Duct bank</t>
        </is>
      </c>
      <c r="T6144" s="15" t="n">
        <v>1859</v>
      </c>
      <c r="U6144" s="15" t="n">
        <v>228</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C-C-0148</t>
        </is>
      </c>
      <c r="B6145" s="12" t="inlineStr">
        <is>
          <t>C</t>
        </is>
      </c>
      <c r="C6145" s="12" t="inlineStr">
        <is>
          <t>Grid interface</t>
        </is>
      </c>
      <c r="D6145" s="12" t="inlineStr">
        <is>
          <t>Motor 1 of 20: control / local station</t>
        </is>
      </c>
      <c r="E6145" s="12" t="inlineStr">
        <is>
          <t>MCC-C1</t>
        </is>
      </c>
      <c r="F6145" s="12" t="inlineStr">
        <is>
          <t>R1 MCC-C1</t>
        </is>
      </c>
      <c r="G6145" s="12" t="inlineStr"/>
      <c r="H6145" s="12" t="inlineStr">
        <is>
          <t>Water treatment building: rooftop HVAC, exhaust fans, vents</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Duct bank</t>
        </is>
      </c>
      <c r="T6145" s="15" t="n">
        <v>1629</v>
      </c>
      <c r="U6145" s="15" t="n">
        <v>161</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C-C-0149</t>
        </is>
      </c>
      <c r="B6146" s="12" t="inlineStr">
        <is>
          <t>C</t>
        </is>
      </c>
      <c r="C6146" s="12" t="inlineStr">
        <is>
          <t>Grid interface</t>
        </is>
      </c>
      <c r="D6146" s="12" t="inlineStr">
        <is>
          <t>Motor 2 of 20: control / local station</t>
        </is>
      </c>
      <c r="E6146" s="12" t="inlineStr">
        <is>
          <t>MCC-C1</t>
        </is>
      </c>
      <c r="F6146" s="12" t="inlineStr">
        <is>
          <t>R1 MCC-C1</t>
        </is>
      </c>
      <c r="G6146" s="12" t="inlineStr"/>
      <c r="H6146" s="12" t="inlineStr">
        <is>
          <t>Water treatment building: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1629</v>
      </c>
      <c r="U6146" s="15" t="n">
        <v>161</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C-C-0150</t>
        </is>
      </c>
      <c r="B6147" s="12" t="inlineStr">
        <is>
          <t>C</t>
        </is>
      </c>
      <c r="C6147" s="12" t="inlineStr">
        <is>
          <t>Grid interface</t>
        </is>
      </c>
      <c r="D6147" s="12" t="inlineStr">
        <is>
          <t>Motor 3 of 20: control / local station</t>
        </is>
      </c>
      <c r="E6147" s="12" t="inlineStr">
        <is>
          <t>MCC-C1</t>
        </is>
      </c>
      <c r="F6147" s="12" t="inlineStr">
        <is>
          <t>R1 MCC-C1</t>
        </is>
      </c>
      <c r="G6147" s="12" t="inlineStr"/>
      <c r="H6147" s="12" t="inlineStr">
        <is>
          <t>Water treatment building: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1629</v>
      </c>
      <c r="U6147" s="15" t="n">
        <v>161</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C-C-0151</t>
        </is>
      </c>
      <c r="B6148" s="12" t="inlineStr">
        <is>
          <t>C</t>
        </is>
      </c>
      <c r="C6148" s="12" t="inlineStr">
        <is>
          <t>Grid interface</t>
        </is>
      </c>
      <c r="D6148" s="12" t="inlineStr">
        <is>
          <t>Motor 4 of 20: control / local station</t>
        </is>
      </c>
      <c r="E6148" s="12" t="inlineStr">
        <is>
          <t>MCC-C1</t>
        </is>
      </c>
      <c r="F6148" s="12" t="inlineStr">
        <is>
          <t>R1 MCC-C1</t>
        </is>
      </c>
      <c r="G6148" s="12" t="inlineStr"/>
      <c r="H6148" s="12" t="inlineStr">
        <is>
          <t>Water treatment building: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1629</v>
      </c>
      <c r="U6148" s="15" t="n">
        <v>161</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C-C-0152</t>
        </is>
      </c>
      <c r="B6149" s="12" t="inlineStr">
        <is>
          <t>C</t>
        </is>
      </c>
      <c r="C6149" s="12" t="inlineStr">
        <is>
          <t>Grid interface</t>
        </is>
      </c>
      <c r="D6149" s="12" t="inlineStr">
        <is>
          <t>Motor 5 of 20: control / local station</t>
        </is>
      </c>
      <c r="E6149" s="12" t="inlineStr">
        <is>
          <t>MCC-C1</t>
        </is>
      </c>
      <c r="F6149" s="12" t="inlineStr">
        <is>
          <t>R1 MCC-C1</t>
        </is>
      </c>
      <c r="G6149" s="12" t="inlineStr"/>
      <c r="H6149" s="12" t="inlineStr">
        <is>
          <t>Water treatment building: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1629</v>
      </c>
      <c r="U6149" s="15" t="n">
        <v>161</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C-C-0153</t>
        </is>
      </c>
      <c r="B6150" s="12" t="inlineStr">
        <is>
          <t>C</t>
        </is>
      </c>
      <c r="C6150" s="12" t="inlineStr">
        <is>
          <t>Grid interface</t>
        </is>
      </c>
      <c r="D6150" s="12" t="inlineStr">
        <is>
          <t>Motor 6 of 20: control / local station</t>
        </is>
      </c>
      <c r="E6150" s="12" t="inlineStr">
        <is>
          <t>MCC-C1</t>
        </is>
      </c>
      <c r="F6150" s="12" t="inlineStr">
        <is>
          <t>R1 MCC-C1</t>
        </is>
      </c>
      <c r="G6150" s="12" t="inlineStr"/>
      <c r="H6150" s="12" t="inlineStr">
        <is>
          <t>Water treatment building: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1629</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C-C-0154</t>
        </is>
      </c>
      <c r="B6151" s="12" t="inlineStr">
        <is>
          <t>C</t>
        </is>
      </c>
      <c r="C6151" s="12" t="inlineStr">
        <is>
          <t>Grid interface</t>
        </is>
      </c>
      <c r="D6151" s="12" t="inlineStr">
        <is>
          <t>Motor 7 of 20: control / local station</t>
        </is>
      </c>
      <c r="E6151" s="12" t="inlineStr">
        <is>
          <t>MCC-C1</t>
        </is>
      </c>
      <c r="F6151" s="12" t="inlineStr">
        <is>
          <t>R1 MCC-C1</t>
        </is>
      </c>
      <c r="G6151" s="12" t="inlineStr"/>
      <c r="H6151" s="12" t="inlineStr">
        <is>
          <t>Water treatment building: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1629</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C-C-0155</t>
        </is>
      </c>
      <c r="B6152" s="12" t="inlineStr">
        <is>
          <t>C</t>
        </is>
      </c>
      <c r="C6152" s="12" t="inlineStr">
        <is>
          <t>Grid interface</t>
        </is>
      </c>
      <c r="D6152" s="12" t="inlineStr">
        <is>
          <t>Motor 8 of 20: control / local station</t>
        </is>
      </c>
      <c r="E6152" s="12" t="inlineStr">
        <is>
          <t>MCC-C1</t>
        </is>
      </c>
      <c r="F6152" s="12" t="inlineStr">
        <is>
          <t>R1 MCC-C1</t>
        </is>
      </c>
      <c r="G6152" s="12" t="inlineStr"/>
      <c r="H6152" s="12" t="inlineStr">
        <is>
          <t>Water treatment building: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1629</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C-C-0156</t>
        </is>
      </c>
      <c r="B6153" s="12" t="inlineStr">
        <is>
          <t>C</t>
        </is>
      </c>
      <c r="C6153" s="12" t="inlineStr">
        <is>
          <t>Grid interface</t>
        </is>
      </c>
      <c r="D6153" s="12" t="inlineStr">
        <is>
          <t>Motor 9 of 20: control / local station</t>
        </is>
      </c>
      <c r="E6153" s="12" t="inlineStr">
        <is>
          <t>MCC-C1</t>
        </is>
      </c>
      <c r="F6153" s="12" t="inlineStr">
        <is>
          <t>R1 MCC-C1</t>
        </is>
      </c>
      <c r="G6153" s="12" t="inlineStr"/>
      <c r="H6153" s="12" t="inlineStr">
        <is>
          <t>Water treatment building: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1629</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C-C-0157</t>
        </is>
      </c>
      <c r="B6154" s="12" t="inlineStr">
        <is>
          <t>C</t>
        </is>
      </c>
      <c r="C6154" s="12" t="inlineStr">
        <is>
          <t>Grid interface</t>
        </is>
      </c>
      <c r="D6154" s="12" t="inlineStr">
        <is>
          <t>Motor 10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C-C-0158</t>
        </is>
      </c>
      <c r="B6155" s="12" t="inlineStr">
        <is>
          <t>C</t>
        </is>
      </c>
      <c r="C6155" s="12" t="inlineStr">
        <is>
          <t>Grid interface</t>
        </is>
      </c>
      <c r="D6155" s="12" t="inlineStr">
        <is>
          <t>Motor 11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C-C-0159</t>
        </is>
      </c>
      <c r="B6156" s="12" t="inlineStr">
        <is>
          <t>C</t>
        </is>
      </c>
      <c r="C6156" s="12" t="inlineStr">
        <is>
          <t>Grid interface</t>
        </is>
      </c>
      <c r="D6156" s="12" t="inlineStr">
        <is>
          <t>Motor 12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C-C-0160</t>
        </is>
      </c>
      <c r="B6157" s="12" t="inlineStr">
        <is>
          <t>C</t>
        </is>
      </c>
      <c r="C6157" s="12" t="inlineStr">
        <is>
          <t>Grid interface</t>
        </is>
      </c>
      <c r="D6157" s="12" t="inlineStr">
        <is>
          <t>Motor 13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C-C-0161</t>
        </is>
      </c>
      <c r="B6158" s="12" t="inlineStr">
        <is>
          <t>C</t>
        </is>
      </c>
      <c r="C6158" s="12" t="inlineStr">
        <is>
          <t>Grid interface</t>
        </is>
      </c>
      <c r="D6158" s="12" t="inlineStr">
        <is>
          <t>Motor 14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C-C-0162</t>
        </is>
      </c>
      <c r="B6159" s="12" t="inlineStr">
        <is>
          <t>C</t>
        </is>
      </c>
      <c r="C6159" s="12" t="inlineStr">
        <is>
          <t>Grid interface</t>
        </is>
      </c>
      <c r="D6159" s="12" t="inlineStr">
        <is>
          <t>Motor 15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C-C-0163</t>
        </is>
      </c>
      <c r="B6160" s="12" t="inlineStr">
        <is>
          <t>C</t>
        </is>
      </c>
      <c r="C6160" s="12" t="inlineStr">
        <is>
          <t>Grid interface</t>
        </is>
      </c>
      <c r="D6160" s="12" t="inlineStr">
        <is>
          <t>Motor 16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C-C-0164</t>
        </is>
      </c>
      <c r="B6161" s="12" t="inlineStr">
        <is>
          <t>C</t>
        </is>
      </c>
      <c r="C6161" s="12" t="inlineStr">
        <is>
          <t>Grid interface</t>
        </is>
      </c>
      <c r="D6161" s="12" t="inlineStr">
        <is>
          <t>Motor 17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C-C-0165</t>
        </is>
      </c>
      <c r="B6162" s="12" t="inlineStr">
        <is>
          <t>C</t>
        </is>
      </c>
      <c r="C6162" s="12" t="inlineStr">
        <is>
          <t>Grid interface</t>
        </is>
      </c>
      <c r="D6162" s="12" t="inlineStr">
        <is>
          <t>Motor 18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C-C-0166</t>
        </is>
      </c>
      <c r="B6163" s="12" t="inlineStr">
        <is>
          <t>C</t>
        </is>
      </c>
      <c r="C6163" s="12" t="inlineStr">
        <is>
          <t>Grid interface</t>
        </is>
      </c>
      <c r="D6163" s="12" t="inlineStr">
        <is>
          <t>Motor 19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C-C-0167</t>
        </is>
      </c>
      <c r="B6164" s="12" t="inlineStr">
        <is>
          <t>C</t>
        </is>
      </c>
      <c r="C6164" s="12" t="inlineStr">
        <is>
          <t>Grid interface</t>
        </is>
      </c>
      <c r="D6164" s="12" t="inlineStr">
        <is>
          <t>Motor 20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C-I-0081</t>
        </is>
      </c>
      <c r="B6165" s="12" t="inlineStr">
        <is>
          <t>C</t>
        </is>
      </c>
      <c r="C6165" s="12" t="inlineStr">
        <is>
          <t>Grid interface</t>
        </is>
      </c>
      <c r="D6165" s="12" t="inlineStr">
        <is>
          <t>Analog instrument to JB JB-CO2 compression 3 -AI01: 20 x 1 pr (field cables)</t>
        </is>
      </c>
      <c r="E6165" s="12" t="inlineStr"/>
      <c r="F6165" s="12" t="inlineStr">
        <is>
          <t xml:space="preserve">CO2 compression 3 x ~19 MW + dehydration: rooftop HVAC, exhaust fans, </t>
        </is>
      </c>
      <c r="G6165" s="12" t="inlineStr">
        <is>
          <t>JB-CO2 compression 3 -AI01</t>
        </is>
      </c>
      <c r="H6165" s="12" t="inlineStr">
        <is>
          <t xml:space="preserve">CO2 compression 3 x ~19 MW + dehydration: rooftop HVAC, exhaust fans, </t>
        </is>
      </c>
      <c r="I6165" s="12" t="inlineStr">
        <is>
          <t>Instrumentation</t>
        </is>
      </c>
      <c r="J6165" s="12" t="inlineStr">
        <is>
          <t>Instrumentation PLTC / TC-ER 300 V, #18 twisted shielded pairs, overall shield</t>
        </is>
      </c>
      <c r="K6165" s="12" t="inlineStr">
        <is>
          <t>PLTC|1 pr|16</t>
        </is>
      </c>
      <c r="L6165" s="12" t="inlineStr">
        <is>
          <t>1 pr</t>
        </is>
      </c>
      <c r="M6165" s="12" t="inlineStr">
        <is>
          <t>16</t>
        </is>
      </c>
      <c r="N6165" s="12" t="n">
        <v>20</v>
      </c>
      <c r="O6165" s="12" t="n">
        <v>1</v>
      </c>
      <c r="P6165" s="12" t="n"/>
      <c r="Q6165" s="12" t="n"/>
      <c r="R6165" s="12" t="n"/>
      <c r="S6165" s="12" t="inlineStr">
        <is>
          <t>Tray / conduit</t>
        </is>
      </c>
      <c r="T6165" s="15" t="n">
        <v>161</v>
      </c>
      <c r="U6165" s="15" t="n">
        <v>10</v>
      </c>
      <c r="V6165" s="15">
        <f>ROUNDUP((T6165+U6165+2*'Read Me'!$B$13)*(1+'Read Me'!$B$12),-1)</f>
        <v/>
      </c>
      <c r="W6165" s="15">
        <f>V6165*N6165*O6165</f>
        <v/>
      </c>
      <c r="X6165" s="12">
        <f>IF(LEFT(I6165,2)="MV",2*N6165*IF(L6165="1/C",O6165,1),0)</f>
        <v/>
      </c>
      <c r="Y6165" s="12">
        <f>IF(OR(LEFT(K6165,4)="LVAX",LEFT(K6165,6)="MV15AX",LEFT(K6165,4)="CTAX",LEFT(K6165,2)="W|"),2*N6165*O6165,0)</f>
        <v/>
      </c>
      <c r="Z6165" s="12" t="inlineStr">
        <is>
          <t>device-to-JB field wiring, one cable per device</t>
        </is>
      </c>
      <c r="AA6165" s="12">
        <f>N6165*O6165</f>
        <v/>
      </c>
    </row>
    <row r="6166">
      <c r="A6166" s="12" t="inlineStr">
        <is>
          <t>C-I-0082</t>
        </is>
      </c>
      <c r="B6166" s="12" t="inlineStr">
        <is>
          <t>C</t>
        </is>
      </c>
      <c r="C6166" s="12" t="inlineStr">
        <is>
          <t>Grid interface</t>
        </is>
      </c>
      <c r="D6166" s="12" t="inlineStr">
        <is>
          <t>Home run JB-CO2 compression 3 -AI01 to the control / marshalling room</t>
        </is>
      </c>
      <c r="E6166" s="12" t="inlineStr">
        <is>
          <t>R1</t>
        </is>
      </c>
      <c r="F6166" s="12" t="inlineStr">
        <is>
          <t>R1: main electrical building (64 x 180 ft)</t>
        </is>
      </c>
      <c r="G6166" s="12" t="inlineStr">
        <is>
          <t>JB-CO2 compression 3 -AI01</t>
        </is>
      </c>
      <c r="H6166" s="12" t="inlineStr">
        <is>
          <t xml:space="preserve">CO2 compression 3 x ~19 MW + dehydration: rooftop HVAC, exhaust fans, </t>
        </is>
      </c>
      <c r="I6166" s="12" t="inlineStr">
        <is>
          <t>Instrumentation</t>
        </is>
      </c>
      <c r="J6166" s="12" t="inlineStr">
        <is>
          <t>Instrumentation PLTC / TC-ER 300 V, #18 twisted shielded pairs, overall shield</t>
        </is>
      </c>
      <c r="K6166" s="12" t="inlineStr">
        <is>
          <t>PLTC|24 pr|18</t>
        </is>
      </c>
      <c r="L6166" s="12" t="inlineStr">
        <is>
          <t>24 pr</t>
        </is>
      </c>
      <c r="M6166" s="12" t="inlineStr">
        <is>
          <t>18</t>
        </is>
      </c>
      <c r="N6166" s="12" t="n">
        <v>1</v>
      </c>
      <c r="O6166" s="12" t="n">
        <v>1</v>
      </c>
      <c r="P6166" s="12" t="n"/>
      <c r="Q6166" s="12" t="n"/>
      <c r="R6166" s="12" t="n"/>
      <c r="S6166" s="12" t="inlineStr">
        <is>
          <t>Tray</t>
        </is>
      </c>
      <c r="T6166" s="15" t="n">
        <v>2186</v>
      </c>
      <c r="U6166" s="15" t="n">
        <v>268</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C-I-0083</t>
        </is>
      </c>
      <c r="B6167" s="12" t="inlineStr">
        <is>
          <t>C</t>
        </is>
      </c>
      <c r="C6167" s="12" t="inlineStr">
        <is>
          <t>Grid interface</t>
        </is>
      </c>
      <c r="D6167" s="12" t="inlineStr">
        <is>
          <t>Analog instrument to JB JB-CO2 compression 3 -AI02: 20 x 1 pr (field cables)</t>
        </is>
      </c>
      <c r="E6167" s="12" t="inlineStr"/>
      <c r="F6167" s="12" t="inlineStr">
        <is>
          <t xml:space="preserve">CO2 compression 3 x ~19 MW + dehydration: rooftop HVAC, exhaust fans, </t>
        </is>
      </c>
      <c r="G6167" s="12" t="inlineStr">
        <is>
          <t>JB-CO2 compression 3 -AI02</t>
        </is>
      </c>
      <c r="H6167" s="12" t="inlineStr">
        <is>
          <t xml:space="preserve">CO2 compression 3 x ~19 MW + dehydration: rooftop HVAC, exhaust fans, </t>
        </is>
      </c>
      <c r="I6167" s="12" t="inlineStr">
        <is>
          <t>Instrumentation</t>
        </is>
      </c>
      <c r="J6167" s="12" t="inlineStr">
        <is>
          <t>Instrumentation PLTC / TC-ER 300 V, #18 twisted shielded pairs, overall shield</t>
        </is>
      </c>
      <c r="K6167" s="12" t="inlineStr">
        <is>
          <t>PLTC|1 pr|16</t>
        </is>
      </c>
      <c r="L6167" s="12" t="inlineStr">
        <is>
          <t>1 pr</t>
        </is>
      </c>
      <c r="M6167" s="12" t="inlineStr">
        <is>
          <t>16</t>
        </is>
      </c>
      <c r="N6167" s="12" t="n">
        <v>20</v>
      </c>
      <c r="O6167" s="12" t="n">
        <v>1</v>
      </c>
      <c r="P6167" s="12" t="n"/>
      <c r="Q6167" s="12" t="n"/>
      <c r="R6167" s="12" t="n"/>
      <c r="S6167" s="12" t="inlineStr">
        <is>
          <t>Tray / conduit</t>
        </is>
      </c>
      <c r="T6167" s="15" t="n">
        <v>161</v>
      </c>
      <c r="U6167" s="15" t="n">
        <v>10</v>
      </c>
      <c r="V6167" s="15">
        <f>ROUNDUP((T6167+U6167+2*'Read Me'!$B$13)*(1+'Read Me'!$B$12),-1)</f>
        <v/>
      </c>
      <c r="W6167" s="15">
        <f>V6167*N6167*O6167</f>
        <v/>
      </c>
      <c r="X6167" s="12">
        <f>IF(LEFT(I6167,2)="MV",2*N6167*IF(L6167="1/C",O6167,1),0)</f>
        <v/>
      </c>
      <c r="Y6167" s="12">
        <f>IF(OR(LEFT(K6167,4)="LVAX",LEFT(K6167,6)="MV15AX",LEFT(K6167,4)="CTAX",LEFT(K6167,2)="W|"),2*N6167*O6167,0)</f>
        <v/>
      </c>
      <c r="Z6167" s="12" t="inlineStr">
        <is>
          <t>device-to-JB field wiring, one cable per device</t>
        </is>
      </c>
      <c r="AA6167" s="12">
        <f>N6167*O6167</f>
        <v/>
      </c>
    </row>
    <row r="6168">
      <c r="A6168" s="12" t="inlineStr">
        <is>
          <t>C-I-0084</t>
        </is>
      </c>
      <c r="B6168" s="12" t="inlineStr">
        <is>
          <t>C</t>
        </is>
      </c>
      <c r="C6168" s="12" t="inlineStr">
        <is>
          <t>Grid interface</t>
        </is>
      </c>
      <c r="D6168" s="12" t="inlineStr">
        <is>
          <t>Home run JB-CO2 compression 3 -AI02 to the control / marshalling room</t>
        </is>
      </c>
      <c r="E6168" s="12" t="inlineStr">
        <is>
          <t>R1</t>
        </is>
      </c>
      <c r="F6168" s="12" t="inlineStr">
        <is>
          <t>R1: main electrical building (64 x 180 ft)</t>
        </is>
      </c>
      <c r="G6168" s="12" t="inlineStr">
        <is>
          <t>JB-CO2 compression 3 -AI02</t>
        </is>
      </c>
      <c r="H6168" s="12" t="inlineStr">
        <is>
          <t xml:space="preserve">CO2 compression 3 x ~19 MW + dehydration: rooftop HVAC, exhaust fans, </t>
        </is>
      </c>
      <c r="I6168" s="12" t="inlineStr">
        <is>
          <t>Instrumentation</t>
        </is>
      </c>
      <c r="J6168" s="12" t="inlineStr">
        <is>
          <t>Instrumentation PLTC / TC-ER 300 V, #18 twisted shielded pairs, overall shield</t>
        </is>
      </c>
      <c r="K6168" s="12" t="inlineStr">
        <is>
          <t>PLTC|24 pr|18</t>
        </is>
      </c>
      <c r="L6168" s="12" t="inlineStr">
        <is>
          <t>24 pr</t>
        </is>
      </c>
      <c r="M6168" s="12" t="inlineStr">
        <is>
          <t>18</t>
        </is>
      </c>
      <c r="N6168" s="12" t="n">
        <v>1</v>
      </c>
      <c r="O6168" s="12" t="n">
        <v>1</v>
      </c>
      <c r="P6168" s="12" t="n"/>
      <c r="Q6168" s="12" t="n"/>
      <c r="R6168" s="12" t="n"/>
      <c r="S6168" s="12" t="inlineStr">
        <is>
          <t>Tray</t>
        </is>
      </c>
      <c r="T6168" s="15" t="n">
        <v>2186</v>
      </c>
      <c r="U6168" s="15" t="n">
        <v>268</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C-I-0085</t>
        </is>
      </c>
      <c r="B6169" s="12" t="inlineStr">
        <is>
          <t>C</t>
        </is>
      </c>
      <c r="C6169" s="12" t="inlineStr">
        <is>
          <t>Grid interface</t>
        </is>
      </c>
      <c r="D6169" s="12" t="inlineStr">
        <is>
          <t>Analog instrument to JB JB-CO2 compression 3 -AI03: 20 x 1 pr (field cables)</t>
        </is>
      </c>
      <c r="E6169" s="12" t="inlineStr"/>
      <c r="F6169" s="12" t="inlineStr">
        <is>
          <t xml:space="preserve">CO2 compression 3 x ~19 MW + dehydration: rooftop HVAC, exhaust fans, </t>
        </is>
      </c>
      <c r="G6169" s="12" t="inlineStr">
        <is>
          <t>JB-CO2 compression 3 -AI03</t>
        </is>
      </c>
      <c r="H6169" s="12" t="inlineStr">
        <is>
          <t xml:space="preserve">CO2 compression 3 x ~19 MW + dehydration: rooftop HVAC, exhaust fans, </t>
        </is>
      </c>
      <c r="I6169" s="12" t="inlineStr">
        <is>
          <t>Instrumentation</t>
        </is>
      </c>
      <c r="J6169" s="12" t="inlineStr">
        <is>
          <t>Instrumentation PLTC / TC-ER 300 V, #18 twisted shielded pairs, overall shield</t>
        </is>
      </c>
      <c r="K6169" s="12" t="inlineStr">
        <is>
          <t>PLTC|1 pr|16</t>
        </is>
      </c>
      <c r="L6169" s="12" t="inlineStr">
        <is>
          <t>1 pr</t>
        </is>
      </c>
      <c r="M6169" s="12" t="inlineStr">
        <is>
          <t>16</t>
        </is>
      </c>
      <c r="N6169" s="12" t="n">
        <v>20</v>
      </c>
      <c r="O6169" s="12" t="n">
        <v>1</v>
      </c>
      <c r="P6169" s="12" t="n"/>
      <c r="Q6169" s="12" t="n"/>
      <c r="R6169" s="12" t="n"/>
      <c r="S6169" s="12" t="inlineStr">
        <is>
          <t>Tray / conduit</t>
        </is>
      </c>
      <c r="T6169" s="15" t="n">
        <v>161</v>
      </c>
      <c r="U6169" s="15" t="n">
        <v>10</v>
      </c>
      <c r="V6169" s="15">
        <f>ROUNDUP((T6169+U6169+2*'Read Me'!$B$13)*(1+'Read Me'!$B$12),-1)</f>
        <v/>
      </c>
      <c r="W6169" s="15">
        <f>V6169*N6169*O6169</f>
        <v/>
      </c>
      <c r="X6169" s="12">
        <f>IF(LEFT(I6169,2)="MV",2*N6169*IF(L6169="1/C",O6169,1),0)</f>
        <v/>
      </c>
      <c r="Y6169" s="12">
        <f>IF(OR(LEFT(K6169,4)="LVAX",LEFT(K6169,6)="MV15AX",LEFT(K6169,4)="CTAX",LEFT(K6169,2)="W|"),2*N6169*O6169,0)</f>
        <v/>
      </c>
      <c r="Z6169" s="12" t="inlineStr">
        <is>
          <t>device-to-JB field wiring, one cable per device</t>
        </is>
      </c>
      <c r="AA6169" s="12">
        <f>N6169*O6169</f>
        <v/>
      </c>
    </row>
    <row r="6170">
      <c r="A6170" s="12" t="inlineStr">
        <is>
          <t>C-I-0086</t>
        </is>
      </c>
      <c r="B6170" s="12" t="inlineStr">
        <is>
          <t>C</t>
        </is>
      </c>
      <c r="C6170" s="12" t="inlineStr">
        <is>
          <t>Grid interface</t>
        </is>
      </c>
      <c r="D6170" s="12" t="inlineStr">
        <is>
          <t>Home run JB-CO2 compression 3 -AI03 to the control / marshalling room</t>
        </is>
      </c>
      <c r="E6170" s="12" t="inlineStr">
        <is>
          <t>R1</t>
        </is>
      </c>
      <c r="F6170" s="12" t="inlineStr">
        <is>
          <t>R1: main electrical building (64 x 180 ft)</t>
        </is>
      </c>
      <c r="G6170" s="12" t="inlineStr">
        <is>
          <t>JB-CO2 compression 3 -AI03</t>
        </is>
      </c>
      <c r="H6170" s="12" t="inlineStr">
        <is>
          <t xml:space="preserve">CO2 compression 3 x ~19 MW + dehydration: rooftop HVAC, exhaust fans, </t>
        </is>
      </c>
      <c r="I6170" s="12" t="inlineStr">
        <is>
          <t>Instrumentation</t>
        </is>
      </c>
      <c r="J6170" s="12" t="inlineStr">
        <is>
          <t>Instrumentation PLTC / TC-ER 300 V, #18 twisted shielded pairs, overall shield</t>
        </is>
      </c>
      <c r="K6170" s="12" t="inlineStr">
        <is>
          <t>PLTC|24 pr|18</t>
        </is>
      </c>
      <c r="L6170" s="12" t="inlineStr">
        <is>
          <t>24 pr</t>
        </is>
      </c>
      <c r="M6170" s="12" t="inlineStr">
        <is>
          <t>18</t>
        </is>
      </c>
      <c r="N6170" s="12" t="n">
        <v>1</v>
      </c>
      <c r="O6170" s="12" t="n">
        <v>1</v>
      </c>
      <c r="P6170" s="12" t="n"/>
      <c r="Q6170" s="12" t="n"/>
      <c r="R6170" s="12" t="n"/>
      <c r="S6170" s="12" t="inlineStr">
        <is>
          <t>Tray</t>
        </is>
      </c>
      <c r="T6170" s="15" t="n">
        <v>2186</v>
      </c>
      <c r="U6170" s="15" t="n">
        <v>268</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C-I-0087</t>
        </is>
      </c>
      <c r="B6171" s="12" t="inlineStr">
        <is>
          <t>C</t>
        </is>
      </c>
      <c r="C6171" s="12" t="inlineStr">
        <is>
          <t>Grid interface</t>
        </is>
      </c>
      <c r="D6171" s="12" t="inlineStr">
        <is>
          <t>Analog instrument to JB JB-CO2 compression 3 -AI04: 20 x 1 pr (field cables)</t>
        </is>
      </c>
      <c r="E6171" s="12" t="inlineStr"/>
      <c r="F6171" s="12" t="inlineStr">
        <is>
          <t xml:space="preserve">CO2 compression 3 x ~19 MW + dehydration: rooftop HVAC, exhaust fans, </t>
        </is>
      </c>
      <c r="G6171" s="12" t="inlineStr">
        <is>
          <t>JB-CO2 compression 3 -AI04</t>
        </is>
      </c>
      <c r="H6171" s="12" t="inlineStr">
        <is>
          <t xml:space="preserve">CO2 compression 3 x ~19 MW + dehydration: rooftop HVAC, exhaust fans, </t>
        </is>
      </c>
      <c r="I6171" s="12" t="inlineStr">
        <is>
          <t>Instrumentation</t>
        </is>
      </c>
      <c r="J6171" s="12" t="inlineStr">
        <is>
          <t>Instrumentation PLTC / TC-ER 300 V, #18 twisted shielded pairs, overall shield</t>
        </is>
      </c>
      <c r="K6171" s="12" t="inlineStr">
        <is>
          <t>PLTC|1 pr|16</t>
        </is>
      </c>
      <c r="L6171" s="12" t="inlineStr">
        <is>
          <t>1 pr</t>
        </is>
      </c>
      <c r="M6171" s="12" t="inlineStr">
        <is>
          <t>16</t>
        </is>
      </c>
      <c r="N6171" s="12" t="n">
        <v>20</v>
      </c>
      <c r="O6171" s="12" t="n">
        <v>1</v>
      </c>
      <c r="P6171" s="12" t="n"/>
      <c r="Q6171" s="12" t="n"/>
      <c r="R6171" s="12" t="n"/>
      <c r="S6171" s="12" t="inlineStr">
        <is>
          <t>Tray / conduit</t>
        </is>
      </c>
      <c r="T6171" s="15" t="n">
        <v>161</v>
      </c>
      <c r="U6171" s="15" t="n">
        <v>10</v>
      </c>
      <c r="V6171" s="15">
        <f>ROUNDUP((T6171+U6171+2*'Read Me'!$B$13)*(1+'Read Me'!$B$12),-1)</f>
        <v/>
      </c>
      <c r="W6171" s="15">
        <f>V6171*N6171*O6171</f>
        <v/>
      </c>
      <c r="X6171" s="12">
        <f>IF(LEFT(I6171,2)="MV",2*N6171*IF(L6171="1/C",O6171,1),0)</f>
        <v/>
      </c>
      <c r="Y6171" s="12">
        <f>IF(OR(LEFT(K6171,4)="LVAX",LEFT(K6171,6)="MV15AX",LEFT(K6171,4)="CTAX",LEFT(K6171,2)="W|"),2*N6171*O6171,0)</f>
        <v/>
      </c>
      <c r="Z6171" s="12" t="inlineStr">
        <is>
          <t>device-to-JB field wiring, one cable per device</t>
        </is>
      </c>
      <c r="AA6171" s="12">
        <f>N6171*O6171</f>
        <v/>
      </c>
    </row>
    <row r="6172">
      <c r="A6172" s="12" t="inlineStr">
        <is>
          <t>C-I-0088</t>
        </is>
      </c>
      <c r="B6172" s="12" t="inlineStr">
        <is>
          <t>C</t>
        </is>
      </c>
      <c r="C6172" s="12" t="inlineStr">
        <is>
          <t>Grid interface</t>
        </is>
      </c>
      <c r="D6172" s="12" t="inlineStr">
        <is>
          <t>Home run JB-CO2 compression 3 -AI04 to the control / marshalling room</t>
        </is>
      </c>
      <c r="E6172" s="12" t="inlineStr">
        <is>
          <t>R1</t>
        </is>
      </c>
      <c r="F6172" s="12" t="inlineStr">
        <is>
          <t>R1: main electrical building (64 x 180 ft)</t>
        </is>
      </c>
      <c r="G6172" s="12" t="inlineStr">
        <is>
          <t>JB-CO2 compression 3 -AI04</t>
        </is>
      </c>
      <c r="H6172" s="12" t="inlineStr">
        <is>
          <t xml:space="preserve">CO2 compression 3 x ~19 MW + dehydration: rooftop HVAC, exhaust fans, </t>
        </is>
      </c>
      <c r="I6172" s="12" t="inlineStr">
        <is>
          <t>Instrumentation</t>
        </is>
      </c>
      <c r="J6172" s="12" t="inlineStr">
        <is>
          <t>Instrumentation PLTC / TC-ER 300 V, #18 twisted shielded pairs, overall shield</t>
        </is>
      </c>
      <c r="K6172" s="12" t="inlineStr">
        <is>
          <t>PLTC|24 pr|18</t>
        </is>
      </c>
      <c r="L6172" s="12" t="inlineStr">
        <is>
          <t>24 pr</t>
        </is>
      </c>
      <c r="M6172" s="12" t="inlineStr">
        <is>
          <t>18</t>
        </is>
      </c>
      <c r="N6172" s="12" t="n">
        <v>1</v>
      </c>
      <c r="O6172" s="12" t="n">
        <v>1</v>
      </c>
      <c r="P6172" s="12" t="n"/>
      <c r="Q6172" s="12" t="n"/>
      <c r="R6172" s="12" t="n"/>
      <c r="S6172" s="12" t="inlineStr">
        <is>
          <t>Tray</t>
        </is>
      </c>
      <c r="T6172" s="15" t="n">
        <v>2186</v>
      </c>
      <c r="U6172" s="15" t="n">
        <v>268</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C-I-0089</t>
        </is>
      </c>
      <c r="B6173" s="12" t="inlineStr">
        <is>
          <t>C</t>
        </is>
      </c>
      <c r="C6173" s="12" t="inlineStr">
        <is>
          <t>Grid interface</t>
        </is>
      </c>
      <c r="D6173" s="12" t="inlineStr">
        <is>
          <t>Analog instrument to JB JB-CO2 compression 3 -AI05: 20 x 1 pr (field cables)</t>
        </is>
      </c>
      <c r="E6173" s="12" t="inlineStr"/>
      <c r="F6173" s="12" t="inlineStr">
        <is>
          <t xml:space="preserve">CO2 compression 3 x ~19 MW + dehydration: rooftop HVAC, exhaust fans, </t>
        </is>
      </c>
      <c r="G6173" s="12" t="inlineStr">
        <is>
          <t>JB-CO2 compression 3 -AI05</t>
        </is>
      </c>
      <c r="H6173" s="12" t="inlineStr">
        <is>
          <t xml:space="preserve">CO2 compression 3 x ~19 MW + dehydration: rooftop HVAC, exhaust fans, </t>
        </is>
      </c>
      <c r="I6173" s="12" t="inlineStr">
        <is>
          <t>Instrumentation</t>
        </is>
      </c>
      <c r="J6173" s="12" t="inlineStr">
        <is>
          <t>Instrumentation PLTC / TC-ER 300 V, #18 twisted shielded pairs, overall shield</t>
        </is>
      </c>
      <c r="K6173" s="12" t="inlineStr">
        <is>
          <t>PLTC|1 pr|16</t>
        </is>
      </c>
      <c r="L6173" s="12" t="inlineStr">
        <is>
          <t>1 pr</t>
        </is>
      </c>
      <c r="M6173" s="12" t="inlineStr">
        <is>
          <t>16</t>
        </is>
      </c>
      <c r="N6173" s="12" t="n">
        <v>20</v>
      </c>
      <c r="O6173" s="12" t="n">
        <v>1</v>
      </c>
      <c r="P6173" s="12" t="n"/>
      <c r="Q6173" s="12" t="n"/>
      <c r="R6173" s="12" t="n"/>
      <c r="S6173" s="12" t="inlineStr">
        <is>
          <t>Tray / conduit</t>
        </is>
      </c>
      <c r="T6173" s="15" t="n">
        <v>161</v>
      </c>
      <c r="U6173" s="15" t="n">
        <v>10</v>
      </c>
      <c r="V6173" s="15">
        <f>ROUNDUP((T6173+U6173+2*'Read Me'!$B$13)*(1+'Read Me'!$B$12),-1)</f>
        <v/>
      </c>
      <c r="W6173" s="15">
        <f>V6173*N6173*O6173</f>
        <v/>
      </c>
      <c r="X6173" s="12">
        <f>IF(LEFT(I6173,2)="MV",2*N6173*IF(L6173="1/C",O6173,1),0)</f>
        <v/>
      </c>
      <c r="Y6173" s="12">
        <f>IF(OR(LEFT(K6173,4)="LVAX",LEFT(K6173,6)="MV15AX",LEFT(K6173,4)="CTAX",LEFT(K6173,2)="W|"),2*N6173*O6173,0)</f>
        <v/>
      </c>
      <c r="Z6173" s="12" t="inlineStr">
        <is>
          <t>device-to-JB field wiring, one cable per device</t>
        </is>
      </c>
      <c r="AA6173" s="12">
        <f>N6173*O6173</f>
        <v/>
      </c>
    </row>
    <row r="6174">
      <c r="A6174" s="12" t="inlineStr">
        <is>
          <t>C-I-0090</t>
        </is>
      </c>
      <c r="B6174" s="12" t="inlineStr">
        <is>
          <t>C</t>
        </is>
      </c>
      <c r="C6174" s="12" t="inlineStr">
        <is>
          <t>Grid interface</t>
        </is>
      </c>
      <c r="D6174" s="12" t="inlineStr">
        <is>
          <t>Home run JB-CO2 compression 3 -AI05 to the control / marshalling room</t>
        </is>
      </c>
      <c r="E6174" s="12" t="inlineStr">
        <is>
          <t>R1</t>
        </is>
      </c>
      <c r="F6174" s="12" t="inlineStr">
        <is>
          <t>R1: main electrical building (64 x 180 ft)</t>
        </is>
      </c>
      <c r="G6174" s="12" t="inlineStr">
        <is>
          <t>JB-CO2 compression 3 -AI05</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PLTC|24 pr|18</t>
        </is>
      </c>
      <c r="L6174" s="12" t="inlineStr">
        <is>
          <t>24 pr</t>
        </is>
      </c>
      <c r="M6174" s="12" t="inlineStr">
        <is>
          <t>18</t>
        </is>
      </c>
      <c r="N6174" s="12" t="n">
        <v>1</v>
      </c>
      <c r="O6174" s="12" t="n">
        <v>1</v>
      </c>
      <c r="P6174" s="12" t="n"/>
      <c r="Q6174" s="12" t="n"/>
      <c r="R6174" s="12" t="n"/>
      <c r="S6174" s="12" t="inlineStr">
        <is>
          <t>Tray</t>
        </is>
      </c>
      <c r="T6174" s="15" t="n">
        <v>2186</v>
      </c>
      <c r="U6174" s="15" t="n">
        <v>268</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C-I-0091</t>
        </is>
      </c>
      <c r="B6175" s="12" t="inlineStr">
        <is>
          <t>C</t>
        </is>
      </c>
      <c r="C6175" s="12" t="inlineStr">
        <is>
          <t>Grid interface</t>
        </is>
      </c>
      <c r="D6175" s="12" t="inlineStr">
        <is>
          <t>Analog instrument to JB JB-CO2 compression 3 -AI06: 20 x 1 pr (field cables)</t>
        </is>
      </c>
      <c r="E6175" s="12" t="inlineStr"/>
      <c r="F6175" s="12" t="inlineStr">
        <is>
          <t xml:space="preserve">CO2 compression 3 x ~19 MW + dehydration: rooftop HVAC, exhaust fans, </t>
        </is>
      </c>
      <c r="G6175" s="12" t="inlineStr">
        <is>
          <t>JB-CO2 compression 3 -AI06</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PLTC|1 pr|16</t>
        </is>
      </c>
      <c r="L6175" s="12" t="inlineStr">
        <is>
          <t>1 pr</t>
        </is>
      </c>
      <c r="M6175" s="12" t="inlineStr">
        <is>
          <t>16</t>
        </is>
      </c>
      <c r="N6175" s="12" t="n">
        <v>20</v>
      </c>
      <c r="O6175" s="12" t="n">
        <v>1</v>
      </c>
      <c r="P6175" s="12" t="n"/>
      <c r="Q6175" s="12" t="n"/>
      <c r="R6175" s="12" t="n"/>
      <c r="S6175" s="12" t="inlineStr">
        <is>
          <t>Tray / conduit</t>
        </is>
      </c>
      <c r="T6175" s="15" t="n">
        <v>161</v>
      </c>
      <c r="U6175" s="15" t="n">
        <v>10</v>
      </c>
      <c r="V6175" s="15">
        <f>ROUNDUP((T6175+U6175+2*'Read Me'!$B$13)*(1+'Read Me'!$B$12),-1)</f>
        <v/>
      </c>
      <c r="W6175" s="15">
        <f>V6175*N6175*O6175</f>
        <v/>
      </c>
      <c r="X6175" s="12">
        <f>IF(LEFT(I6175,2)="MV",2*N6175*IF(L6175="1/C",O6175,1),0)</f>
        <v/>
      </c>
      <c r="Y6175" s="12">
        <f>IF(OR(LEFT(K6175,4)="LVAX",LEFT(K6175,6)="MV15AX",LEFT(K6175,4)="CTAX",LEFT(K6175,2)="W|"),2*N6175*O6175,0)</f>
        <v/>
      </c>
      <c r="Z6175" s="12" t="inlineStr">
        <is>
          <t>device-to-JB field wiring, one cable per device</t>
        </is>
      </c>
      <c r="AA6175" s="12">
        <f>N6175*O6175</f>
        <v/>
      </c>
    </row>
    <row r="6176">
      <c r="A6176" s="12" t="inlineStr">
        <is>
          <t>C-I-0092</t>
        </is>
      </c>
      <c r="B6176" s="12" t="inlineStr">
        <is>
          <t>C</t>
        </is>
      </c>
      <c r="C6176" s="12" t="inlineStr">
        <is>
          <t>Grid interface</t>
        </is>
      </c>
      <c r="D6176" s="12" t="inlineStr">
        <is>
          <t>Home run JB-CO2 compression 3 -AI06 to the control / marshalling room</t>
        </is>
      </c>
      <c r="E6176" s="12" t="inlineStr">
        <is>
          <t>R1</t>
        </is>
      </c>
      <c r="F6176" s="12" t="inlineStr">
        <is>
          <t>R1: main electrical building (64 x 180 ft)</t>
        </is>
      </c>
      <c r="G6176" s="12" t="inlineStr">
        <is>
          <t>JB-CO2 compression 3 -AI06</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PLTC|24 pr|18</t>
        </is>
      </c>
      <c r="L6176" s="12" t="inlineStr">
        <is>
          <t>24 pr</t>
        </is>
      </c>
      <c r="M6176" s="12" t="inlineStr">
        <is>
          <t>18</t>
        </is>
      </c>
      <c r="N6176" s="12" t="n">
        <v>1</v>
      </c>
      <c r="O6176" s="12" t="n">
        <v>1</v>
      </c>
      <c r="P6176" s="12" t="n"/>
      <c r="Q6176" s="12" t="n"/>
      <c r="R6176" s="12" t="n"/>
      <c r="S6176" s="12" t="inlineStr">
        <is>
          <t>Tray</t>
        </is>
      </c>
      <c r="T6176" s="15" t="n">
        <v>2186</v>
      </c>
      <c r="U6176" s="15" t="n">
        <v>268</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C-I-0093</t>
        </is>
      </c>
      <c r="B6177" s="12" t="inlineStr">
        <is>
          <t>C</t>
        </is>
      </c>
      <c r="C6177" s="12" t="inlineStr">
        <is>
          <t>Grid interface</t>
        </is>
      </c>
      <c r="D6177" s="12" t="inlineStr">
        <is>
          <t>Analog instrument to JB JB-CO2 compression 3 -AI07: 20 x 1 pr (field cables)</t>
        </is>
      </c>
      <c r="E6177" s="12" t="inlineStr"/>
      <c r="F6177" s="12" t="inlineStr">
        <is>
          <t xml:space="preserve">CO2 compression 3 x ~19 MW + dehydration: rooftop HVAC, exhaust fans, </t>
        </is>
      </c>
      <c r="G6177" s="12" t="inlineStr">
        <is>
          <t>JB-CO2 compression 3 -AI07</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PLTC|1 pr|16</t>
        </is>
      </c>
      <c r="L6177" s="12" t="inlineStr">
        <is>
          <t>1 pr</t>
        </is>
      </c>
      <c r="M6177" s="12" t="inlineStr">
        <is>
          <t>16</t>
        </is>
      </c>
      <c r="N6177" s="12" t="n">
        <v>20</v>
      </c>
      <c r="O6177" s="12" t="n">
        <v>1</v>
      </c>
      <c r="P6177" s="12" t="n"/>
      <c r="Q6177" s="12" t="n"/>
      <c r="R6177" s="12" t="n"/>
      <c r="S6177" s="12" t="inlineStr">
        <is>
          <t>Tray / conduit</t>
        </is>
      </c>
      <c r="T6177" s="15" t="n">
        <v>161</v>
      </c>
      <c r="U6177" s="15" t="n">
        <v>10</v>
      </c>
      <c r="V6177" s="15">
        <f>ROUNDUP((T6177+U6177+2*'Read Me'!$B$13)*(1+'Read Me'!$B$12),-1)</f>
        <v/>
      </c>
      <c r="W6177" s="15">
        <f>V6177*N6177*O6177</f>
        <v/>
      </c>
      <c r="X6177" s="12">
        <f>IF(LEFT(I6177,2)="MV",2*N6177*IF(L6177="1/C",O6177,1),0)</f>
        <v/>
      </c>
      <c r="Y6177" s="12">
        <f>IF(OR(LEFT(K6177,4)="LVAX",LEFT(K6177,6)="MV15AX",LEFT(K6177,4)="CTAX",LEFT(K6177,2)="W|"),2*N6177*O6177,0)</f>
        <v/>
      </c>
      <c r="Z6177" s="12" t="inlineStr">
        <is>
          <t>device-to-JB field wiring, one cable per device</t>
        </is>
      </c>
      <c r="AA6177" s="12">
        <f>N6177*O6177</f>
        <v/>
      </c>
    </row>
    <row r="6178">
      <c r="A6178" s="12" t="inlineStr">
        <is>
          <t>C-I-0094</t>
        </is>
      </c>
      <c r="B6178" s="12" t="inlineStr">
        <is>
          <t>C</t>
        </is>
      </c>
      <c r="C6178" s="12" t="inlineStr">
        <is>
          <t>Grid interface</t>
        </is>
      </c>
      <c r="D6178" s="12" t="inlineStr">
        <is>
          <t>Home run JB-CO2 compression 3 -AI07 to the control / marshalling room</t>
        </is>
      </c>
      <c r="E6178" s="12" t="inlineStr">
        <is>
          <t>R1</t>
        </is>
      </c>
      <c r="F6178" s="12" t="inlineStr">
        <is>
          <t>R1: main electrical building (64 x 180 ft)</t>
        </is>
      </c>
      <c r="G6178" s="12" t="inlineStr">
        <is>
          <t>JB-CO2 compression 3 -AI07</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PLTC|24 pr|18</t>
        </is>
      </c>
      <c r="L6178" s="12" t="inlineStr">
        <is>
          <t>24 pr</t>
        </is>
      </c>
      <c r="M6178" s="12" t="inlineStr">
        <is>
          <t>18</t>
        </is>
      </c>
      <c r="N6178" s="12" t="n">
        <v>1</v>
      </c>
      <c r="O6178" s="12" t="n">
        <v>1</v>
      </c>
      <c r="P6178" s="12" t="n"/>
      <c r="Q6178" s="12" t="n"/>
      <c r="R6178" s="12" t="n"/>
      <c r="S6178" s="12" t="inlineStr">
        <is>
          <t>Tray</t>
        </is>
      </c>
      <c r="T6178" s="15" t="n">
        <v>2186</v>
      </c>
      <c r="U6178" s="15" t="n">
        <v>268</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C-I-0095</t>
        </is>
      </c>
      <c r="B6179" s="12" t="inlineStr">
        <is>
          <t>C</t>
        </is>
      </c>
      <c r="C6179" s="12" t="inlineStr">
        <is>
          <t>Grid interface</t>
        </is>
      </c>
      <c r="D6179" s="12" t="inlineStr">
        <is>
          <t>Analog instrument to JB JB-CO2 compression 3 -AI08: 10 x 1 pr (field cables)</t>
        </is>
      </c>
      <c r="E6179" s="12" t="inlineStr"/>
      <c r="F6179" s="12" t="inlineStr">
        <is>
          <t xml:space="preserve">CO2 compression 3 x ~19 MW + dehydration: rooftop HVAC, exhaust fans, </t>
        </is>
      </c>
      <c r="G6179" s="12" t="inlineStr">
        <is>
          <t>JB-CO2 compression 3 -AI08</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PLTC|1 pr|16</t>
        </is>
      </c>
      <c r="L6179" s="12" t="inlineStr">
        <is>
          <t>1 pr</t>
        </is>
      </c>
      <c r="M6179" s="12" t="inlineStr">
        <is>
          <t>16</t>
        </is>
      </c>
      <c r="N6179" s="12" t="n">
        <v>10</v>
      </c>
      <c r="O6179" s="12" t="n">
        <v>1</v>
      </c>
      <c r="P6179" s="12" t="n"/>
      <c r="Q6179" s="12" t="n"/>
      <c r="R6179" s="12" t="n"/>
      <c r="S6179" s="12" t="inlineStr">
        <is>
          <t>Tray / conduit</t>
        </is>
      </c>
      <c r="T6179" s="15" t="n">
        <v>161</v>
      </c>
      <c r="U6179" s="15" t="n">
        <v>10</v>
      </c>
      <c r="V6179" s="15">
        <f>ROUNDUP((T6179+U6179+2*'Read Me'!$B$13)*(1+'Read Me'!$B$12),-1)</f>
        <v/>
      </c>
      <c r="W6179" s="15">
        <f>V6179*N6179*O6179</f>
        <v/>
      </c>
      <c r="X6179" s="12">
        <f>IF(LEFT(I6179,2)="MV",2*N6179*IF(L6179="1/C",O6179,1),0)</f>
        <v/>
      </c>
      <c r="Y6179" s="12">
        <f>IF(OR(LEFT(K6179,4)="LVAX",LEFT(K6179,6)="MV15AX",LEFT(K6179,4)="CTAX",LEFT(K6179,2)="W|"),2*N6179*O6179,0)</f>
        <v/>
      </c>
      <c r="Z6179" s="12" t="inlineStr">
        <is>
          <t>device-to-JB field wiring, one cable per device</t>
        </is>
      </c>
      <c r="AA6179" s="12">
        <f>N6179*O6179</f>
        <v/>
      </c>
    </row>
    <row r="6180">
      <c r="A6180" s="12" t="inlineStr">
        <is>
          <t>C-I-0096</t>
        </is>
      </c>
      <c r="B6180" s="12" t="inlineStr">
        <is>
          <t>C</t>
        </is>
      </c>
      <c r="C6180" s="12" t="inlineStr">
        <is>
          <t>Grid interface</t>
        </is>
      </c>
      <c r="D6180" s="12" t="inlineStr">
        <is>
          <t>Home run JB-CO2 compression 3 -AI08 to the control / marshalling room</t>
        </is>
      </c>
      <c r="E6180" s="12" t="inlineStr">
        <is>
          <t>R1</t>
        </is>
      </c>
      <c r="F6180" s="12" t="inlineStr">
        <is>
          <t>R1: main electrical building (64 x 180 ft)</t>
        </is>
      </c>
      <c r="G6180" s="12" t="inlineStr">
        <is>
          <t>JB-CO2 compression 3 -AI08</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PLTC|24 pr|18</t>
        </is>
      </c>
      <c r="L6180" s="12" t="inlineStr">
        <is>
          <t>24 pr</t>
        </is>
      </c>
      <c r="M6180" s="12" t="inlineStr">
        <is>
          <t>18</t>
        </is>
      </c>
      <c r="N6180" s="12" t="n">
        <v>1</v>
      </c>
      <c r="O6180" s="12" t="n">
        <v>1</v>
      </c>
      <c r="P6180" s="12" t="n"/>
      <c r="Q6180" s="12" t="n"/>
      <c r="R6180" s="12" t="n"/>
      <c r="S6180" s="12" t="inlineStr">
        <is>
          <t>Tray</t>
        </is>
      </c>
      <c r="T6180" s="15" t="n">
        <v>2186</v>
      </c>
      <c r="U6180" s="15" t="n">
        <v>268</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C-I-0097</t>
        </is>
      </c>
      <c r="B6181" s="12" t="inlineStr">
        <is>
          <t>C</t>
        </is>
      </c>
      <c r="C6181" s="12" t="inlineStr">
        <is>
          <t>Grid interface</t>
        </is>
      </c>
      <c r="D6181" s="12" t="inlineStr">
        <is>
          <t>Discrete device to JB JB-CO2 compression 3 -DI01: 20 x 1 pr (field cables)</t>
        </is>
      </c>
      <c r="E6181" s="12" t="inlineStr"/>
      <c r="F6181" s="12" t="inlineStr">
        <is>
          <t xml:space="preserve">CO2 compression 3 x ~19 MW + dehydration: rooftop HVAC, exhaust fans, </t>
        </is>
      </c>
      <c r="G6181" s="12" t="inlineStr">
        <is>
          <t>JB-CO2 compression 3 -DI01</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PLTC|1 pr|16</t>
        </is>
      </c>
      <c r="L6181" s="12" t="inlineStr">
        <is>
          <t>1 pr</t>
        </is>
      </c>
      <c r="M6181" s="12" t="inlineStr">
        <is>
          <t>16</t>
        </is>
      </c>
      <c r="N6181" s="12" t="n">
        <v>20</v>
      </c>
      <c r="O6181" s="12" t="n">
        <v>1</v>
      </c>
      <c r="P6181" s="12" t="n"/>
      <c r="Q6181" s="12" t="n"/>
      <c r="R6181" s="12" t="n"/>
      <c r="S6181" s="12" t="inlineStr">
        <is>
          <t>Tray / conduit</t>
        </is>
      </c>
      <c r="T6181" s="15" t="n">
        <v>161</v>
      </c>
      <c r="U6181" s="15" t="n">
        <v>10</v>
      </c>
      <c r="V6181" s="15">
        <f>ROUNDUP((T6181+U6181+2*'Read Me'!$B$13)*(1+'Read Me'!$B$12),-1)</f>
        <v/>
      </c>
      <c r="W6181" s="15">
        <f>V6181*N6181*O6181</f>
        <v/>
      </c>
      <c r="X6181" s="12">
        <f>IF(LEFT(I6181,2)="MV",2*N6181*IF(L6181="1/C",O6181,1),0)</f>
        <v/>
      </c>
      <c r="Y6181" s="12">
        <f>IF(OR(LEFT(K6181,4)="LVAX",LEFT(K6181,6)="MV15AX",LEFT(K6181,4)="CTAX",LEFT(K6181,2)="W|"),2*N6181*O6181,0)</f>
        <v/>
      </c>
      <c r="Z6181" s="12" t="inlineStr">
        <is>
          <t>device-to-JB field wiring, one cable per device</t>
        </is>
      </c>
      <c r="AA6181" s="12">
        <f>N6181*O6181</f>
        <v/>
      </c>
    </row>
    <row r="6182">
      <c r="A6182" s="12" t="inlineStr">
        <is>
          <t>C-I-0098</t>
        </is>
      </c>
      <c r="B6182" s="12" t="inlineStr">
        <is>
          <t>C</t>
        </is>
      </c>
      <c r="C6182" s="12" t="inlineStr">
        <is>
          <t>Grid interface</t>
        </is>
      </c>
      <c r="D6182" s="12" t="inlineStr">
        <is>
          <t>Home run JB-CO2 compression 3 -DI01 to the control / marshalling room</t>
        </is>
      </c>
      <c r="E6182" s="12" t="inlineStr">
        <is>
          <t>R1</t>
        </is>
      </c>
      <c r="F6182" s="12" t="inlineStr">
        <is>
          <t>R1: main electrical building (64 x 180 ft)</t>
        </is>
      </c>
      <c r="G6182" s="12" t="inlineStr">
        <is>
          <t>JB-CO2 compression 3 -DI01</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PLTC|24 pr|18</t>
        </is>
      </c>
      <c r="L6182" s="12" t="inlineStr">
        <is>
          <t>24 pr</t>
        </is>
      </c>
      <c r="M6182" s="12" t="inlineStr">
        <is>
          <t>18</t>
        </is>
      </c>
      <c r="N6182" s="12" t="n">
        <v>1</v>
      </c>
      <c r="O6182" s="12" t="n">
        <v>1</v>
      </c>
      <c r="P6182" s="12" t="n"/>
      <c r="Q6182" s="12" t="n"/>
      <c r="R6182" s="12" t="n"/>
      <c r="S6182" s="12" t="inlineStr">
        <is>
          <t>Tray</t>
        </is>
      </c>
      <c r="T6182" s="15" t="n">
        <v>2186</v>
      </c>
      <c r="U6182" s="15" t="n">
        <v>268</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C-I-0099</t>
        </is>
      </c>
      <c r="B6183" s="12" t="inlineStr">
        <is>
          <t>C</t>
        </is>
      </c>
      <c r="C6183" s="12" t="inlineStr">
        <is>
          <t>Grid interface</t>
        </is>
      </c>
      <c r="D6183" s="12" t="inlineStr">
        <is>
          <t>Discrete device to JB JB-CO2 compression 3 -DI02: 20 x 1 pr (field cables)</t>
        </is>
      </c>
      <c r="E6183" s="12" t="inlineStr"/>
      <c r="F6183" s="12" t="inlineStr">
        <is>
          <t xml:space="preserve">CO2 compression 3 x ~19 MW + dehydration: rooftop HVAC, exhaust fans, </t>
        </is>
      </c>
      <c r="G6183" s="12" t="inlineStr">
        <is>
          <t>JB-CO2 compression 3 -DI02</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PLTC|1 pr|16</t>
        </is>
      </c>
      <c r="L6183" s="12" t="inlineStr">
        <is>
          <t>1 pr</t>
        </is>
      </c>
      <c r="M6183" s="12" t="inlineStr">
        <is>
          <t>16</t>
        </is>
      </c>
      <c r="N6183" s="12" t="n">
        <v>20</v>
      </c>
      <c r="O6183" s="12" t="n">
        <v>1</v>
      </c>
      <c r="P6183" s="12" t="n"/>
      <c r="Q6183" s="12" t="n"/>
      <c r="R6183" s="12" t="n"/>
      <c r="S6183" s="12" t="inlineStr">
        <is>
          <t>Tray / conduit</t>
        </is>
      </c>
      <c r="T6183" s="15" t="n">
        <v>161</v>
      </c>
      <c r="U6183" s="15" t="n">
        <v>10</v>
      </c>
      <c r="V6183" s="15">
        <f>ROUNDUP((T6183+U6183+2*'Read Me'!$B$13)*(1+'Read Me'!$B$12),-1)</f>
        <v/>
      </c>
      <c r="W6183" s="15">
        <f>V6183*N6183*O6183</f>
        <v/>
      </c>
      <c r="X6183" s="12">
        <f>IF(LEFT(I6183,2)="MV",2*N6183*IF(L6183="1/C",O6183,1),0)</f>
        <v/>
      </c>
      <c r="Y6183" s="12">
        <f>IF(OR(LEFT(K6183,4)="LVAX",LEFT(K6183,6)="MV15AX",LEFT(K6183,4)="CTAX",LEFT(K6183,2)="W|"),2*N6183*O6183,0)</f>
        <v/>
      </c>
      <c r="Z6183" s="12" t="inlineStr">
        <is>
          <t>device-to-JB field wiring, one cable per device</t>
        </is>
      </c>
      <c r="AA6183" s="12">
        <f>N6183*O6183</f>
        <v/>
      </c>
    </row>
    <row r="6184">
      <c r="A6184" s="12" t="inlineStr">
        <is>
          <t>C-I-0100</t>
        </is>
      </c>
      <c r="B6184" s="12" t="inlineStr">
        <is>
          <t>C</t>
        </is>
      </c>
      <c r="C6184" s="12" t="inlineStr">
        <is>
          <t>Grid interface</t>
        </is>
      </c>
      <c r="D6184" s="12" t="inlineStr">
        <is>
          <t>Home run JB-CO2 compression 3 -DI02 to the control / marshalling room</t>
        </is>
      </c>
      <c r="E6184" s="12" t="inlineStr">
        <is>
          <t>R1</t>
        </is>
      </c>
      <c r="F6184" s="12" t="inlineStr">
        <is>
          <t>R1: main electrical building (64 x 180 ft)</t>
        </is>
      </c>
      <c r="G6184" s="12" t="inlineStr">
        <is>
          <t>JB-CO2 compression 3 -DI02</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PLTC|24 pr|18</t>
        </is>
      </c>
      <c r="L6184" s="12" t="inlineStr">
        <is>
          <t>24 pr</t>
        </is>
      </c>
      <c r="M6184" s="12" t="inlineStr">
        <is>
          <t>18</t>
        </is>
      </c>
      <c r="N6184" s="12" t="n">
        <v>1</v>
      </c>
      <c r="O6184" s="12" t="n">
        <v>1</v>
      </c>
      <c r="P6184" s="12" t="n"/>
      <c r="Q6184" s="12" t="n"/>
      <c r="R6184" s="12" t="n"/>
      <c r="S6184" s="12" t="inlineStr">
        <is>
          <t>Tray</t>
        </is>
      </c>
      <c r="T6184" s="15" t="n">
        <v>2186</v>
      </c>
      <c r="U6184" s="15" t="n">
        <v>268</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C-I-0101</t>
        </is>
      </c>
      <c r="B6185" s="12" t="inlineStr">
        <is>
          <t>C</t>
        </is>
      </c>
      <c r="C6185" s="12" t="inlineStr">
        <is>
          <t>Grid interface</t>
        </is>
      </c>
      <c r="D6185" s="12" t="inlineStr">
        <is>
          <t>Discrete device to JB JB-CO2 compression 3 -DI03: 20 x 1 pr (field cables)</t>
        </is>
      </c>
      <c r="E6185" s="12" t="inlineStr"/>
      <c r="F6185" s="12" t="inlineStr">
        <is>
          <t xml:space="preserve">CO2 compression 3 x ~19 MW + dehydration: rooftop HVAC, exhaust fans, </t>
        </is>
      </c>
      <c r="G6185" s="12" t="inlineStr">
        <is>
          <t>JB-CO2 compression 3 -DI03</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PLTC|1 pr|16</t>
        </is>
      </c>
      <c r="L6185" s="12" t="inlineStr">
        <is>
          <t>1 pr</t>
        </is>
      </c>
      <c r="M6185" s="12" t="inlineStr">
        <is>
          <t>16</t>
        </is>
      </c>
      <c r="N6185" s="12" t="n">
        <v>20</v>
      </c>
      <c r="O6185" s="12" t="n">
        <v>1</v>
      </c>
      <c r="P6185" s="12" t="n"/>
      <c r="Q6185" s="12" t="n"/>
      <c r="R6185" s="12" t="n"/>
      <c r="S6185" s="12" t="inlineStr">
        <is>
          <t>Tray / conduit</t>
        </is>
      </c>
      <c r="T6185" s="15" t="n">
        <v>161</v>
      </c>
      <c r="U6185" s="15" t="n">
        <v>10</v>
      </c>
      <c r="V6185" s="15">
        <f>ROUNDUP((T6185+U6185+2*'Read Me'!$B$13)*(1+'Read Me'!$B$12),-1)</f>
        <v/>
      </c>
      <c r="W6185" s="15">
        <f>V6185*N6185*O6185</f>
        <v/>
      </c>
      <c r="X6185" s="12">
        <f>IF(LEFT(I6185,2)="MV",2*N6185*IF(L6185="1/C",O6185,1),0)</f>
        <v/>
      </c>
      <c r="Y6185" s="12">
        <f>IF(OR(LEFT(K6185,4)="LVAX",LEFT(K6185,6)="MV15AX",LEFT(K6185,4)="CTAX",LEFT(K6185,2)="W|"),2*N6185*O6185,0)</f>
        <v/>
      </c>
      <c r="Z6185" s="12" t="inlineStr">
        <is>
          <t>device-to-JB field wiring, one cable per device</t>
        </is>
      </c>
      <c r="AA6185" s="12">
        <f>N6185*O6185</f>
        <v/>
      </c>
    </row>
    <row r="6186">
      <c r="A6186" s="12" t="inlineStr">
        <is>
          <t>C-I-0102</t>
        </is>
      </c>
      <c r="B6186" s="12" t="inlineStr">
        <is>
          <t>C</t>
        </is>
      </c>
      <c r="C6186" s="12" t="inlineStr">
        <is>
          <t>Grid interface</t>
        </is>
      </c>
      <c r="D6186" s="12" t="inlineStr">
        <is>
          <t>Home run JB-CO2 compression 3 -DI03 to the control / marshalling room</t>
        </is>
      </c>
      <c r="E6186" s="12" t="inlineStr">
        <is>
          <t>R1</t>
        </is>
      </c>
      <c r="F6186" s="12" t="inlineStr">
        <is>
          <t>R1: main electrical building (64 x 180 ft)</t>
        </is>
      </c>
      <c r="G6186" s="12" t="inlineStr">
        <is>
          <t>JB-CO2 compression 3 -DI03</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PLTC|24 pr|18</t>
        </is>
      </c>
      <c r="L6186" s="12" t="inlineStr">
        <is>
          <t>24 pr</t>
        </is>
      </c>
      <c r="M6186" s="12" t="inlineStr">
        <is>
          <t>18</t>
        </is>
      </c>
      <c r="N6186" s="12" t="n">
        <v>1</v>
      </c>
      <c r="O6186" s="12" t="n">
        <v>1</v>
      </c>
      <c r="P6186" s="12" t="n"/>
      <c r="Q6186" s="12" t="n"/>
      <c r="R6186" s="12" t="n"/>
      <c r="S6186" s="12" t="inlineStr">
        <is>
          <t>Tray</t>
        </is>
      </c>
      <c r="T6186" s="15" t="n">
        <v>2186</v>
      </c>
      <c r="U6186" s="15" t="n">
        <v>268</v>
      </c>
      <c r="V6186" s="15">
        <f>ROUNDUP((T6186+U6186+2*'Read Me'!$B$13)*(1+'Read Me'!$B$12),-1)</f>
        <v/>
      </c>
      <c r="W6186" s="15">
        <f>V6186*N6186*O6186</f>
        <v/>
      </c>
      <c r="X6186" s="12">
        <f>IF(LEFT(I6186,2)="MV",2*N6186*IF(L6186="1/C",O6186,1),0)</f>
        <v/>
      </c>
      <c r="Y6186" s="12">
        <f>IF(OR(LEFT(K6186,4)="LVAX",LEFT(K6186,6)="MV15AX",LEFT(K6186,4)="CTAX",LEFT(K6186,2)="W|"),2*N6186*O6186,0)</f>
        <v/>
      </c>
      <c r="Z6186" s="12" t="inlineStr"/>
      <c r="AA6186" s="12">
        <f>N6186*O6186</f>
        <v/>
      </c>
    </row>
    <row r="6187">
      <c r="A6187" s="12" t="inlineStr">
        <is>
          <t>C-I-0103</t>
        </is>
      </c>
      <c r="B6187" s="12" t="inlineStr">
        <is>
          <t>C</t>
        </is>
      </c>
      <c r="C6187" s="12" t="inlineStr">
        <is>
          <t>Grid interface</t>
        </is>
      </c>
      <c r="D6187" s="12" t="inlineStr">
        <is>
          <t>Discrete device to JB JB-CO2 compression 3 -DI04: 20 x 1 pr (field cables)</t>
        </is>
      </c>
      <c r="E6187" s="12" t="inlineStr"/>
      <c r="F6187" s="12" t="inlineStr">
        <is>
          <t xml:space="preserve">CO2 compression 3 x ~19 MW + dehydration: rooftop HVAC, exhaust fans, </t>
        </is>
      </c>
      <c r="G6187" s="12" t="inlineStr">
        <is>
          <t>JB-CO2 compression 3 -DI04</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PLTC|1 pr|16</t>
        </is>
      </c>
      <c r="L6187" s="12" t="inlineStr">
        <is>
          <t>1 pr</t>
        </is>
      </c>
      <c r="M6187" s="12" t="inlineStr">
        <is>
          <t>16</t>
        </is>
      </c>
      <c r="N6187" s="12" t="n">
        <v>20</v>
      </c>
      <c r="O6187" s="12" t="n">
        <v>1</v>
      </c>
      <c r="P6187" s="12" t="n"/>
      <c r="Q6187" s="12" t="n"/>
      <c r="R6187" s="12" t="n"/>
      <c r="S6187" s="12" t="inlineStr">
        <is>
          <t>Tray / conduit</t>
        </is>
      </c>
      <c r="T6187" s="15" t="n">
        <v>161</v>
      </c>
      <c r="U6187" s="15" t="n">
        <v>10</v>
      </c>
      <c r="V6187" s="15">
        <f>ROUNDUP((T6187+U6187+2*'Read Me'!$B$13)*(1+'Read Me'!$B$12),-1)</f>
        <v/>
      </c>
      <c r="W6187" s="15">
        <f>V6187*N6187*O6187</f>
        <v/>
      </c>
      <c r="X6187" s="12">
        <f>IF(LEFT(I6187,2)="MV",2*N6187*IF(L6187="1/C",O6187,1),0)</f>
        <v/>
      </c>
      <c r="Y6187" s="12">
        <f>IF(OR(LEFT(K6187,4)="LVAX",LEFT(K6187,6)="MV15AX",LEFT(K6187,4)="CTAX",LEFT(K6187,2)="W|"),2*N6187*O6187,0)</f>
        <v/>
      </c>
      <c r="Z6187" s="12" t="inlineStr">
        <is>
          <t>device-to-JB field wiring, one cable per device</t>
        </is>
      </c>
      <c r="AA6187" s="12">
        <f>N6187*O6187</f>
        <v/>
      </c>
    </row>
    <row r="6188">
      <c r="A6188" s="12" t="inlineStr">
        <is>
          <t>C-I-0104</t>
        </is>
      </c>
      <c r="B6188" s="12" t="inlineStr">
        <is>
          <t>C</t>
        </is>
      </c>
      <c r="C6188" s="12" t="inlineStr">
        <is>
          <t>Grid interface</t>
        </is>
      </c>
      <c r="D6188" s="12" t="inlineStr">
        <is>
          <t>Home run JB-CO2 compression 3 -DI04 to the control / marshalling room</t>
        </is>
      </c>
      <c r="E6188" s="12" t="inlineStr">
        <is>
          <t>R1</t>
        </is>
      </c>
      <c r="F6188" s="12" t="inlineStr">
        <is>
          <t>R1: main electrical building (64 x 180 ft)</t>
        </is>
      </c>
      <c r="G6188" s="12" t="inlineStr">
        <is>
          <t>JB-CO2 compression 3 -DI04</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PLTC|24 pr|18</t>
        </is>
      </c>
      <c r="L6188" s="12" t="inlineStr">
        <is>
          <t>24 pr</t>
        </is>
      </c>
      <c r="M6188" s="12" t="inlineStr">
        <is>
          <t>18</t>
        </is>
      </c>
      <c r="N6188" s="12" t="n">
        <v>1</v>
      </c>
      <c r="O6188" s="12" t="n">
        <v>1</v>
      </c>
      <c r="P6188" s="12" t="n"/>
      <c r="Q6188" s="12" t="n"/>
      <c r="R6188" s="12" t="n"/>
      <c r="S6188" s="12" t="inlineStr">
        <is>
          <t>Tray</t>
        </is>
      </c>
      <c r="T6188" s="15" t="n">
        <v>2186</v>
      </c>
      <c r="U6188" s="15" t="n">
        <v>268</v>
      </c>
      <c r="V6188" s="15">
        <f>ROUNDUP((T6188+U6188+2*'Read Me'!$B$13)*(1+'Read Me'!$B$12),-1)</f>
        <v/>
      </c>
      <c r="W6188" s="15">
        <f>V6188*N6188*O6188</f>
        <v/>
      </c>
      <c r="X6188" s="12">
        <f>IF(LEFT(I6188,2)="MV",2*N6188*IF(L6188="1/C",O6188,1),0)</f>
        <v/>
      </c>
      <c r="Y6188" s="12">
        <f>IF(OR(LEFT(K6188,4)="LVAX",LEFT(K6188,6)="MV15AX",LEFT(K6188,4)="CTAX",LEFT(K6188,2)="W|"),2*N6188*O6188,0)</f>
        <v/>
      </c>
      <c r="Z6188" s="12" t="inlineStr"/>
      <c r="AA6188" s="12">
        <f>N6188*O6188</f>
        <v/>
      </c>
    </row>
    <row r="6189">
      <c r="A6189" s="12" t="inlineStr">
        <is>
          <t>C-I-0105</t>
        </is>
      </c>
      <c r="B6189" s="12" t="inlineStr">
        <is>
          <t>C</t>
        </is>
      </c>
      <c r="C6189" s="12" t="inlineStr">
        <is>
          <t>Grid interface</t>
        </is>
      </c>
      <c r="D6189" s="12" t="inlineStr">
        <is>
          <t>Discrete device to JB JB-CO2 compression 3 -DI05: 20 x 1 pr (field cables)</t>
        </is>
      </c>
      <c r="E6189" s="12" t="inlineStr"/>
      <c r="F6189" s="12" t="inlineStr">
        <is>
          <t xml:space="preserve">CO2 compression 3 x ~19 MW + dehydration: rooftop HVAC, exhaust fans, </t>
        </is>
      </c>
      <c r="G6189" s="12" t="inlineStr">
        <is>
          <t>JB-CO2 compression 3 -DI05</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PLTC|1 pr|16</t>
        </is>
      </c>
      <c r="L6189" s="12" t="inlineStr">
        <is>
          <t>1 pr</t>
        </is>
      </c>
      <c r="M6189" s="12" t="inlineStr">
        <is>
          <t>16</t>
        </is>
      </c>
      <c r="N6189" s="12" t="n">
        <v>20</v>
      </c>
      <c r="O6189" s="12" t="n">
        <v>1</v>
      </c>
      <c r="P6189" s="12" t="n"/>
      <c r="Q6189" s="12" t="n"/>
      <c r="R6189" s="12" t="n"/>
      <c r="S6189" s="12" t="inlineStr">
        <is>
          <t>Tray / conduit</t>
        </is>
      </c>
      <c r="T6189" s="15" t="n">
        <v>161</v>
      </c>
      <c r="U6189" s="15" t="n">
        <v>10</v>
      </c>
      <c r="V6189" s="15">
        <f>ROUNDUP((T6189+U6189+2*'Read Me'!$B$13)*(1+'Read Me'!$B$12),-1)</f>
        <v/>
      </c>
      <c r="W6189" s="15">
        <f>V6189*N6189*O6189</f>
        <v/>
      </c>
      <c r="X6189" s="12">
        <f>IF(LEFT(I6189,2)="MV",2*N6189*IF(L6189="1/C",O6189,1),0)</f>
        <v/>
      </c>
      <c r="Y6189" s="12">
        <f>IF(OR(LEFT(K6189,4)="LVAX",LEFT(K6189,6)="MV15AX",LEFT(K6189,4)="CTAX",LEFT(K6189,2)="W|"),2*N6189*O6189,0)</f>
        <v/>
      </c>
      <c r="Z6189" s="12" t="inlineStr">
        <is>
          <t>device-to-JB field wiring, one cable per device</t>
        </is>
      </c>
      <c r="AA6189" s="12">
        <f>N6189*O6189</f>
        <v/>
      </c>
    </row>
    <row r="6190">
      <c r="A6190" s="12" t="inlineStr">
        <is>
          <t>C-I-0106</t>
        </is>
      </c>
      <c r="B6190" s="12" t="inlineStr">
        <is>
          <t>C</t>
        </is>
      </c>
      <c r="C6190" s="12" t="inlineStr">
        <is>
          <t>Grid interface</t>
        </is>
      </c>
      <c r="D6190" s="12" t="inlineStr">
        <is>
          <t>Home run JB-CO2 compression 3 -DI05 to the control / marshalling room</t>
        </is>
      </c>
      <c r="E6190" s="12" t="inlineStr">
        <is>
          <t>R1</t>
        </is>
      </c>
      <c r="F6190" s="12" t="inlineStr">
        <is>
          <t>R1: main electrical building (64 x 180 ft)</t>
        </is>
      </c>
      <c r="G6190" s="12" t="inlineStr">
        <is>
          <t>JB-CO2 compression 3 -DI05</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PLTC|24 pr|18</t>
        </is>
      </c>
      <c r="L6190" s="12" t="inlineStr">
        <is>
          <t>24 pr</t>
        </is>
      </c>
      <c r="M6190" s="12" t="inlineStr">
        <is>
          <t>18</t>
        </is>
      </c>
      <c r="N6190" s="12" t="n">
        <v>1</v>
      </c>
      <c r="O6190" s="12" t="n">
        <v>1</v>
      </c>
      <c r="P6190" s="12" t="n"/>
      <c r="Q6190" s="12" t="n"/>
      <c r="R6190" s="12" t="n"/>
      <c r="S6190" s="12" t="inlineStr">
        <is>
          <t>Tray</t>
        </is>
      </c>
      <c r="T6190" s="15" t="n">
        <v>2186</v>
      </c>
      <c r="U6190" s="15" t="n">
        <v>268</v>
      </c>
      <c r="V6190" s="15">
        <f>ROUNDUP((T6190+U6190+2*'Read Me'!$B$13)*(1+'Read Me'!$B$12),-1)</f>
        <v/>
      </c>
      <c r="W6190" s="15">
        <f>V6190*N6190*O6190</f>
        <v/>
      </c>
      <c r="X6190" s="12">
        <f>IF(LEFT(I6190,2)="MV",2*N6190*IF(L6190="1/C",O6190,1),0)</f>
        <v/>
      </c>
      <c r="Y6190" s="12">
        <f>IF(OR(LEFT(K6190,4)="LVAX",LEFT(K6190,6)="MV15AX",LEFT(K6190,4)="CTAX",LEFT(K6190,2)="W|"),2*N6190*O6190,0)</f>
        <v/>
      </c>
      <c r="Z6190" s="12" t="inlineStr"/>
      <c r="AA6190" s="12">
        <f>N6190*O6190</f>
        <v/>
      </c>
    </row>
    <row r="6191">
      <c r="A6191" s="12" t="inlineStr">
        <is>
          <t>C-I-0107</t>
        </is>
      </c>
      <c r="B6191" s="12" t="inlineStr">
        <is>
          <t>C</t>
        </is>
      </c>
      <c r="C6191" s="12" t="inlineStr">
        <is>
          <t>Grid interface</t>
        </is>
      </c>
      <c r="D6191" s="12" t="inlineStr">
        <is>
          <t>RTD to JB JB-CO2 compression 3 -RTD01: 10 x 1 tri (field cables)</t>
        </is>
      </c>
      <c r="E6191" s="12" t="inlineStr"/>
      <c r="F6191" s="12" t="inlineStr">
        <is>
          <t xml:space="preserve">CO2 compression 3 x ~19 MW + dehydration: rooftop HVAC, exhaust fans, </t>
        </is>
      </c>
      <c r="G6191" s="12" t="inlineStr">
        <is>
          <t>JB-CO2 compression 3 -RTD01</t>
        </is>
      </c>
      <c r="H6191" s="12" t="inlineStr">
        <is>
          <t xml:space="preserve">CO2 compression 3 x ~19 MW + dehydration: rooftop HVAC, exhaust fans, </t>
        </is>
      </c>
      <c r="I6191" s="12" t="inlineStr">
        <is>
          <t>Instrumentation</t>
        </is>
      </c>
      <c r="J6191" s="12" t="inlineStr">
        <is>
          <t>RTD cable, #18 shielded triads, PLTC</t>
        </is>
      </c>
      <c r="K6191" s="12" t="inlineStr">
        <is>
          <t>RTD|1 tri|18</t>
        </is>
      </c>
      <c r="L6191" s="12" t="inlineStr">
        <is>
          <t>1 tri</t>
        </is>
      </c>
      <c r="M6191" s="12" t="inlineStr">
        <is>
          <t>18</t>
        </is>
      </c>
      <c r="N6191" s="12" t="n">
        <v>10</v>
      </c>
      <c r="O6191" s="12" t="n">
        <v>1</v>
      </c>
      <c r="P6191" s="12" t="n"/>
      <c r="Q6191" s="12" t="n"/>
      <c r="R6191" s="12" t="n"/>
      <c r="S6191" s="12" t="inlineStr">
        <is>
          <t>Tray / conduit</t>
        </is>
      </c>
      <c r="T6191" s="15" t="n">
        <v>161</v>
      </c>
      <c r="U6191" s="15" t="n">
        <v>10</v>
      </c>
      <c r="V6191" s="15">
        <f>ROUNDUP((T6191+U6191+2*'Read Me'!$B$13)*(1+'Read Me'!$B$12),-1)</f>
        <v/>
      </c>
      <c r="W6191" s="15">
        <f>V6191*N6191*O6191</f>
        <v/>
      </c>
      <c r="X6191" s="12">
        <f>IF(LEFT(I6191,2)="MV",2*N6191*IF(L6191="1/C",O6191,1),0)</f>
        <v/>
      </c>
      <c r="Y6191" s="12">
        <f>IF(OR(LEFT(K6191,4)="LVAX",LEFT(K6191,6)="MV15AX",LEFT(K6191,4)="CTAX",LEFT(K6191,2)="W|"),2*N6191*O6191,0)</f>
        <v/>
      </c>
      <c r="Z6191" s="12" t="inlineStr">
        <is>
          <t>device-to-JB field wiring, one cable per device</t>
        </is>
      </c>
      <c r="AA6191" s="12">
        <f>N6191*O6191</f>
        <v/>
      </c>
    </row>
    <row r="6192">
      <c r="A6192" s="12" t="inlineStr">
        <is>
          <t>C-I-0108</t>
        </is>
      </c>
      <c r="B6192" s="12" t="inlineStr">
        <is>
          <t>C</t>
        </is>
      </c>
      <c r="C6192" s="12" t="inlineStr">
        <is>
          <t>Grid interface</t>
        </is>
      </c>
      <c r="D6192" s="12" t="inlineStr">
        <is>
          <t>Home run JB-CO2 compression 3 -RTD01 to the control / marshalling room</t>
        </is>
      </c>
      <c r="E6192" s="12" t="inlineStr">
        <is>
          <t>R1</t>
        </is>
      </c>
      <c r="F6192" s="12" t="inlineStr">
        <is>
          <t>R1: main electrical building (64 x 180 ft)</t>
        </is>
      </c>
      <c r="G6192" s="12" t="inlineStr">
        <is>
          <t>JB-CO2 compression 3 -RTD01</t>
        </is>
      </c>
      <c r="H6192" s="12" t="inlineStr">
        <is>
          <t xml:space="preserve">CO2 compression 3 x ~19 MW + dehydration: rooftop HVAC, exhaust fans, </t>
        </is>
      </c>
      <c r="I6192" s="12" t="inlineStr">
        <is>
          <t>Instrumentation</t>
        </is>
      </c>
      <c r="J6192" s="12" t="inlineStr">
        <is>
          <t>RTD cable, #18 shielded triads, PLTC</t>
        </is>
      </c>
      <c r="K6192" s="12" t="inlineStr">
        <is>
          <t>RTD|12 tri|18</t>
        </is>
      </c>
      <c r="L6192" s="12" t="inlineStr">
        <is>
          <t>12 tri</t>
        </is>
      </c>
      <c r="M6192" s="12" t="inlineStr">
        <is>
          <t>18</t>
        </is>
      </c>
      <c r="N6192" s="12" t="n">
        <v>1</v>
      </c>
      <c r="O6192" s="12" t="n">
        <v>1</v>
      </c>
      <c r="P6192" s="12" t="n"/>
      <c r="Q6192" s="12" t="n"/>
      <c r="R6192" s="12" t="n"/>
      <c r="S6192" s="12" t="inlineStr">
        <is>
          <t>Tray</t>
        </is>
      </c>
      <c r="T6192" s="15" t="n">
        <v>2186</v>
      </c>
      <c r="U6192" s="15" t="n">
        <v>268</v>
      </c>
      <c r="V6192" s="15">
        <f>ROUNDUP((T6192+U6192+2*'Read Me'!$B$13)*(1+'Read Me'!$B$12),-1)</f>
        <v/>
      </c>
      <c r="W6192" s="15">
        <f>V6192*N6192*O6192</f>
        <v/>
      </c>
      <c r="X6192" s="12">
        <f>IF(LEFT(I6192,2)="MV",2*N6192*IF(L6192="1/C",O6192,1),0)</f>
        <v/>
      </c>
      <c r="Y6192" s="12">
        <f>IF(OR(LEFT(K6192,4)="LVAX",LEFT(K6192,6)="MV15AX",LEFT(K6192,4)="CTAX",LEFT(K6192,2)="W|"),2*N6192*O6192,0)</f>
        <v/>
      </c>
      <c r="Z6192" s="12" t="inlineStr"/>
      <c r="AA6192" s="12">
        <f>N6192*O6192</f>
        <v/>
      </c>
    </row>
    <row r="6193">
      <c r="A6193" s="12" t="inlineStr">
        <is>
          <t>C-I-0109</t>
        </is>
      </c>
      <c r="B6193" s="12" t="inlineStr">
        <is>
          <t>C</t>
        </is>
      </c>
      <c r="C6193" s="12" t="inlineStr">
        <is>
          <t>Grid interface</t>
        </is>
      </c>
      <c r="D6193" s="12" t="inlineStr">
        <is>
          <t>RTD to JB JB-CO2 compression 3 -RTD02: 10 x 1 tri (field cables)</t>
        </is>
      </c>
      <c r="E6193" s="12" t="inlineStr"/>
      <c r="F6193" s="12" t="inlineStr">
        <is>
          <t xml:space="preserve">CO2 compression 3 x ~19 MW + dehydration: rooftop HVAC, exhaust fans, </t>
        </is>
      </c>
      <c r="G6193" s="12" t="inlineStr">
        <is>
          <t>JB-CO2 compression 3 -RTD02</t>
        </is>
      </c>
      <c r="H6193" s="12" t="inlineStr">
        <is>
          <t xml:space="preserve">CO2 compression 3 x ~19 MW + dehydration: rooftop HVAC, exhaust fans, </t>
        </is>
      </c>
      <c r="I6193" s="12" t="inlineStr">
        <is>
          <t>Instrumentation</t>
        </is>
      </c>
      <c r="J6193" s="12" t="inlineStr">
        <is>
          <t>RTD cable, #18 shielded triads, PLTC</t>
        </is>
      </c>
      <c r="K6193" s="12" t="inlineStr">
        <is>
          <t>RTD|1 tri|18</t>
        </is>
      </c>
      <c r="L6193" s="12" t="inlineStr">
        <is>
          <t>1 tri</t>
        </is>
      </c>
      <c r="M6193" s="12" t="inlineStr">
        <is>
          <t>18</t>
        </is>
      </c>
      <c r="N6193" s="12" t="n">
        <v>10</v>
      </c>
      <c r="O6193" s="12" t="n">
        <v>1</v>
      </c>
      <c r="P6193" s="12" t="n"/>
      <c r="Q6193" s="12" t="n"/>
      <c r="R6193" s="12" t="n"/>
      <c r="S6193" s="12" t="inlineStr">
        <is>
          <t>Tray / conduit</t>
        </is>
      </c>
      <c r="T6193" s="15" t="n">
        <v>161</v>
      </c>
      <c r="U6193" s="15" t="n">
        <v>10</v>
      </c>
      <c r="V6193" s="15">
        <f>ROUNDUP((T6193+U6193+2*'Read Me'!$B$13)*(1+'Read Me'!$B$12),-1)</f>
        <v/>
      </c>
      <c r="W6193" s="15">
        <f>V6193*N6193*O6193</f>
        <v/>
      </c>
      <c r="X6193" s="12">
        <f>IF(LEFT(I6193,2)="MV",2*N6193*IF(L6193="1/C",O6193,1),0)</f>
        <v/>
      </c>
      <c r="Y6193" s="12">
        <f>IF(OR(LEFT(K6193,4)="LVAX",LEFT(K6193,6)="MV15AX",LEFT(K6193,4)="CTAX",LEFT(K6193,2)="W|"),2*N6193*O6193,0)</f>
        <v/>
      </c>
      <c r="Z6193" s="12" t="inlineStr">
        <is>
          <t>device-to-JB field wiring, one cable per device</t>
        </is>
      </c>
      <c r="AA6193" s="12">
        <f>N6193*O6193</f>
        <v/>
      </c>
    </row>
    <row r="6194">
      <c r="A6194" s="12" t="inlineStr">
        <is>
          <t>C-I-0110</t>
        </is>
      </c>
      <c r="B6194" s="12" t="inlineStr">
        <is>
          <t>C</t>
        </is>
      </c>
      <c r="C6194" s="12" t="inlineStr">
        <is>
          <t>Grid interface</t>
        </is>
      </c>
      <c r="D6194" s="12" t="inlineStr">
        <is>
          <t>Home run JB-CO2 compression 3 -RTD02 to the control / marshalling room</t>
        </is>
      </c>
      <c r="E6194" s="12" t="inlineStr">
        <is>
          <t>R1</t>
        </is>
      </c>
      <c r="F6194" s="12" t="inlineStr">
        <is>
          <t>R1: main electrical building (64 x 180 ft)</t>
        </is>
      </c>
      <c r="G6194" s="12" t="inlineStr">
        <is>
          <t>JB-CO2 compression 3 -RTD02</t>
        </is>
      </c>
      <c r="H6194" s="12" t="inlineStr">
        <is>
          <t xml:space="preserve">CO2 compression 3 x ~19 MW + dehydration: rooftop HVAC, exhaust fans, </t>
        </is>
      </c>
      <c r="I6194" s="12" t="inlineStr">
        <is>
          <t>Instrumentation</t>
        </is>
      </c>
      <c r="J6194" s="12" t="inlineStr">
        <is>
          <t>RTD cable, #18 shielded triads, PLTC</t>
        </is>
      </c>
      <c r="K6194" s="12" t="inlineStr">
        <is>
          <t>RTD|12 tri|18</t>
        </is>
      </c>
      <c r="L6194" s="12" t="inlineStr">
        <is>
          <t>12 tri</t>
        </is>
      </c>
      <c r="M6194" s="12" t="inlineStr">
        <is>
          <t>18</t>
        </is>
      </c>
      <c r="N6194" s="12" t="n">
        <v>1</v>
      </c>
      <c r="O6194" s="12" t="n">
        <v>1</v>
      </c>
      <c r="P6194" s="12" t="n"/>
      <c r="Q6194" s="12" t="n"/>
      <c r="R6194" s="12" t="n"/>
      <c r="S6194" s="12" t="inlineStr">
        <is>
          <t>Tray</t>
        </is>
      </c>
      <c r="T6194" s="15" t="n">
        <v>2186</v>
      </c>
      <c r="U6194" s="15" t="n">
        <v>268</v>
      </c>
      <c r="V6194" s="15">
        <f>ROUNDUP((T6194+U6194+2*'Read Me'!$B$13)*(1+'Read Me'!$B$12),-1)</f>
        <v/>
      </c>
      <c r="W6194" s="15">
        <f>V6194*N6194*O6194</f>
        <v/>
      </c>
      <c r="X6194" s="12">
        <f>IF(LEFT(I6194,2)="MV",2*N6194*IF(L6194="1/C",O6194,1),0)</f>
        <v/>
      </c>
      <c r="Y6194" s="12">
        <f>IF(OR(LEFT(K6194,4)="LVAX",LEFT(K6194,6)="MV15AX",LEFT(K6194,4)="CTAX",LEFT(K6194,2)="W|"),2*N6194*O6194,0)</f>
        <v/>
      </c>
      <c r="Z6194" s="12" t="inlineStr"/>
      <c r="AA6194" s="12">
        <f>N6194*O6194</f>
        <v/>
      </c>
    </row>
    <row r="6195">
      <c r="A6195" s="12" t="inlineStr">
        <is>
          <t>C-I-0111</t>
        </is>
      </c>
      <c r="B6195" s="12" t="inlineStr">
        <is>
          <t>C</t>
        </is>
      </c>
      <c r="C6195" s="12" t="inlineStr">
        <is>
          <t>Grid interface</t>
        </is>
      </c>
      <c r="D6195" s="12" t="inlineStr">
        <is>
          <t>RTD to JB JB-CO2 compression 3 -RTD03: 10 x 1 tri (field cables)</t>
        </is>
      </c>
      <c r="E6195" s="12" t="inlineStr"/>
      <c r="F6195" s="12" t="inlineStr">
        <is>
          <t xml:space="preserve">CO2 compression 3 x ~19 MW + dehydration: rooftop HVAC, exhaust fans, </t>
        </is>
      </c>
      <c r="G6195" s="12" t="inlineStr">
        <is>
          <t>JB-CO2 compression 3 -RTD03</t>
        </is>
      </c>
      <c r="H6195" s="12" t="inlineStr">
        <is>
          <t xml:space="preserve">CO2 compression 3 x ~19 MW + dehydration: rooftop HVAC, exhaust fans, </t>
        </is>
      </c>
      <c r="I6195" s="12" t="inlineStr">
        <is>
          <t>Instrumentation</t>
        </is>
      </c>
      <c r="J6195" s="12" t="inlineStr">
        <is>
          <t>RTD cable, #18 shielded triads, PLTC</t>
        </is>
      </c>
      <c r="K6195" s="12" t="inlineStr">
        <is>
          <t>RTD|1 tri|18</t>
        </is>
      </c>
      <c r="L6195" s="12" t="inlineStr">
        <is>
          <t>1 tri</t>
        </is>
      </c>
      <c r="M6195" s="12" t="inlineStr">
        <is>
          <t>18</t>
        </is>
      </c>
      <c r="N6195" s="12" t="n">
        <v>10</v>
      </c>
      <c r="O6195" s="12" t="n">
        <v>1</v>
      </c>
      <c r="P6195" s="12" t="n"/>
      <c r="Q6195" s="12" t="n"/>
      <c r="R6195" s="12" t="n"/>
      <c r="S6195" s="12" t="inlineStr">
        <is>
          <t>Tray / conduit</t>
        </is>
      </c>
      <c r="T6195" s="15" t="n">
        <v>161</v>
      </c>
      <c r="U6195" s="15" t="n">
        <v>10</v>
      </c>
      <c r="V6195" s="15">
        <f>ROUNDUP((T6195+U6195+2*'Read Me'!$B$13)*(1+'Read Me'!$B$12),-1)</f>
        <v/>
      </c>
      <c r="W6195" s="15">
        <f>V6195*N6195*O6195</f>
        <v/>
      </c>
      <c r="X6195" s="12">
        <f>IF(LEFT(I6195,2)="MV",2*N6195*IF(L6195="1/C",O6195,1),0)</f>
        <v/>
      </c>
      <c r="Y6195" s="12">
        <f>IF(OR(LEFT(K6195,4)="LVAX",LEFT(K6195,6)="MV15AX",LEFT(K6195,4)="CTAX",LEFT(K6195,2)="W|"),2*N6195*O6195,0)</f>
        <v/>
      </c>
      <c r="Z6195" s="12" t="inlineStr">
        <is>
          <t>device-to-JB field wiring, one cable per device</t>
        </is>
      </c>
      <c r="AA6195" s="12">
        <f>N6195*O6195</f>
        <v/>
      </c>
    </row>
    <row r="6196">
      <c r="A6196" s="12" t="inlineStr">
        <is>
          <t>C-I-0112</t>
        </is>
      </c>
      <c r="B6196" s="12" t="inlineStr">
        <is>
          <t>C</t>
        </is>
      </c>
      <c r="C6196" s="12" t="inlineStr">
        <is>
          <t>Grid interface</t>
        </is>
      </c>
      <c r="D6196" s="12" t="inlineStr">
        <is>
          <t>Home run JB-CO2 compression 3 -RTD03 to the control / marshalling room</t>
        </is>
      </c>
      <c r="E6196" s="12" t="inlineStr">
        <is>
          <t>R1</t>
        </is>
      </c>
      <c r="F6196" s="12" t="inlineStr">
        <is>
          <t>R1: main electrical building (64 x 180 ft)</t>
        </is>
      </c>
      <c r="G6196" s="12" t="inlineStr">
        <is>
          <t>JB-CO2 compression 3 -RTD03</t>
        </is>
      </c>
      <c r="H6196" s="12" t="inlineStr">
        <is>
          <t xml:space="preserve">CO2 compression 3 x ~19 MW + dehydration: rooftop HVAC, exhaust fans, </t>
        </is>
      </c>
      <c r="I6196" s="12" t="inlineStr">
        <is>
          <t>Instrumentation</t>
        </is>
      </c>
      <c r="J6196" s="12" t="inlineStr">
        <is>
          <t>RTD cable, #18 shielded triads, PLTC</t>
        </is>
      </c>
      <c r="K6196" s="12" t="inlineStr">
        <is>
          <t>RTD|12 tri|18</t>
        </is>
      </c>
      <c r="L6196" s="12" t="inlineStr">
        <is>
          <t>12 tri</t>
        </is>
      </c>
      <c r="M6196" s="12" t="inlineStr">
        <is>
          <t>18</t>
        </is>
      </c>
      <c r="N6196" s="12" t="n">
        <v>1</v>
      </c>
      <c r="O6196" s="12" t="n">
        <v>1</v>
      </c>
      <c r="P6196" s="12" t="n"/>
      <c r="Q6196" s="12" t="n"/>
      <c r="R6196" s="12" t="n"/>
      <c r="S6196" s="12" t="inlineStr">
        <is>
          <t>Tray</t>
        </is>
      </c>
      <c r="T6196" s="15" t="n">
        <v>2186</v>
      </c>
      <c r="U6196" s="15" t="n">
        <v>268</v>
      </c>
      <c r="V6196" s="15">
        <f>ROUNDUP((T6196+U6196+2*'Read Me'!$B$13)*(1+'Read Me'!$B$12),-1)</f>
        <v/>
      </c>
      <c r="W6196" s="15">
        <f>V6196*N6196*O6196</f>
        <v/>
      </c>
      <c r="X6196" s="12">
        <f>IF(LEFT(I6196,2)="MV",2*N6196*IF(L6196="1/C",O6196,1),0)</f>
        <v/>
      </c>
      <c r="Y6196" s="12">
        <f>IF(OR(LEFT(K6196,4)="LVAX",LEFT(K6196,6)="MV15AX",LEFT(K6196,4)="CTAX",LEFT(K6196,2)="W|"),2*N6196*O6196,0)</f>
        <v/>
      </c>
      <c r="Z6196" s="12" t="inlineStr"/>
      <c r="AA6196" s="12">
        <f>N6196*O6196</f>
        <v/>
      </c>
    </row>
    <row r="6197">
      <c r="A6197" s="12" t="inlineStr">
        <is>
          <t>C-I-0113</t>
        </is>
      </c>
      <c r="B6197" s="12" t="inlineStr">
        <is>
          <t>C</t>
        </is>
      </c>
      <c r="C6197" s="12" t="inlineStr">
        <is>
          <t>Grid interface</t>
        </is>
      </c>
      <c r="D6197" s="12" t="inlineStr">
        <is>
          <t>RTD to JB JB-CO2 compression 3 -RTD04: 6 x 1 tri (field cables)</t>
        </is>
      </c>
      <c r="E6197" s="12" t="inlineStr"/>
      <c r="F6197" s="12" t="inlineStr">
        <is>
          <t xml:space="preserve">CO2 compression 3 x ~19 MW + dehydration: rooftop HVAC, exhaust fans, </t>
        </is>
      </c>
      <c r="G6197" s="12" t="inlineStr">
        <is>
          <t>JB-CO2 compression 3 -RTD04</t>
        </is>
      </c>
      <c r="H6197" s="12" t="inlineStr">
        <is>
          <t xml:space="preserve">CO2 compression 3 x ~19 MW + dehydration: rooftop HVAC, exhaust fans, </t>
        </is>
      </c>
      <c r="I6197" s="12" t="inlineStr">
        <is>
          <t>Instrumentation</t>
        </is>
      </c>
      <c r="J6197" s="12" t="inlineStr">
        <is>
          <t>RTD cable, #18 shielded triads, PLTC</t>
        </is>
      </c>
      <c r="K6197" s="12" t="inlineStr">
        <is>
          <t>RTD|1 tri|18</t>
        </is>
      </c>
      <c r="L6197" s="12" t="inlineStr">
        <is>
          <t>1 tri</t>
        </is>
      </c>
      <c r="M6197" s="12" t="inlineStr">
        <is>
          <t>18</t>
        </is>
      </c>
      <c r="N6197" s="12" t="n">
        <v>6</v>
      </c>
      <c r="O6197" s="12" t="n">
        <v>1</v>
      </c>
      <c r="P6197" s="12" t="n"/>
      <c r="Q6197" s="12" t="n"/>
      <c r="R6197" s="12" t="n"/>
      <c r="S6197" s="12" t="inlineStr">
        <is>
          <t>Tray / conduit</t>
        </is>
      </c>
      <c r="T6197" s="15" t="n">
        <v>161</v>
      </c>
      <c r="U6197" s="15" t="n">
        <v>10</v>
      </c>
      <c r="V6197" s="15">
        <f>ROUNDUP((T6197+U6197+2*'Read Me'!$B$13)*(1+'Read Me'!$B$12),-1)</f>
        <v/>
      </c>
      <c r="W6197" s="15">
        <f>V6197*N6197*O6197</f>
        <v/>
      </c>
      <c r="X6197" s="12">
        <f>IF(LEFT(I6197,2)="MV",2*N6197*IF(L6197="1/C",O6197,1),0)</f>
        <v/>
      </c>
      <c r="Y6197" s="12">
        <f>IF(OR(LEFT(K6197,4)="LVAX",LEFT(K6197,6)="MV15AX",LEFT(K6197,4)="CTAX",LEFT(K6197,2)="W|"),2*N6197*O6197,0)</f>
        <v/>
      </c>
      <c r="Z6197" s="12" t="inlineStr">
        <is>
          <t>device-to-JB field wiring, one cable per device</t>
        </is>
      </c>
      <c r="AA6197" s="12">
        <f>N6197*O6197</f>
        <v/>
      </c>
    </row>
    <row r="6198">
      <c r="A6198" s="12" t="inlineStr">
        <is>
          <t>C-I-0114</t>
        </is>
      </c>
      <c r="B6198" s="12" t="inlineStr">
        <is>
          <t>C</t>
        </is>
      </c>
      <c r="C6198" s="12" t="inlineStr">
        <is>
          <t>Grid interface</t>
        </is>
      </c>
      <c r="D6198" s="12" t="inlineStr">
        <is>
          <t>Home run JB-CO2 compression 3 -RTD04 to the control / marshalling room</t>
        </is>
      </c>
      <c r="E6198" s="12" t="inlineStr">
        <is>
          <t>R1</t>
        </is>
      </c>
      <c r="F6198" s="12" t="inlineStr">
        <is>
          <t>R1: main electrical building (64 x 180 ft)</t>
        </is>
      </c>
      <c r="G6198" s="12" t="inlineStr">
        <is>
          <t>JB-CO2 compression 3 -RTD04</t>
        </is>
      </c>
      <c r="H6198" s="12" t="inlineStr">
        <is>
          <t xml:space="preserve">CO2 compression 3 x ~19 MW + dehydration: rooftop HVAC, exhaust fans, </t>
        </is>
      </c>
      <c r="I6198" s="12" t="inlineStr">
        <is>
          <t>Instrumentation</t>
        </is>
      </c>
      <c r="J6198" s="12" t="inlineStr">
        <is>
          <t>RTD cable, #18 shielded triads, PLTC</t>
        </is>
      </c>
      <c r="K6198" s="12" t="inlineStr">
        <is>
          <t>RTD|12 tri|18</t>
        </is>
      </c>
      <c r="L6198" s="12" t="inlineStr">
        <is>
          <t>12 tri</t>
        </is>
      </c>
      <c r="M6198" s="12" t="inlineStr">
        <is>
          <t>18</t>
        </is>
      </c>
      <c r="N6198" s="12" t="n">
        <v>1</v>
      </c>
      <c r="O6198" s="12" t="n">
        <v>1</v>
      </c>
      <c r="P6198" s="12" t="n"/>
      <c r="Q6198" s="12" t="n"/>
      <c r="R6198" s="12" t="n"/>
      <c r="S6198" s="12" t="inlineStr">
        <is>
          <t>Tray</t>
        </is>
      </c>
      <c r="T6198" s="15" t="n">
        <v>2186</v>
      </c>
      <c r="U6198" s="15" t="n">
        <v>268</v>
      </c>
      <c r="V6198" s="15">
        <f>ROUNDUP((T6198+U6198+2*'Read Me'!$B$13)*(1+'Read Me'!$B$12),-1)</f>
        <v/>
      </c>
      <c r="W6198" s="15">
        <f>V6198*N6198*O6198</f>
        <v/>
      </c>
      <c r="X6198" s="12">
        <f>IF(LEFT(I6198,2)="MV",2*N6198*IF(L6198="1/C",O6198,1),0)</f>
        <v/>
      </c>
      <c r="Y6198" s="12">
        <f>IF(OR(LEFT(K6198,4)="LVAX",LEFT(K6198,6)="MV15AX",LEFT(K6198,4)="CTAX",LEFT(K6198,2)="W|"),2*N6198*O6198,0)</f>
        <v/>
      </c>
      <c r="Z6198" s="12" t="inlineStr"/>
      <c r="AA6198" s="12">
        <f>N6198*O6198</f>
        <v/>
      </c>
    </row>
    <row r="6199">
      <c r="A6199" s="12" t="inlineStr">
        <is>
          <t>C-I-0115</t>
        </is>
      </c>
      <c r="B6199" s="12" t="inlineStr">
        <is>
          <t>C</t>
        </is>
      </c>
      <c r="C6199" s="12" t="inlineStr">
        <is>
          <t>Grid interface</t>
        </is>
      </c>
      <c r="D6199" s="12" t="inlineStr">
        <is>
          <t>Analog instrument to JB JB-Small-bore piping:-AI01: 10 x 1 pr (field cables)</t>
        </is>
      </c>
      <c r="E6199" s="12" t="inlineStr"/>
      <c r="F6199" s="12" t="inlineStr">
        <is>
          <t>Small-bore piping: instrument air, service water, nitrogen, HRSG drain</t>
        </is>
      </c>
      <c r="G6199" s="12" t="inlineStr">
        <is>
          <t>JB-Small-bore piping:-AI01</t>
        </is>
      </c>
      <c r="H6199" s="12" t="inlineStr">
        <is>
          <t>Small-bore piping: instrument air, service water, nitrogen, HRSG drain</t>
        </is>
      </c>
      <c r="I6199" s="12" t="inlineStr">
        <is>
          <t>Instrumentation</t>
        </is>
      </c>
      <c r="J6199" s="12" t="inlineStr">
        <is>
          <t>Instrumentation PLTC / TC-ER 300 V, #18 twisted shielded pairs, overall shield</t>
        </is>
      </c>
      <c r="K6199" s="12" t="inlineStr">
        <is>
          <t>PLTC|1 pr|16</t>
        </is>
      </c>
      <c r="L6199" s="12" t="inlineStr">
        <is>
          <t>1 pr</t>
        </is>
      </c>
      <c r="M6199" s="12" t="inlineStr">
        <is>
          <t>16</t>
        </is>
      </c>
      <c r="N6199" s="12" t="n">
        <v>10</v>
      </c>
      <c r="O6199" s="12" t="n">
        <v>1</v>
      </c>
      <c r="P6199" s="12" t="n"/>
      <c r="Q6199" s="12" t="n"/>
      <c r="R6199" s="12" t="n"/>
      <c r="S6199" s="12" t="inlineStr">
        <is>
          <t>Tray / conduit</t>
        </is>
      </c>
      <c r="T6199" s="15" t="n">
        <v>250</v>
      </c>
      <c r="U6199" s="15" t="n">
        <v>10</v>
      </c>
      <c r="V6199" s="15">
        <f>ROUNDUP((T6199+U6199+2*'Read Me'!$B$13)*(1+'Read Me'!$B$12),-1)</f>
        <v/>
      </c>
      <c r="W6199" s="15">
        <f>V6199*N6199*O6199</f>
        <v/>
      </c>
      <c r="X6199" s="12">
        <f>IF(LEFT(I6199,2)="MV",2*N6199*IF(L6199="1/C",O6199,1),0)</f>
        <v/>
      </c>
      <c r="Y6199" s="12">
        <f>IF(OR(LEFT(K6199,4)="LVAX",LEFT(K6199,6)="MV15AX",LEFT(K6199,4)="CTAX",LEFT(K6199,2)="W|"),2*N6199*O6199,0)</f>
        <v/>
      </c>
      <c r="Z6199" s="12" t="inlineStr">
        <is>
          <t>device-to-JB field wiring, one cable per device</t>
        </is>
      </c>
      <c r="AA6199" s="12">
        <f>N6199*O6199</f>
        <v/>
      </c>
    </row>
    <row r="6200">
      <c r="A6200" s="12" t="inlineStr">
        <is>
          <t>C-I-0116</t>
        </is>
      </c>
      <c r="B6200" s="12" t="inlineStr">
        <is>
          <t>C</t>
        </is>
      </c>
      <c r="C6200" s="12" t="inlineStr">
        <is>
          <t>Grid interface</t>
        </is>
      </c>
      <c r="D6200" s="12" t="inlineStr">
        <is>
          <t>Home run JB-Small-bore piping:-AI01 to the control / marshalling room</t>
        </is>
      </c>
      <c r="E6200" s="12" t="inlineStr">
        <is>
          <t>R1</t>
        </is>
      </c>
      <c r="F6200" s="12" t="inlineStr">
        <is>
          <t>R1: main electrical building (64 x 180 ft)</t>
        </is>
      </c>
      <c r="G6200" s="12" t="inlineStr">
        <is>
          <t>JB-Small-bore piping:-AI01</t>
        </is>
      </c>
      <c r="H6200" s="12" t="inlineStr">
        <is>
          <t>Small-bore piping: instrument air, service water, nitrogen, HRSG drain</t>
        </is>
      </c>
      <c r="I6200" s="12" t="inlineStr">
        <is>
          <t>Instrumentation</t>
        </is>
      </c>
      <c r="J6200" s="12" t="inlineStr">
        <is>
          <t>Instrumentation PLTC / TC-ER 300 V, #18 twisted shielded pairs, overall shield</t>
        </is>
      </c>
      <c r="K6200" s="12" t="inlineStr">
        <is>
          <t>PLTC|24 pr|18</t>
        </is>
      </c>
      <c r="L6200" s="12" t="inlineStr">
        <is>
          <t>24 pr</t>
        </is>
      </c>
      <c r="M6200" s="12" t="inlineStr">
        <is>
          <t>18</t>
        </is>
      </c>
      <c r="N6200" s="12" t="n">
        <v>1</v>
      </c>
      <c r="O6200" s="12" t="n">
        <v>1</v>
      </c>
      <c r="P6200" s="12" t="n"/>
      <c r="Q6200" s="12" t="n"/>
      <c r="R6200" s="12" t="n"/>
      <c r="S6200" s="12" t="inlineStr">
        <is>
          <t>Tray</t>
        </is>
      </c>
      <c r="T6200" s="15" t="n">
        <v>1218</v>
      </c>
      <c r="U6200" s="15" t="n">
        <v>200</v>
      </c>
      <c r="V6200" s="15">
        <f>ROUNDUP((T6200+U6200+2*'Read Me'!$B$13)*(1+'Read Me'!$B$12),-1)</f>
        <v/>
      </c>
      <c r="W6200" s="15">
        <f>V6200*N6200*O6200</f>
        <v/>
      </c>
      <c r="X6200" s="12">
        <f>IF(LEFT(I6200,2)="MV",2*N6200*IF(L6200="1/C",O6200,1),0)</f>
        <v/>
      </c>
      <c r="Y6200" s="12">
        <f>IF(OR(LEFT(K6200,4)="LVAX",LEFT(K6200,6)="MV15AX",LEFT(K6200,4)="CTAX",LEFT(K6200,2)="W|"),2*N6200*O6200,0)</f>
        <v/>
      </c>
      <c r="Z6200" s="12" t="inlineStr"/>
      <c r="AA6200" s="12">
        <f>N6200*O6200</f>
        <v/>
      </c>
    </row>
    <row r="6201">
      <c r="A6201" s="12" t="inlineStr">
        <is>
          <t>C-I-0117</t>
        </is>
      </c>
      <c r="B6201" s="12" t="inlineStr">
        <is>
          <t>C</t>
        </is>
      </c>
      <c r="C6201" s="12" t="inlineStr">
        <is>
          <t>Grid interface</t>
        </is>
      </c>
      <c r="D6201" s="12" t="inlineStr">
        <is>
          <t>Discrete device to JB JB-Small-bore piping:-DI01: 10 x 1 pr (field cables)</t>
        </is>
      </c>
      <c r="E6201" s="12" t="inlineStr"/>
      <c r="F6201" s="12" t="inlineStr">
        <is>
          <t>Small-bore piping: instrument air, service water, nitrogen, HRSG drain</t>
        </is>
      </c>
      <c r="G6201" s="12" t="inlineStr">
        <is>
          <t>JB-Small-bore piping:-DI01</t>
        </is>
      </c>
      <c r="H6201" s="12" t="inlineStr">
        <is>
          <t>Small-bore piping: instrument air, service water, nitrogen, HRSG drain</t>
        </is>
      </c>
      <c r="I6201" s="12" t="inlineStr">
        <is>
          <t>Instrumentation</t>
        </is>
      </c>
      <c r="J6201" s="12" t="inlineStr">
        <is>
          <t>Instrumentation PLTC / TC-ER 300 V, #18 twisted shielded pairs, overall shield</t>
        </is>
      </c>
      <c r="K6201" s="12" t="inlineStr">
        <is>
          <t>PLTC|1 pr|16</t>
        </is>
      </c>
      <c r="L6201" s="12" t="inlineStr">
        <is>
          <t>1 pr</t>
        </is>
      </c>
      <c r="M6201" s="12" t="inlineStr">
        <is>
          <t>16</t>
        </is>
      </c>
      <c r="N6201" s="12" t="n">
        <v>10</v>
      </c>
      <c r="O6201" s="12" t="n">
        <v>1</v>
      </c>
      <c r="P6201" s="12" t="n"/>
      <c r="Q6201" s="12" t="n"/>
      <c r="R6201" s="12" t="n"/>
      <c r="S6201" s="12" t="inlineStr">
        <is>
          <t>Tray / conduit</t>
        </is>
      </c>
      <c r="T6201" s="15" t="n">
        <v>250</v>
      </c>
      <c r="U6201" s="15" t="n">
        <v>10</v>
      </c>
      <c r="V6201" s="15">
        <f>ROUNDUP((T6201+U6201+2*'Read Me'!$B$13)*(1+'Read Me'!$B$12),-1)</f>
        <v/>
      </c>
      <c r="W6201" s="15">
        <f>V6201*N6201*O6201</f>
        <v/>
      </c>
      <c r="X6201" s="12">
        <f>IF(LEFT(I6201,2)="MV",2*N6201*IF(L6201="1/C",O6201,1),0)</f>
        <v/>
      </c>
      <c r="Y6201" s="12">
        <f>IF(OR(LEFT(K6201,4)="LVAX",LEFT(K6201,6)="MV15AX",LEFT(K6201,4)="CTAX",LEFT(K6201,2)="W|"),2*N6201*O6201,0)</f>
        <v/>
      </c>
      <c r="Z6201" s="12" t="inlineStr">
        <is>
          <t>device-to-JB field wiring, one cable per device</t>
        </is>
      </c>
      <c r="AA6201" s="12">
        <f>N6201*O6201</f>
        <v/>
      </c>
    </row>
    <row r="6202">
      <c r="A6202" s="12" t="inlineStr">
        <is>
          <t>C-I-0118</t>
        </is>
      </c>
      <c r="B6202" s="12" t="inlineStr">
        <is>
          <t>C</t>
        </is>
      </c>
      <c r="C6202" s="12" t="inlineStr">
        <is>
          <t>Grid interface</t>
        </is>
      </c>
      <c r="D6202" s="12" t="inlineStr">
        <is>
          <t>Home run JB-Small-bore piping:-DI01 to the control / marshalling room</t>
        </is>
      </c>
      <c r="E6202" s="12" t="inlineStr">
        <is>
          <t>R1</t>
        </is>
      </c>
      <c r="F6202" s="12" t="inlineStr">
        <is>
          <t>R1: main electrical building (64 x 180 ft)</t>
        </is>
      </c>
      <c r="G6202" s="12" t="inlineStr">
        <is>
          <t>JB-Small-bore piping:-DI01</t>
        </is>
      </c>
      <c r="H6202" s="12" t="inlineStr">
        <is>
          <t>Small-bore piping: instrument air, service water, nitrogen, HRSG drain</t>
        </is>
      </c>
      <c r="I6202" s="12" t="inlineStr">
        <is>
          <t>Instrumentation</t>
        </is>
      </c>
      <c r="J6202" s="12" t="inlineStr">
        <is>
          <t>Instrumentation PLTC / TC-ER 300 V, #18 twisted shielded pairs, overall shield</t>
        </is>
      </c>
      <c r="K6202" s="12" t="inlineStr">
        <is>
          <t>PLTC|24 pr|18</t>
        </is>
      </c>
      <c r="L6202" s="12" t="inlineStr">
        <is>
          <t>24 pr</t>
        </is>
      </c>
      <c r="M6202" s="12" t="inlineStr">
        <is>
          <t>18</t>
        </is>
      </c>
      <c r="N6202" s="12" t="n">
        <v>1</v>
      </c>
      <c r="O6202" s="12" t="n">
        <v>1</v>
      </c>
      <c r="P6202" s="12" t="n"/>
      <c r="Q6202" s="12" t="n"/>
      <c r="R6202" s="12" t="n"/>
      <c r="S6202" s="12" t="inlineStr">
        <is>
          <t>Tray</t>
        </is>
      </c>
      <c r="T6202" s="15" t="n">
        <v>1218</v>
      </c>
      <c r="U6202" s="15" t="n">
        <v>200</v>
      </c>
      <c r="V6202" s="15">
        <f>ROUNDUP((T6202+U6202+2*'Read Me'!$B$13)*(1+'Read Me'!$B$12),-1)</f>
        <v/>
      </c>
      <c r="W6202" s="15">
        <f>V6202*N6202*O6202</f>
        <v/>
      </c>
      <c r="X6202" s="12">
        <f>IF(LEFT(I6202,2)="MV",2*N6202*IF(L6202="1/C",O6202,1),0)</f>
        <v/>
      </c>
      <c r="Y6202" s="12">
        <f>IF(OR(LEFT(K6202,4)="LVAX",LEFT(K6202,6)="MV15AX",LEFT(K6202,4)="CTAX",LEFT(K6202,2)="W|"),2*N6202*O6202,0)</f>
        <v/>
      </c>
      <c r="Z6202" s="12" t="inlineStr"/>
      <c r="AA6202" s="12">
        <f>N6202*O6202</f>
        <v/>
      </c>
    </row>
    <row r="6203">
      <c r="A6203" s="12" t="inlineStr">
        <is>
          <t>C-I-0119</t>
        </is>
      </c>
      <c r="B6203" s="12" t="inlineStr">
        <is>
          <t>C</t>
        </is>
      </c>
      <c r="C6203" s="12" t="inlineStr">
        <is>
          <t>Grid interface</t>
        </is>
      </c>
      <c r="D6203" s="12" t="inlineStr">
        <is>
          <t>Analog instrument to JB JB-Wastewater treatme-AI01: 20 x 1 pr (field cables)</t>
        </is>
      </c>
      <c r="E6203" s="12" t="inlineStr"/>
      <c r="F6203" s="12" t="inlineStr">
        <is>
          <t>Wastewater treatment: rooftop HVAC, exhaust fans, vents</t>
        </is>
      </c>
      <c r="G6203" s="12" t="inlineStr">
        <is>
          <t>JB-Wastewater treatme-AI01</t>
        </is>
      </c>
      <c r="H6203" s="12" t="inlineStr">
        <is>
          <t>Wastewater treatment: rooftop HVAC, exhaust fans, vents</t>
        </is>
      </c>
      <c r="I6203" s="12" t="inlineStr">
        <is>
          <t>Instrumentation</t>
        </is>
      </c>
      <c r="J6203" s="12" t="inlineStr">
        <is>
          <t>Instrumentation PLTC / TC-ER 300 V, #18 twisted shielded pairs, overall shield</t>
        </is>
      </c>
      <c r="K6203" s="12" t="inlineStr">
        <is>
          <t>PLTC|1 pr|16</t>
        </is>
      </c>
      <c r="L6203" s="12" t="inlineStr">
        <is>
          <t>1 pr</t>
        </is>
      </c>
      <c r="M6203" s="12" t="inlineStr">
        <is>
          <t>16</t>
        </is>
      </c>
      <c r="N6203" s="12" t="n">
        <v>20</v>
      </c>
      <c r="O6203" s="12" t="n">
        <v>1</v>
      </c>
      <c r="P6203" s="12" t="n"/>
      <c r="Q6203" s="12" t="n"/>
      <c r="R6203" s="12" t="n"/>
      <c r="S6203" s="12" t="inlineStr">
        <is>
          <t>Tray / conduit</t>
        </is>
      </c>
      <c r="T6203" s="15" t="n">
        <v>89</v>
      </c>
      <c r="U6203" s="15" t="n">
        <v>10</v>
      </c>
      <c r="V6203" s="15">
        <f>ROUNDUP((T6203+U6203+2*'Read Me'!$B$13)*(1+'Read Me'!$B$12),-1)</f>
        <v/>
      </c>
      <c r="W6203" s="15">
        <f>V6203*N6203*O6203</f>
        <v/>
      </c>
      <c r="X6203" s="12">
        <f>IF(LEFT(I6203,2)="MV",2*N6203*IF(L6203="1/C",O6203,1),0)</f>
        <v/>
      </c>
      <c r="Y6203" s="12">
        <f>IF(OR(LEFT(K6203,4)="LVAX",LEFT(K6203,6)="MV15AX",LEFT(K6203,4)="CTAX",LEFT(K6203,2)="W|"),2*N6203*O6203,0)</f>
        <v/>
      </c>
      <c r="Z6203" s="12" t="inlineStr">
        <is>
          <t>device-to-JB field wiring, one cable per device</t>
        </is>
      </c>
      <c r="AA6203" s="12">
        <f>N6203*O6203</f>
        <v/>
      </c>
    </row>
    <row r="6204">
      <c r="A6204" s="12" t="inlineStr">
        <is>
          <t>C-I-0120</t>
        </is>
      </c>
      <c r="B6204" s="12" t="inlineStr">
        <is>
          <t>C</t>
        </is>
      </c>
      <c r="C6204" s="12" t="inlineStr">
        <is>
          <t>Grid interface</t>
        </is>
      </c>
      <c r="D6204" s="12" t="inlineStr">
        <is>
          <t>Home run JB-Wastewater treatme-AI01 to the control / marshalling room</t>
        </is>
      </c>
      <c r="E6204" s="12" t="inlineStr">
        <is>
          <t>R1</t>
        </is>
      </c>
      <c r="F6204" s="12" t="inlineStr">
        <is>
          <t>R1: main electrical building (64 x 180 ft)</t>
        </is>
      </c>
      <c r="G6204" s="12" t="inlineStr">
        <is>
          <t>JB-Wastewater treatme-AI01</t>
        </is>
      </c>
      <c r="H6204" s="12" t="inlineStr">
        <is>
          <t>Wastewater treatment: rooftop HVAC, exhaust fans, vents</t>
        </is>
      </c>
      <c r="I6204" s="12" t="inlineStr">
        <is>
          <t>Instrumentation</t>
        </is>
      </c>
      <c r="J6204" s="12" t="inlineStr">
        <is>
          <t>Instrumentation PLTC / TC-ER 300 V, #18 twisted shielded pairs, overall shield</t>
        </is>
      </c>
      <c r="K6204" s="12" t="inlineStr">
        <is>
          <t>PLTC|24 pr|18</t>
        </is>
      </c>
      <c r="L6204" s="12" t="inlineStr">
        <is>
          <t>24 pr</t>
        </is>
      </c>
      <c r="M6204" s="12" t="inlineStr">
        <is>
          <t>18</t>
        </is>
      </c>
      <c r="N6204" s="12" t="n">
        <v>1</v>
      </c>
      <c r="O6204" s="12" t="n">
        <v>1</v>
      </c>
      <c r="P6204" s="12" t="n"/>
      <c r="Q6204" s="12" t="n"/>
      <c r="R6204" s="12" t="n"/>
      <c r="S6204" s="12" t="inlineStr">
        <is>
          <t>Duct bank</t>
        </is>
      </c>
      <c r="T6204" s="15" t="n">
        <v>1215</v>
      </c>
      <c r="U6204" s="15" t="n">
        <v>99</v>
      </c>
      <c r="V6204" s="15">
        <f>ROUNDUP((T6204+U6204+2*'Read Me'!$B$13)*(1+'Read Me'!$B$12),-1)</f>
        <v/>
      </c>
      <c r="W6204" s="15">
        <f>V6204*N6204*O6204</f>
        <v/>
      </c>
      <c r="X6204" s="12">
        <f>IF(LEFT(I6204,2)="MV",2*N6204*IF(L6204="1/C",O6204,1),0)</f>
        <v/>
      </c>
      <c r="Y6204" s="12">
        <f>IF(OR(LEFT(K6204,4)="LVAX",LEFT(K6204,6)="MV15AX",LEFT(K6204,4)="CTAX",LEFT(K6204,2)="W|"),2*N6204*O6204,0)</f>
        <v/>
      </c>
      <c r="Z6204" s="12" t="inlineStr"/>
      <c r="AA6204" s="12">
        <f>N6204*O6204</f>
        <v/>
      </c>
    </row>
    <row r="6205">
      <c r="A6205" s="12" t="inlineStr">
        <is>
          <t>C-I-0121</t>
        </is>
      </c>
      <c r="B6205" s="12" t="inlineStr">
        <is>
          <t>C</t>
        </is>
      </c>
      <c r="C6205" s="12" t="inlineStr">
        <is>
          <t>Grid interface</t>
        </is>
      </c>
      <c r="D6205" s="12" t="inlineStr">
        <is>
          <t>Discrete device to JB JB-Wastewater treatme-DI01: 20 x 1 pr (field cables)</t>
        </is>
      </c>
      <c r="E6205" s="12" t="inlineStr"/>
      <c r="F6205" s="12" t="inlineStr">
        <is>
          <t>Wastewater treatment: rooftop HVAC, exhaust fans, vents</t>
        </is>
      </c>
      <c r="G6205" s="12" t="inlineStr">
        <is>
          <t>JB-Wastewater treatme-DI01</t>
        </is>
      </c>
      <c r="H6205" s="12" t="inlineStr">
        <is>
          <t>Wastewater treatment: rooftop HVAC, exhaust fans, vents</t>
        </is>
      </c>
      <c r="I6205" s="12" t="inlineStr">
        <is>
          <t>Instrumentation</t>
        </is>
      </c>
      <c r="J6205" s="12" t="inlineStr">
        <is>
          <t>Instrumentation PLTC / TC-ER 300 V, #18 twisted shielded pairs, overall shield</t>
        </is>
      </c>
      <c r="K6205" s="12" t="inlineStr">
        <is>
          <t>PLTC|1 pr|16</t>
        </is>
      </c>
      <c r="L6205" s="12" t="inlineStr">
        <is>
          <t>1 pr</t>
        </is>
      </c>
      <c r="M6205" s="12" t="inlineStr">
        <is>
          <t>16</t>
        </is>
      </c>
      <c r="N6205" s="12" t="n">
        <v>20</v>
      </c>
      <c r="O6205" s="12" t="n">
        <v>1</v>
      </c>
      <c r="P6205" s="12" t="n"/>
      <c r="Q6205" s="12" t="n"/>
      <c r="R6205" s="12" t="n"/>
      <c r="S6205" s="12" t="inlineStr">
        <is>
          <t>Tray / conduit</t>
        </is>
      </c>
      <c r="T6205" s="15" t="n">
        <v>89</v>
      </c>
      <c r="U6205" s="15" t="n">
        <v>10</v>
      </c>
      <c r="V6205" s="15">
        <f>ROUNDUP((T6205+U6205+2*'Read Me'!$B$13)*(1+'Read Me'!$B$12),-1)</f>
        <v/>
      </c>
      <c r="W6205" s="15">
        <f>V6205*N6205*O6205</f>
        <v/>
      </c>
      <c r="X6205" s="12">
        <f>IF(LEFT(I6205,2)="MV",2*N6205*IF(L6205="1/C",O6205,1),0)</f>
        <v/>
      </c>
      <c r="Y6205" s="12">
        <f>IF(OR(LEFT(K6205,4)="LVAX",LEFT(K6205,6)="MV15AX",LEFT(K6205,4)="CTAX",LEFT(K6205,2)="W|"),2*N6205*O6205,0)</f>
        <v/>
      </c>
      <c r="Z6205" s="12" t="inlineStr">
        <is>
          <t>device-to-JB field wiring, one cable per device</t>
        </is>
      </c>
      <c r="AA6205" s="12">
        <f>N6205*O6205</f>
        <v/>
      </c>
    </row>
    <row r="6206">
      <c r="A6206" s="12" t="inlineStr">
        <is>
          <t>C-I-0122</t>
        </is>
      </c>
      <c r="B6206" s="12" t="inlineStr">
        <is>
          <t>C</t>
        </is>
      </c>
      <c r="C6206" s="12" t="inlineStr">
        <is>
          <t>Grid interface</t>
        </is>
      </c>
      <c r="D6206" s="12" t="inlineStr">
        <is>
          <t>Home run JB-Wastewater treatme-DI01 to the control / marshalling room</t>
        </is>
      </c>
      <c r="E6206" s="12" t="inlineStr">
        <is>
          <t>R1</t>
        </is>
      </c>
      <c r="F6206" s="12" t="inlineStr">
        <is>
          <t>R1: main electrical building (64 x 180 ft)</t>
        </is>
      </c>
      <c r="G6206" s="12" t="inlineStr">
        <is>
          <t>JB-Wastewater treatme-DI01</t>
        </is>
      </c>
      <c r="H6206" s="12" t="inlineStr">
        <is>
          <t>Wastewater treatment: rooftop HVAC, exhaust fans, vents</t>
        </is>
      </c>
      <c r="I6206" s="12" t="inlineStr">
        <is>
          <t>Instrumentation</t>
        </is>
      </c>
      <c r="J6206" s="12" t="inlineStr">
        <is>
          <t>Instrumentation PLTC / TC-ER 300 V, #18 twisted shielded pairs, overall shield</t>
        </is>
      </c>
      <c r="K6206" s="12" t="inlineStr">
        <is>
          <t>PLTC|24 pr|18</t>
        </is>
      </c>
      <c r="L6206" s="12" t="inlineStr">
        <is>
          <t>24 pr</t>
        </is>
      </c>
      <c r="M6206" s="12" t="inlineStr">
        <is>
          <t>18</t>
        </is>
      </c>
      <c r="N6206" s="12" t="n">
        <v>1</v>
      </c>
      <c r="O6206" s="12" t="n">
        <v>1</v>
      </c>
      <c r="P6206" s="12" t="n"/>
      <c r="Q6206" s="12" t="n"/>
      <c r="R6206" s="12" t="n"/>
      <c r="S6206" s="12" t="inlineStr">
        <is>
          <t>Duct bank</t>
        </is>
      </c>
      <c r="T6206" s="15" t="n">
        <v>1215</v>
      </c>
      <c r="U6206" s="15" t="n">
        <v>99</v>
      </c>
      <c r="V6206" s="15">
        <f>ROUNDUP((T6206+U6206+2*'Read Me'!$B$13)*(1+'Read Me'!$B$12),-1)</f>
        <v/>
      </c>
      <c r="W6206" s="15">
        <f>V6206*N6206*O6206</f>
        <v/>
      </c>
      <c r="X6206" s="12">
        <f>IF(LEFT(I6206,2)="MV",2*N6206*IF(L6206="1/C",O6206,1),0)</f>
        <v/>
      </c>
      <c r="Y6206" s="12">
        <f>IF(OR(LEFT(K6206,4)="LVAX",LEFT(K6206,6)="MV15AX",LEFT(K6206,4)="CTAX",LEFT(K6206,2)="W|"),2*N6206*O6206,0)</f>
        <v/>
      </c>
      <c r="Z6206" s="12" t="inlineStr"/>
      <c r="AA6206" s="12">
        <f>N6206*O6206</f>
        <v/>
      </c>
    </row>
    <row r="6207">
      <c r="A6207" s="12" t="inlineStr">
        <is>
          <t>C-I-0123</t>
        </is>
      </c>
      <c r="B6207" s="12" t="inlineStr">
        <is>
          <t>C</t>
        </is>
      </c>
      <c r="C6207" s="12" t="inlineStr">
        <is>
          <t>Grid interface</t>
        </is>
      </c>
      <c r="D6207" s="12" t="inlineStr">
        <is>
          <t>Discrete device to JB JB-Wastewater treatme-DI02: 10 x 1 pr (field cables)</t>
        </is>
      </c>
      <c r="E6207" s="12" t="inlineStr"/>
      <c r="F6207" s="12" t="inlineStr">
        <is>
          <t>Wastewater treatment: rooftop HVAC, exhaust fans, vents</t>
        </is>
      </c>
      <c r="G6207" s="12" t="inlineStr">
        <is>
          <t>JB-Wastewater treatme-DI02</t>
        </is>
      </c>
      <c r="H6207" s="12" t="inlineStr">
        <is>
          <t>Wastewater treatment: rooftop HVAC, exhaust fans, vents</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10</v>
      </c>
      <c r="O6207" s="12" t="n">
        <v>1</v>
      </c>
      <c r="P6207" s="12" t="n"/>
      <c r="Q6207" s="12" t="n"/>
      <c r="R6207" s="12" t="n"/>
      <c r="S6207" s="12" t="inlineStr">
        <is>
          <t>Tray / conduit</t>
        </is>
      </c>
      <c r="T6207" s="15" t="n">
        <v>89</v>
      </c>
      <c r="U6207" s="15" t="n">
        <v>10</v>
      </c>
      <c r="V6207" s="15">
        <f>ROUNDUP((T6207+U6207+2*'Read Me'!$B$13)*(1+'Read Me'!$B$12),-1)</f>
        <v/>
      </c>
      <c r="W6207" s="15">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C-I-0124</t>
        </is>
      </c>
      <c r="B6208" s="12" t="inlineStr">
        <is>
          <t>C</t>
        </is>
      </c>
      <c r="C6208" s="12" t="inlineStr">
        <is>
          <t>Grid interface</t>
        </is>
      </c>
      <c r="D6208" s="12" t="inlineStr">
        <is>
          <t>Home run JB-Wastewater treatme-DI02 to the control / marshalling room</t>
        </is>
      </c>
      <c r="E6208" s="12" t="inlineStr">
        <is>
          <t>R1</t>
        </is>
      </c>
      <c r="F6208" s="12" t="inlineStr">
        <is>
          <t>R1: main electrical building (64 x 180 ft)</t>
        </is>
      </c>
      <c r="G6208" s="12" t="inlineStr">
        <is>
          <t>JB-Wastewater treatme-DI02</t>
        </is>
      </c>
      <c r="H6208" s="12" t="inlineStr">
        <is>
          <t>Wastewater treatment: rooftop HVAC, exhaust fans, vents</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Duct bank</t>
        </is>
      </c>
      <c r="T6208" s="15" t="n">
        <v>1215</v>
      </c>
      <c r="U6208" s="15" t="n">
        <v>99</v>
      </c>
      <c r="V6208" s="15">
        <f>ROUNDUP((T6208+U6208+2*'Read Me'!$B$13)*(1+'Read Me'!$B$12),-1)</f>
        <v/>
      </c>
      <c r="W6208" s="15">
        <f>V6208*N6208*O6208</f>
        <v/>
      </c>
      <c r="X6208" s="12">
        <f>IF(LEFT(I6208,2)="MV",2*N6208*IF(L6208="1/C",O6208,1),0)</f>
        <v/>
      </c>
      <c r="Y6208" s="12">
        <f>IF(OR(LEFT(K6208,4)="LVAX",LEFT(K6208,6)="MV15AX",LEFT(K6208,4)="CTAX",LEFT(K6208,2)="W|"),2*N6208*O6208,0)</f>
        <v/>
      </c>
      <c r="Z6208" s="12" t="inlineStr"/>
      <c r="AA6208" s="12">
        <f>N6208*O6208</f>
        <v/>
      </c>
    </row>
    <row r="6209">
      <c r="A6209" s="12" t="inlineStr">
        <is>
          <t>C-I-0125</t>
        </is>
      </c>
      <c r="B6209" s="12" t="inlineStr">
        <is>
          <t>C</t>
        </is>
      </c>
      <c r="C6209" s="12" t="inlineStr">
        <is>
          <t>Grid interface</t>
        </is>
      </c>
      <c r="D6209" s="12" t="inlineStr">
        <is>
          <t>Analog instrument to JB JB-Water treatment bu-AI01: 20 x 1 pr (field cables)</t>
        </is>
      </c>
      <c r="E6209" s="12" t="inlineStr"/>
      <c r="F6209" s="12" t="inlineStr">
        <is>
          <t>Water treatment building: rooftop HVAC, exhaust fans, vents</t>
        </is>
      </c>
      <c r="G6209" s="12" t="inlineStr">
        <is>
          <t>JB-Water treatment bu-AI01</t>
        </is>
      </c>
      <c r="H6209" s="12" t="inlineStr">
        <is>
          <t>Water treatment building: rooftop HVAC, exhaust fans, vents</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5" t="n">
        <v>162</v>
      </c>
      <c r="U6209" s="15" t="n">
        <v>10</v>
      </c>
      <c r="V6209" s="15">
        <f>ROUNDUP((T6209+U6209+2*'Read Me'!$B$13)*(1+'Read Me'!$B$12),-1)</f>
        <v/>
      </c>
      <c r="W6209" s="15">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C-I-0126</t>
        </is>
      </c>
      <c r="B6210" s="12" t="inlineStr">
        <is>
          <t>C</t>
        </is>
      </c>
      <c r="C6210" s="12" t="inlineStr">
        <is>
          <t>Grid interface</t>
        </is>
      </c>
      <c r="D6210" s="12" t="inlineStr">
        <is>
          <t>Home run JB-Water treatment bu-AI01 to the control / marshalling room</t>
        </is>
      </c>
      <c r="E6210" s="12" t="inlineStr">
        <is>
          <t>R1</t>
        </is>
      </c>
      <c r="F6210" s="12" t="inlineStr">
        <is>
          <t>R1: main electrical building (64 x 180 ft)</t>
        </is>
      </c>
      <c r="G6210" s="12" t="inlineStr">
        <is>
          <t>JB-Water treatment bu-AI01</t>
        </is>
      </c>
      <c r="H6210" s="12" t="inlineStr">
        <is>
          <t>Water treatment building: rooftop HVAC, exhaust fans, vents</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Duct bank</t>
        </is>
      </c>
      <c r="T6210" s="15" t="n">
        <v>985</v>
      </c>
      <c r="U6210" s="15" t="n">
        <v>32</v>
      </c>
      <c r="V6210" s="15">
        <f>ROUNDUP((T6210+U6210+2*'Read Me'!$B$13)*(1+'Read Me'!$B$12),-1)</f>
        <v/>
      </c>
      <c r="W6210" s="15">
        <f>V6210*N6210*O6210</f>
        <v/>
      </c>
      <c r="X6210" s="12">
        <f>IF(LEFT(I6210,2)="MV",2*N6210*IF(L6210="1/C",O6210,1),0)</f>
        <v/>
      </c>
      <c r="Y6210" s="12">
        <f>IF(OR(LEFT(K6210,4)="LVAX",LEFT(K6210,6)="MV15AX",LEFT(K6210,4)="CTAX",LEFT(K6210,2)="W|"),2*N6210*O6210,0)</f>
        <v/>
      </c>
      <c r="Z6210" s="12" t="inlineStr"/>
      <c r="AA6210" s="12">
        <f>N6210*O6210</f>
        <v/>
      </c>
    </row>
    <row r="6211">
      <c r="A6211" s="12" t="inlineStr">
        <is>
          <t>C-I-0127</t>
        </is>
      </c>
      <c r="B6211" s="12" t="inlineStr">
        <is>
          <t>C</t>
        </is>
      </c>
      <c r="C6211" s="12" t="inlineStr">
        <is>
          <t>Grid interface</t>
        </is>
      </c>
      <c r="D6211" s="12" t="inlineStr">
        <is>
          <t>Analog instrument to JB JB-Water treatment bu-AI02: 20 x 1 pr (field cables)</t>
        </is>
      </c>
      <c r="E6211" s="12" t="inlineStr"/>
      <c r="F6211" s="12" t="inlineStr">
        <is>
          <t>Water treatment building: rooftop HVAC, exhaust fans, vents</t>
        </is>
      </c>
      <c r="G6211" s="12" t="inlineStr">
        <is>
          <t>JB-Water treatment bu-AI02</t>
        </is>
      </c>
      <c r="H6211" s="12" t="inlineStr">
        <is>
          <t>Water treatment building: rooftop HVAC, exhaust fans, vents</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5" t="n">
        <v>162</v>
      </c>
      <c r="U6211" s="15" t="n">
        <v>10</v>
      </c>
      <c r="V6211" s="15">
        <f>ROUNDUP((T6211+U6211+2*'Read Me'!$B$13)*(1+'Read Me'!$B$12),-1)</f>
        <v/>
      </c>
      <c r="W6211" s="15">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C-I-0128</t>
        </is>
      </c>
      <c r="B6212" s="12" t="inlineStr">
        <is>
          <t>C</t>
        </is>
      </c>
      <c r="C6212" s="12" t="inlineStr">
        <is>
          <t>Grid interface</t>
        </is>
      </c>
      <c r="D6212" s="12" t="inlineStr">
        <is>
          <t>Home run JB-Water treatment bu-AI02 to the control / marshalling room</t>
        </is>
      </c>
      <c r="E6212" s="12" t="inlineStr">
        <is>
          <t>R1</t>
        </is>
      </c>
      <c r="F6212" s="12" t="inlineStr">
        <is>
          <t>R1: main electrical building (64 x 180 ft)</t>
        </is>
      </c>
      <c r="G6212" s="12" t="inlineStr">
        <is>
          <t>JB-Water treatment bu-AI02</t>
        </is>
      </c>
      <c r="H6212" s="12" t="inlineStr">
        <is>
          <t>Water treatment building: rooftop HVAC, exhaust fans, vents</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Duct bank</t>
        </is>
      </c>
      <c r="T6212" s="15" t="n">
        <v>985</v>
      </c>
      <c r="U6212" s="15" t="n">
        <v>32</v>
      </c>
      <c r="V6212" s="15">
        <f>ROUNDUP((T6212+U6212+2*'Read Me'!$B$13)*(1+'Read Me'!$B$12),-1)</f>
        <v/>
      </c>
      <c r="W6212" s="15">
        <f>V6212*N6212*O6212</f>
        <v/>
      </c>
      <c r="X6212" s="12">
        <f>IF(LEFT(I6212,2)="MV",2*N6212*IF(L6212="1/C",O6212,1),0)</f>
        <v/>
      </c>
      <c r="Y6212" s="12">
        <f>IF(OR(LEFT(K6212,4)="LVAX",LEFT(K6212,6)="MV15AX",LEFT(K6212,4)="CTAX",LEFT(K6212,2)="W|"),2*N6212*O6212,0)</f>
        <v/>
      </c>
      <c r="Z6212" s="12" t="inlineStr"/>
      <c r="AA6212" s="12">
        <f>N6212*O6212</f>
        <v/>
      </c>
    </row>
    <row r="6213">
      <c r="A6213" s="12" t="inlineStr">
        <is>
          <t>C-I-0129</t>
        </is>
      </c>
      <c r="B6213" s="12" t="inlineStr">
        <is>
          <t>C</t>
        </is>
      </c>
      <c r="C6213" s="12" t="inlineStr">
        <is>
          <t>Grid interface</t>
        </is>
      </c>
      <c r="D6213" s="12" t="inlineStr">
        <is>
          <t>Analog instrument to JB JB-Water treatment bu-AI03: 20 x 1 pr (field cables)</t>
        </is>
      </c>
      <c r="E6213" s="12" t="inlineStr"/>
      <c r="F6213" s="12" t="inlineStr">
        <is>
          <t>Water treatment building: rooftop HVAC, exhaust fans, vents</t>
        </is>
      </c>
      <c r="G6213" s="12" t="inlineStr">
        <is>
          <t>JB-Water treatment bu-AI03</t>
        </is>
      </c>
      <c r="H6213" s="12" t="inlineStr">
        <is>
          <t>Water treatment building: rooftop HVAC, exhaust fans, vents</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5" t="n">
        <v>162</v>
      </c>
      <c r="U6213" s="15" t="n">
        <v>10</v>
      </c>
      <c r="V6213" s="15">
        <f>ROUNDUP((T6213+U6213+2*'Read Me'!$B$13)*(1+'Read Me'!$B$12),-1)</f>
        <v/>
      </c>
      <c r="W6213" s="15">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C-I-0130</t>
        </is>
      </c>
      <c r="B6214" s="12" t="inlineStr">
        <is>
          <t>C</t>
        </is>
      </c>
      <c r="C6214" s="12" t="inlineStr">
        <is>
          <t>Grid interface</t>
        </is>
      </c>
      <c r="D6214" s="12" t="inlineStr">
        <is>
          <t>Home run JB-Water treatment bu-AI03 to the control / marshalling room</t>
        </is>
      </c>
      <c r="E6214" s="12" t="inlineStr">
        <is>
          <t>R1</t>
        </is>
      </c>
      <c r="F6214" s="12" t="inlineStr">
        <is>
          <t>R1: main electrical building (64 x 180 ft)</t>
        </is>
      </c>
      <c r="G6214" s="12" t="inlineStr">
        <is>
          <t>JB-Water treatment bu-AI03</t>
        </is>
      </c>
      <c r="H6214" s="12" t="inlineStr">
        <is>
          <t>Water treatment building: rooftop HVAC, exhaust fans, vents</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Duct bank</t>
        </is>
      </c>
      <c r="T6214" s="15" t="n">
        <v>985</v>
      </c>
      <c r="U6214" s="15" t="n">
        <v>32</v>
      </c>
      <c r="V6214" s="15">
        <f>ROUNDUP((T6214+U6214+2*'Read Me'!$B$13)*(1+'Read Me'!$B$12),-1)</f>
        <v/>
      </c>
      <c r="W6214" s="15">
        <f>V6214*N6214*O6214</f>
        <v/>
      </c>
      <c r="X6214" s="12">
        <f>IF(LEFT(I6214,2)="MV",2*N6214*IF(L6214="1/C",O6214,1),0)</f>
        <v/>
      </c>
      <c r="Y6214" s="12">
        <f>IF(OR(LEFT(K6214,4)="LVAX",LEFT(K6214,6)="MV15AX",LEFT(K6214,4)="CTAX",LEFT(K6214,2)="W|"),2*N6214*O6214,0)</f>
        <v/>
      </c>
      <c r="Z6214" s="12" t="inlineStr"/>
      <c r="AA6214" s="12">
        <f>N6214*O6214</f>
        <v/>
      </c>
    </row>
    <row r="6215">
      <c r="A6215" s="12" t="inlineStr">
        <is>
          <t>C-I-0131</t>
        </is>
      </c>
      <c r="B6215" s="12" t="inlineStr">
        <is>
          <t>C</t>
        </is>
      </c>
      <c r="C6215" s="12" t="inlineStr">
        <is>
          <t>Grid interface</t>
        </is>
      </c>
      <c r="D6215" s="12" t="inlineStr">
        <is>
          <t>Discrete device to JB JB-Water treatment bu-DI01: 20 x 1 pr (field cables)</t>
        </is>
      </c>
      <c r="E6215" s="12" t="inlineStr"/>
      <c r="F6215" s="12" t="inlineStr">
        <is>
          <t>Water treatment building: rooftop HVAC, exhaust fans, vents</t>
        </is>
      </c>
      <c r="G6215" s="12" t="inlineStr">
        <is>
          <t>JB-Water treatment bu-DI01</t>
        </is>
      </c>
      <c r="H6215" s="12" t="inlineStr">
        <is>
          <t>Water treatment building: rooftop HVAC, exhaust fans, vents</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5" t="n">
        <v>162</v>
      </c>
      <c r="U6215" s="15" t="n">
        <v>10</v>
      </c>
      <c r="V6215" s="15">
        <f>ROUNDUP((T6215+U6215+2*'Read Me'!$B$13)*(1+'Read Me'!$B$12),-1)</f>
        <v/>
      </c>
      <c r="W6215" s="15">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C-I-0132</t>
        </is>
      </c>
      <c r="B6216" s="12" t="inlineStr">
        <is>
          <t>C</t>
        </is>
      </c>
      <c r="C6216" s="12" t="inlineStr">
        <is>
          <t>Grid interface</t>
        </is>
      </c>
      <c r="D6216" s="12" t="inlineStr">
        <is>
          <t>Home run JB-Water treatment bu-DI01 to the control / marshalling room</t>
        </is>
      </c>
      <c r="E6216" s="12" t="inlineStr">
        <is>
          <t>R1</t>
        </is>
      </c>
      <c r="F6216" s="12" t="inlineStr">
        <is>
          <t>R1: main electrical building (64 x 180 ft)</t>
        </is>
      </c>
      <c r="G6216" s="12" t="inlineStr">
        <is>
          <t>JB-Water treatment bu-DI01</t>
        </is>
      </c>
      <c r="H6216" s="12" t="inlineStr">
        <is>
          <t>Water treatment building: rooftop HVAC, exhaust fans, vents</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Duct bank</t>
        </is>
      </c>
      <c r="T6216" s="15" t="n">
        <v>985</v>
      </c>
      <c r="U6216" s="15" t="n">
        <v>32</v>
      </c>
      <c r="V6216" s="15">
        <f>ROUNDUP((T6216+U6216+2*'Read Me'!$B$13)*(1+'Read Me'!$B$12),-1)</f>
        <v/>
      </c>
      <c r="W6216" s="15">
        <f>V6216*N6216*O6216</f>
        <v/>
      </c>
      <c r="X6216" s="12">
        <f>IF(LEFT(I6216,2)="MV",2*N6216*IF(L6216="1/C",O6216,1),0)</f>
        <v/>
      </c>
      <c r="Y6216" s="12">
        <f>IF(OR(LEFT(K6216,4)="LVAX",LEFT(K6216,6)="MV15AX",LEFT(K6216,4)="CTAX",LEFT(K6216,2)="W|"),2*N6216*O6216,0)</f>
        <v/>
      </c>
      <c r="Z6216" s="12" t="inlineStr"/>
      <c r="AA6216" s="12">
        <f>N6216*O6216</f>
        <v/>
      </c>
    </row>
    <row r="6217">
      <c r="A6217" s="12" t="inlineStr">
        <is>
          <t>C-I-0133</t>
        </is>
      </c>
      <c r="B6217" s="12" t="inlineStr">
        <is>
          <t>C</t>
        </is>
      </c>
      <c r="C6217" s="12" t="inlineStr">
        <is>
          <t>Grid interface</t>
        </is>
      </c>
      <c r="D6217" s="12" t="inlineStr">
        <is>
          <t>Discrete device to JB JB-Water treatment bu-DI02: 20 x 1 pr (field cables)</t>
        </is>
      </c>
      <c r="E6217" s="12" t="inlineStr"/>
      <c r="F6217" s="12" t="inlineStr">
        <is>
          <t>Water treatment building: rooftop HVAC, exhaust fans, vents</t>
        </is>
      </c>
      <c r="G6217" s="12" t="inlineStr">
        <is>
          <t>JB-Water treatment bu-DI02</t>
        </is>
      </c>
      <c r="H6217" s="12" t="inlineStr">
        <is>
          <t>Water treatment building: rooftop HVAC, exhaust fans, vents</t>
        </is>
      </c>
      <c r="I6217" s="12" t="inlineStr">
        <is>
          <t>Instrumentation</t>
        </is>
      </c>
      <c r="J6217" s="12" t="inlineStr">
        <is>
          <t>Instrumentation PLTC / TC-ER 300 V, #18 twisted shielded pairs, overall shield</t>
        </is>
      </c>
      <c r="K6217" s="12" t="inlineStr">
        <is>
          <t>PLTC|1 pr|16</t>
        </is>
      </c>
      <c r="L6217" s="12" t="inlineStr">
        <is>
          <t>1 pr</t>
        </is>
      </c>
      <c r="M6217" s="12" t="inlineStr">
        <is>
          <t>16</t>
        </is>
      </c>
      <c r="N6217" s="12" t="n">
        <v>20</v>
      </c>
      <c r="O6217" s="12" t="n">
        <v>1</v>
      </c>
      <c r="P6217" s="12" t="n"/>
      <c r="Q6217" s="12" t="n"/>
      <c r="R6217" s="12" t="n"/>
      <c r="S6217" s="12" t="inlineStr">
        <is>
          <t>Tray / conduit</t>
        </is>
      </c>
      <c r="T6217" s="15" t="n">
        <v>162</v>
      </c>
      <c r="U6217" s="15" t="n">
        <v>10</v>
      </c>
      <c r="V6217" s="15">
        <f>ROUNDUP((T6217+U6217+2*'Read Me'!$B$13)*(1+'Read Me'!$B$12),-1)</f>
        <v/>
      </c>
      <c r="W6217" s="15">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C-I-0134</t>
        </is>
      </c>
      <c r="B6218" s="12" t="inlineStr">
        <is>
          <t>C</t>
        </is>
      </c>
      <c r="C6218" s="12" t="inlineStr">
        <is>
          <t>Grid interface</t>
        </is>
      </c>
      <c r="D6218" s="12" t="inlineStr">
        <is>
          <t>Home run JB-Water treatment bu-DI02 to the control / marshalling room</t>
        </is>
      </c>
      <c r="E6218" s="12" t="inlineStr">
        <is>
          <t>R1</t>
        </is>
      </c>
      <c r="F6218" s="12" t="inlineStr">
        <is>
          <t>R1: main electrical building (64 x 180 ft)</t>
        </is>
      </c>
      <c r="G6218" s="12" t="inlineStr">
        <is>
          <t>JB-Water treatment bu-DI02</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PLTC|24 pr|18</t>
        </is>
      </c>
      <c r="L6218" s="12" t="inlineStr">
        <is>
          <t>24 pr</t>
        </is>
      </c>
      <c r="M6218" s="12" t="inlineStr">
        <is>
          <t>18</t>
        </is>
      </c>
      <c r="N6218" s="12" t="n">
        <v>1</v>
      </c>
      <c r="O6218" s="12" t="n">
        <v>1</v>
      </c>
      <c r="P6218" s="12" t="n"/>
      <c r="Q6218" s="12" t="n"/>
      <c r="R6218" s="12" t="n"/>
      <c r="S6218" s="12" t="inlineStr">
        <is>
          <t>Duct bank</t>
        </is>
      </c>
      <c r="T6218" s="15" t="n">
        <v>985</v>
      </c>
      <c r="U6218" s="15" t="n">
        <v>32</v>
      </c>
      <c r="V6218" s="15">
        <f>ROUNDUP((T6218+U6218+2*'Read Me'!$B$13)*(1+'Read Me'!$B$12),-1)</f>
        <v/>
      </c>
      <c r="W6218" s="15">
        <f>V6218*N6218*O6218</f>
        <v/>
      </c>
      <c r="X6218" s="12">
        <f>IF(LEFT(I6218,2)="MV",2*N6218*IF(L6218="1/C",O6218,1),0)</f>
        <v/>
      </c>
      <c r="Y6218" s="12">
        <f>IF(OR(LEFT(K6218,4)="LVAX",LEFT(K6218,6)="MV15AX",LEFT(K6218,4)="CTAX",LEFT(K6218,2)="W|"),2*N6218*O6218,0)</f>
        <v/>
      </c>
      <c r="Z6218" s="12" t="inlineStr"/>
      <c r="AA6218" s="12">
        <f>N6218*O6218</f>
        <v/>
      </c>
    </row>
    <row r="6219">
      <c r="A6219" s="12" t="inlineStr">
        <is>
          <t>C-I-0135</t>
        </is>
      </c>
      <c r="B6219" s="12" t="inlineStr">
        <is>
          <t>C</t>
        </is>
      </c>
      <c r="C6219" s="12" t="inlineStr">
        <is>
          <t>Grid interface</t>
        </is>
      </c>
      <c r="D6219" s="12" t="inlineStr">
        <is>
          <t>Discrete device to JB JB-Water treatment bu-DI03: 20 x 1 pr (field cables)</t>
        </is>
      </c>
      <c r="E6219" s="12" t="inlineStr"/>
      <c r="F6219" s="12" t="inlineStr">
        <is>
          <t>Water treatment building: rooftop HVAC, exhaust fans, vents</t>
        </is>
      </c>
      <c r="G6219" s="12" t="inlineStr">
        <is>
          <t>JB-Water treatment bu-DI03</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PLTC|1 pr|16</t>
        </is>
      </c>
      <c r="L6219" s="12" t="inlineStr">
        <is>
          <t>1 pr</t>
        </is>
      </c>
      <c r="M6219" s="12" t="inlineStr">
        <is>
          <t>16</t>
        </is>
      </c>
      <c r="N6219" s="12" t="n">
        <v>20</v>
      </c>
      <c r="O6219" s="12" t="n">
        <v>1</v>
      </c>
      <c r="P6219" s="12" t="n"/>
      <c r="Q6219" s="12" t="n"/>
      <c r="R6219" s="12" t="n"/>
      <c r="S6219" s="12" t="inlineStr">
        <is>
          <t>Tray / conduit</t>
        </is>
      </c>
      <c r="T6219" s="15" t="n">
        <v>162</v>
      </c>
      <c r="U6219" s="15" t="n">
        <v>10</v>
      </c>
      <c r="V6219" s="15">
        <f>ROUNDUP((T6219+U6219+2*'Read Me'!$B$13)*(1+'Read Me'!$B$12),-1)</f>
        <v/>
      </c>
      <c r="W6219" s="15">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C-I-0136</t>
        </is>
      </c>
      <c r="B6220" s="12" t="inlineStr">
        <is>
          <t>C</t>
        </is>
      </c>
      <c r="C6220" s="12" t="inlineStr">
        <is>
          <t>Grid interface</t>
        </is>
      </c>
      <c r="D6220" s="12" t="inlineStr">
        <is>
          <t>Home run JB-Water treatment bu-DI03 to the control / marshalling room</t>
        </is>
      </c>
      <c r="E6220" s="12" t="inlineStr">
        <is>
          <t>R1</t>
        </is>
      </c>
      <c r="F6220" s="12" t="inlineStr">
        <is>
          <t>R1: main electrical building (64 x 180 ft)</t>
        </is>
      </c>
      <c r="G6220" s="12" t="inlineStr">
        <is>
          <t>JB-Water treatment bu-DI03</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PLTC|24 pr|18</t>
        </is>
      </c>
      <c r="L6220" s="12" t="inlineStr">
        <is>
          <t>24 pr</t>
        </is>
      </c>
      <c r="M6220" s="12" t="inlineStr">
        <is>
          <t>18</t>
        </is>
      </c>
      <c r="N6220" s="12" t="n">
        <v>1</v>
      </c>
      <c r="O6220" s="12" t="n">
        <v>1</v>
      </c>
      <c r="P6220" s="12" t="n"/>
      <c r="Q6220" s="12" t="n"/>
      <c r="R6220" s="12" t="n"/>
      <c r="S6220" s="12" t="inlineStr">
        <is>
          <t>Duct bank</t>
        </is>
      </c>
      <c r="T6220" s="15" t="n">
        <v>985</v>
      </c>
      <c r="U6220" s="15" t="n">
        <v>32</v>
      </c>
      <c r="V6220" s="15">
        <f>ROUNDUP((T6220+U6220+2*'Read Me'!$B$13)*(1+'Read Me'!$B$12),-1)</f>
        <v/>
      </c>
      <c r="W6220" s="15">
        <f>V6220*N6220*O6220</f>
        <v/>
      </c>
      <c r="X6220" s="12">
        <f>IF(LEFT(I6220,2)="MV",2*N6220*IF(L6220="1/C",O6220,1),0)</f>
        <v/>
      </c>
      <c r="Y6220" s="12">
        <f>IF(OR(LEFT(K6220,4)="LVAX",LEFT(K6220,6)="MV15AX",LEFT(K6220,4)="CTAX",LEFT(K6220,2)="W|"),2*N6220*O6220,0)</f>
        <v/>
      </c>
      <c r="Z6220" s="12" t="inlineStr"/>
      <c r="AA6220" s="12">
        <f>N6220*O6220</f>
        <v/>
      </c>
    </row>
    <row r="6221">
      <c r="A6221" s="12" t="inlineStr">
        <is>
          <t>C-I-0137</t>
        </is>
      </c>
      <c r="B6221" s="12" t="inlineStr">
        <is>
          <t>C</t>
        </is>
      </c>
      <c r="C6221" s="12" t="inlineStr">
        <is>
          <t>Grid interface</t>
        </is>
      </c>
      <c r="D6221" s="12" t="inlineStr">
        <is>
          <t>Discrete device to JB JB-Water treatment bu-DI04: 20 x 1 pr (field cables)</t>
        </is>
      </c>
      <c r="E6221" s="12" t="inlineStr"/>
      <c r="F6221" s="12" t="inlineStr">
        <is>
          <t>Water treatment building: rooftop HVAC, exhaust fans, vents</t>
        </is>
      </c>
      <c r="G6221" s="12" t="inlineStr">
        <is>
          <t>JB-Water treatment bu-DI04</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PLTC|1 pr|16</t>
        </is>
      </c>
      <c r="L6221" s="12" t="inlineStr">
        <is>
          <t>1 pr</t>
        </is>
      </c>
      <c r="M6221" s="12" t="inlineStr">
        <is>
          <t>16</t>
        </is>
      </c>
      <c r="N6221" s="12" t="n">
        <v>20</v>
      </c>
      <c r="O6221" s="12" t="n">
        <v>1</v>
      </c>
      <c r="P6221" s="12" t="n"/>
      <c r="Q6221" s="12" t="n"/>
      <c r="R6221" s="12" t="n"/>
      <c r="S6221" s="12" t="inlineStr">
        <is>
          <t>Tray / conduit</t>
        </is>
      </c>
      <c r="T6221" s="15" t="n">
        <v>162</v>
      </c>
      <c r="U6221" s="15" t="n">
        <v>10</v>
      </c>
      <c r="V6221" s="15">
        <f>ROUNDUP((T6221+U6221+2*'Read Me'!$B$13)*(1+'Read Me'!$B$12),-1)</f>
        <v/>
      </c>
      <c r="W6221" s="15">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C-I-0138</t>
        </is>
      </c>
      <c r="B6222" s="12" t="inlineStr">
        <is>
          <t>C</t>
        </is>
      </c>
      <c r="C6222" s="12" t="inlineStr">
        <is>
          <t>Grid interface</t>
        </is>
      </c>
      <c r="D6222" s="12" t="inlineStr">
        <is>
          <t>Home run JB-Water treatment bu-DI04 to the control / marshalling room</t>
        </is>
      </c>
      <c r="E6222" s="12" t="inlineStr">
        <is>
          <t>R1</t>
        </is>
      </c>
      <c r="F6222" s="12" t="inlineStr">
        <is>
          <t>R1: main electrical building (64 x 180 ft)</t>
        </is>
      </c>
      <c r="G6222" s="12" t="inlineStr">
        <is>
          <t>JB-Water treatment bu-DI04</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PLTC|24 pr|18</t>
        </is>
      </c>
      <c r="L6222" s="12" t="inlineStr">
        <is>
          <t>24 pr</t>
        </is>
      </c>
      <c r="M6222" s="12" t="inlineStr">
        <is>
          <t>18</t>
        </is>
      </c>
      <c r="N6222" s="12" t="n">
        <v>1</v>
      </c>
      <c r="O6222" s="12" t="n">
        <v>1</v>
      </c>
      <c r="P6222" s="12" t="n"/>
      <c r="Q6222" s="12" t="n"/>
      <c r="R6222" s="12" t="n"/>
      <c r="S6222" s="12" t="inlineStr">
        <is>
          <t>Duct bank</t>
        </is>
      </c>
      <c r="T6222" s="15" t="n">
        <v>985</v>
      </c>
      <c r="U6222" s="15" t="n">
        <v>32</v>
      </c>
      <c r="V6222" s="15">
        <f>ROUNDUP((T6222+U6222+2*'Read Me'!$B$13)*(1+'Read Me'!$B$12),-1)</f>
        <v/>
      </c>
      <c r="W6222" s="15">
        <f>V6222*N6222*O6222</f>
        <v/>
      </c>
      <c r="X6222" s="12">
        <f>IF(LEFT(I6222,2)="MV",2*N6222*IF(L6222="1/C",O6222,1),0)</f>
        <v/>
      </c>
      <c r="Y6222" s="12">
        <f>IF(OR(LEFT(K6222,4)="LVAX",LEFT(K6222,6)="MV15AX",LEFT(K6222,4)="CTAX",LEFT(K6222,2)="W|"),2*N6222*O6222,0)</f>
        <v/>
      </c>
      <c r="Z6222" s="12" t="inlineStr"/>
      <c r="AA6222" s="12">
        <f>N6222*O6222</f>
        <v/>
      </c>
    </row>
    <row r="6223">
      <c r="A6223" s="12" t="inlineStr">
        <is>
          <t>C-P-0006</t>
        </is>
      </c>
      <c r="B6223" s="12" t="inlineStr">
        <is>
          <t>C</t>
        </is>
      </c>
      <c r="C6223" s="12" t="inlineStr">
        <is>
          <t>Grid interface</t>
        </is>
      </c>
      <c r="D6223" s="12" t="inlineStr">
        <is>
          <t>Motor 1 of 10, 30 kW</t>
        </is>
      </c>
      <c r="E6223" s="12" t="inlineStr">
        <is>
          <t>MCC-C1</t>
        </is>
      </c>
      <c r="F6223" s="12" t="inlineStr">
        <is>
          <t>R1 MCC-C1</t>
        </is>
      </c>
      <c r="G6223" s="12" t="inlineStr"/>
      <c r="H6223" s="12" t="inlineStr">
        <is>
          <t xml:space="preserve">CO2 compression 3 x ~19 MW + dehydration: rooftop HVAC, exhaust fans, </t>
        </is>
      </c>
      <c r="I6223" s="12" t="inlineStr">
        <is>
          <t>LV 600 V</t>
        </is>
      </c>
      <c r="J6223" s="12" t="inlineStr">
        <is>
          <t>Type TC-ER 600 V 3/C Cu XHHW-2 + ground, PVC jacket</t>
        </is>
      </c>
      <c r="K6223" s="12" t="inlineStr">
        <is>
          <t>LV|3/C+G|3/0</t>
        </is>
      </c>
      <c r="L6223" s="12" t="inlineStr">
        <is>
          <t>3/C+G</t>
        </is>
      </c>
      <c r="M6223" s="12" t="inlineStr">
        <is>
          <t>3/0</t>
        </is>
      </c>
      <c r="N6223" s="12" t="n">
        <v>1</v>
      </c>
      <c r="O6223" s="12" t="n">
        <v>1</v>
      </c>
      <c r="P6223" s="12" t="n">
        <v>480</v>
      </c>
      <c r="Q6223" s="12" t="n">
        <v>30</v>
      </c>
      <c r="R6223" s="12" t="n">
        <v>42.5</v>
      </c>
      <c r="S6223" s="12" t="inlineStr">
        <is>
          <t>Tray</t>
        </is>
      </c>
      <c r="T6223" s="15" t="n">
        <v>1744</v>
      </c>
      <c r="U6223" s="15" t="n">
        <v>161</v>
      </c>
      <c r="V6223" s="15">
        <f>ROUNDUP((T6223+U6223+2*'Read Me'!$B$13)*(1+'Read Me'!$B$12),-1)</f>
        <v/>
      </c>
      <c r="W6223" s="15">
        <f>V6223*N6223*O6223</f>
        <v/>
      </c>
      <c r="X6223" s="12">
        <f>IF(LEFT(I6223,2)="MV",2*N6223*IF(L6223="1/C",O6223,1),0)</f>
        <v/>
      </c>
      <c r="Y6223" s="12">
        <f>IF(OR(LEFT(K6223,4)="LVAX",LEFT(K6223,6)="MV15AX",LEFT(K6223,4)="CTAX",LEFT(K6223,2)="W|"),2*N6223*O6223,0)</f>
        <v/>
      </c>
      <c r="Z6223" s="12" t="inlineStr">
        <is>
          <t>VD 2.5 %</t>
        </is>
      </c>
      <c r="AA6223" s="12">
        <f>N6223*O6223</f>
        <v/>
      </c>
    </row>
    <row r="6224">
      <c r="A6224" s="12" t="inlineStr">
        <is>
          <t>C-P-0007</t>
        </is>
      </c>
      <c r="B6224" s="12" t="inlineStr">
        <is>
          <t>C</t>
        </is>
      </c>
      <c r="C6224" s="12" t="inlineStr">
        <is>
          <t>Grid interface</t>
        </is>
      </c>
      <c r="D6224" s="12" t="inlineStr">
        <is>
          <t>Motor 2 of 10, 30 kW</t>
        </is>
      </c>
      <c r="E6224" s="12" t="inlineStr">
        <is>
          <t>MCC-C1</t>
        </is>
      </c>
      <c r="F6224" s="12" t="inlineStr">
        <is>
          <t>R1 MCC-C1</t>
        </is>
      </c>
      <c r="G6224" s="12" t="inlineStr"/>
      <c r="H6224" s="12" t="inlineStr">
        <is>
          <t xml:space="preserve">CO2 compression 3 x ~19 MW + dehydration: rooftop HVAC, exhaust fans, </t>
        </is>
      </c>
      <c r="I6224" s="12" t="inlineStr">
        <is>
          <t>LV 600 V</t>
        </is>
      </c>
      <c r="J6224" s="12" t="inlineStr">
        <is>
          <t>Type TC-ER 600 V 3/C Cu XHHW-2 + ground, PVC jacket</t>
        </is>
      </c>
      <c r="K6224" s="12" t="inlineStr">
        <is>
          <t>LV|3/C+G|3/0</t>
        </is>
      </c>
      <c r="L6224" s="12" t="inlineStr">
        <is>
          <t>3/C+G</t>
        </is>
      </c>
      <c r="M6224" s="12" t="inlineStr">
        <is>
          <t>3/0</t>
        </is>
      </c>
      <c r="N6224" s="12" t="n">
        <v>1</v>
      </c>
      <c r="O6224" s="12" t="n">
        <v>1</v>
      </c>
      <c r="P6224" s="12" t="n">
        <v>480</v>
      </c>
      <c r="Q6224" s="12" t="n">
        <v>30</v>
      </c>
      <c r="R6224" s="12" t="n">
        <v>42.5</v>
      </c>
      <c r="S6224" s="12" t="inlineStr">
        <is>
          <t>Tray</t>
        </is>
      </c>
      <c r="T6224" s="15" t="n">
        <v>1744</v>
      </c>
      <c r="U6224" s="15" t="n">
        <v>161</v>
      </c>
      <c r="V6224" s="15">
        <f>ROUNDUP((T6224+U6224+2*'Read Me'!$B$13)*(1+'Read Me'!$B$12),-1)</f>
        <v/>
      </c>
      <c r="W6224" s="15">
        <f>V6224*N6224*O6224</f>
        <v/>
      </c>
      <c r="X6224" s="12">
        <f>IF(LEFT(I6224,2)="MV",2*N6224*IF(L6224="1/C",O6224,1),0)</f>
        <v/>
      </c>
      <c r="Y6224" s="12">
        <f>IF(OR(LEFT(K6224,4)="LVAX",LEFT(K6224,6)="MV15AX",LEFT(K6224,4)="CTAX",LEFT(K6224,2)="W|"),2*N6224*O6224,0)</f>
        <v/>
      </c>
      <c r="Z6224" s="12" t="inlineStr">
        <is>
          <t>VD 2.5 %</t>
        </is>
      </c>
      <c r="AA6224" s="12">
        <f>N6224*O6224</f>
        <v/>
      </c>
    </row>
    <row r="6225">
      <c r="A6225" s="12" t="inlineStr">
        <is>
          <t>C-P-0008</t>
        </is>
      </c>
      <c r="B6225" s="12" t="inlineStr">
        <is>
          <t>C</t>
        </is>
      </c>
      <c r="C6225" s="12" t="inlineStr">
        <is>
          <t>Grid interface</t>
        </is>
      </c>
      <c r="D6225" s="12" t="inlineStr">
        <is>
          <t>Motor 3 of 10, 30 kW</t>
        </is>
      </c>
      <c r="E6225" s="12" t="inlineStr">
        <is>
          <t>MCC-C1</t>
        </is>
      </c>
      <c r="F6225" s="12" t="inlineStr">
        <is>
          <t>R1 MCC-C1</t>
        </is>
      </c>
      <c r="G6225" s="12" t="inlineStr"/>
      <c r="H6225" s="12" t="inlineStr">
        <is>
          <t xml:space="preserve">CO2 compression 3 x ~19 MW + dehydration: rooftop HVAC, exhaust fans, </t>
        </is>
      </c>
      <c r="I6225" s="12" t="inlineStr">
        <is>
          <t>LV 600 V</t>
        </is>
      </c>
      <c r="J6225" s="12" t="inlineStr">
        <is>
          <t>Type TC-ER 600 V 3/C Cu XHHW-2 + ground, PVC jacket</t>
        </is>
      </c>
      <c r="K6225" s="12" t="inlineStr">
        <is>
          <t>LV|3/C+G|3/0</t>
        </is>
      </c>
      <c r="L6225" s="12" t="inlineStr">
        <is>
          <t>3/C+G</t>
        </is>
      </c>
      <c r="M6225" s="12" t="inlineStr">
        <is>
          <t>3/0</t>
        </is>
      </c>
      <c r="N6225" s="12" t="n">
        <v>1</v>
      </c>
      <c r="O6225" s="12" t="n">
        <v>1</v>
      </c>
      <c r="P6225" s="12" t="n">
        <v>480</v>
      </c>
      <c r="Q6225" s="12" t="n">
        <v>30</v>
      </c>
      <c r="R6225" s="12" t="n">
        <v>42.5</v>
      </c>
      <c r="S6225" s="12" t="inlineStr">
        <is>
          <t>Tray</t>
        </is>
      </c>
      <c r="T6225" s="15" t="n">
        <v>1744</v>
      </c>
      <c r="U6225" s="15" t="n">
        <v>161</v>
      </c>
      <c r="V6225" s="15">
        <f>ROUNDUP((T6225+U6225+2*'Read Me'!$B$13)*(1+'Read Me'!$B$12),-1)</f>
        <v/>
      </c>
      <c r="W6225" s="15">
        <f>V6225*N6225*O6225</f>
        <v/>
      </c>
      <c r="X6225" s="12">
        <f>IF(LEFT(I6225,2)="MV",2*N6225*IF(L6225="1/C",O6225,1),0)</f>
        <v/>
      </c>
      <c r="Y6225" s="12">
        <f>IF(OR(LEFT(K6225,4)="LVAX",LEFT(K6225,6)="MV15AX",LEFT(K6225,4)="CTAX",LEFT(K6225,2)="W|"),2*N6225*O6225,0)</f>
        <v/>
      </c>
      <c r="Z6225" s="12" t="inlineStr">
        <is>
          <t>VD 2.5 %</t>
        </is>
      </c>
      <c r="AA6225" s="12">
        <f>N6225*O6225</f>
        <v/>
      </c>
    </row>
    <row r="6226">
      <c r="A6226" s="12" t="inlineStr">
        <is>
          <t>C-P-0009</t>
        </is>
      </c>
      <c r="B6226" s="12" t="inlineStr">
        <is>
          <t>C</t>
        </is>
      </c>
      <c r="C6226" s="12" t="inlineStr">
        <is>
          <t>Grid interface</t>
        </is>
      </c>
      <c r="D6226" s="12" t="inlineStr">
        <is>
          <t>Motor 4 of 10, 30 kW</t>
        </is>
      </c>
      <c r="E6226" s="12" t="inlineStr">
        <is>
          <t>MCC-C1</t>
        </is>
      </c>
      <c r="F6226" s="12" t="inlineStr">
        <is>
          <t>R1 MCC-C1</t>
        </is>
      </c>
      <c r="G6226" s="12" t="inlineStr"/>
      <c r="H6226" s="12" t="inlineStr">
        <is>
          <t xml:space="preserve">CO2 compression 3 x ~19 MW + dehydration: rooftop HVAC, exhaust fans, </t>
        </is>
      </c>
      <c r="I6226" s="12" t="inlineStr">
        <is>
          <t>LV 600 V</t>
        </is>
      </c>
      <c r="J6226" s="12" t="inlineStr">
        <is>
          <t>Type TC-ER 600 V 3/C Cu XHHW-2 + ground, PVC jacket</t>
        </is>
      </c>
      <c r="K6226" s="12" t="inlineStr">
        <is>
          <t>LV|3/C+G|3/0</t>
        </is>
      </c>
      <c r="L6226" s="12" t="inlineStr">
        <is>
          <t>3/C+G</t>
        </is>
      </c>
      <c r="M6226" s="12" t="inlineStr">
        <is>
          <t>3/0</t>
        </is>
      </c>
      <c r="N6226" s="12" t="n">
        <v>1</v>
      </c>
      <c r="O6226" s="12" t="n">
        <v>1</v>
      </c>
      <c r="P6226" s="12" t="n">
        <v>480</v>
      </c>
      <c r="Q6226" s="12" t="n">
        <v>30</v>
      </c>
      <c r="R6226" s="12" t="n">
        <v>42.5</v>
      </c>
      <c r="S6226" s="12" t="inlineStr">
        <is>
          <t>Tray</t>
        </is>
      </c>
      <c r="T6226" s="15" t="n">
        <v>1744</v>
      </c>
      <c r="U6226" s="15" t="n">
        <v>161</v>
      </c>
      <c r="V6226" s="15">
        <f>ROUNDUP((T6226+U6226+2*'Read Me'!$B$13)*(1+'Read Me'!$B$12),-1)</f>
        <v/>
      </c>
      <c r="W6226" s="15">
        <f>V6226*N6226*O6226</f>
        <v/>
      </c>
      <c r="X6226" s="12">
        <f>IF(LEFT(I6226,2)="MV",2*N6226*IF(L6226="1/C",O6226,1),0)</f>
        <v/>
      </c>
      <c r="Y6226" s="12">
        <f>IF(OR(LEFT(K6226,4)="LVAX",LEFT(K6226,6)="MV15AX",LEFT(K6226,4)="CTAX",LEFT(K6226,2)="W|"),2*N6226*O6226,0)</f>
        <v/>
      </c>
      <c r="Z6226" s="12" t="inlineStr">
        <is>
          <t>VD 2.5 %</t>
        </is>
      </c>
      <c r="AA6226" s="12">
        <f>N6226*O6226</f>
        <v/>
      </c>
    </row>
    <row r="6227">
      <c r="A6227" s="12" t="inlineStr">
        <is>
          <t>C-P-0010</t>
        </is>
      </c>
      <c r="B6227" s="12" t="inlineStr">
        <is>
          <t>C</t>
        </is>
      </c>
      <c r="C6227" s="12" t="inlineStr">
        <is>
          <t>Grid interface</t>
        </is>
      </c>
      <c r="D6227" s="12" t="inlineStr">
        <is>
          <t>Motor 5 of 10, 30 kW</t>
        </is>
      </c>
      <c r="E6227" s="12" t="inlineStr">
        <is>
          <t>MCC-C1</t>
        </is>
      </c>
      <c r="F6227" s="12" t="inlineStr">
        <is>
          <t>R1 MCC-C1</t>
        </is>
      </c>
      <c r="G6227" s="12" t="inlineStr"/>
      <c r="H6227" s="12" t="inlineStr">
        <is>
          <t xml:space="preserve">CO2 compression 3 x ~19 MW + dehydration: rooftop HVAC, exhaust fans, </t>
        </is>
      </c>
      <c r="I6227" s="12" t="inlineStr">
        <is>
          <t>LV 600 V</t>
        </is>
      </c>
      <c r="J6227" s="12" t="inlineStr">
        <is>
          <t>Type TC-ER 600 V 3/C Cu XHHW-2 + ground, PVC jacket</t>
        </is>
      </c>
      <c r="K6227" s="12" t="inlineStr">
        <is>
          <t>LV|3/C+G|3/0</t>
        </is>
      </c>
      <c r="L6227" s="12" t="inlineStr">
        <is>
          <t>3/C+G</t>
        </is>
      </c>
      <c r="M6227" s="12" t="inlineStr">
        <is>
          <t>3/0</t>
        </is>
      </c>
      <c r="N6227" s="12" t="n">
        <v>1</v>
      </c>
      <c r="O6227" s="12" t="n">
        <v>1</v>
      </c>
      <c r="P6227" s="12" t="n">
        <v>480</v>
      </c>
      <c r="Q6227" s="12" t="n">
        <v>30</v>
      </c>
      <c r="R6227" s="12" t="n">
        <v>42.5</v>
      </c>
      <c r="S6227" s="12" t="inlineStr">
        <is>
          <t>Tray</t>
        </is>
      </c>
      <c r="T6227" s="15" t="n">
        <v>1744</v>
      </c>
      <c r="U6227" s="15" t="n">
        <v>161</v>
      </c>
      <c r="V6227" s="15">
        <f>ROUNDUP((T6227+U6227+2*'Read Me'!$B$13)*(1+'Read Me'!$B$12),-1)</f>
        <v/>
      </c>
      <c r="W6227" s="15">
        <f>V6227*N6227*O6227</f>
        <v/>
      </c>
      <c r="X6227" s="12">
        <f>IF(LEFT(I6227,2)="MV",2*N6227*IF(L6227="1/C",O6227,1),0)</f>
        <v/>
      </c>
      <c r="Y6227" s="12">
        <f>IF(OR(LEFT(K6227,4)="LVAX",LEFT(K6227,6)="MV15AX",LEFT(K6227,4)="CTAX",LEFT(K6227,2)="W|"),2*N6227*O6227,0)</f>
        <v/>
      </c>
      <c r="Z6227" s="12" t="inlineStr">
        <is>
          <t>VD 2.5 %</t>
        </is>
      </c>
      <c r="AA6227" s="12">
        <f>N6227*O6227</f>
        <v/>
      </c>
    </row>
    <row r="6228">
      <c r="A6228" s="12" t="inlineStr">
        <is>
          <t>C-P-0011</t>
        </is>
      </c>
      <c r="B6228" s="12" t="inlineStr">
        <is>
          <t>C</t>
        </is>
      </c>
      <c r="C6228" s="12" t="inlineStr">
        <is>
          <t>Grid interface</t>
        </is>
      </c>
      <c r="D6228" s="12" t="inlineStr">
        <is>
          <t>Motor 6 of 10, 30 kW</t>
        </is>
      </c>
      <c r="E6228" s="12" t="inlineStr">
        <is>
          <t>MCC-C1</t>
        </is>
      </c>
      <c r="F6228" s="12" t="inlineStr">
        <is>
          <t>R1 MCC-C1</t>
        </is>
      </c>
      <c r="G6228" s="12" t="inlineStr"/>
      <c r="H6228" s="12" t="inlineStr">
        <is>
          <t xml:space="preserve">CO2 compression 3 x ~19 MW + dehydration: rooftop HVAC, exhaust fans, </t>
        </is>
      </c>
      <c r="I6228" s="12" t="inlineStr">
        <is>
          <t>LV 600 V</t>
        </is>
      </c>
      <c r="J6228" s="12" t="inlineStr">
        <is>
          <t>Type TC-ER 600 V 3/C Cu XHHW-2 + ground, PVC jacket</t>
        </is>
      </c>
      <c r="K6228" s="12" t="inlineStr">
        <is>
          <t>LV|3/C+G|3/0</t>
        </is>
      </c>
      <c r="L6228" s="12" t="inlineStr">
        <is>
          <t>3/C+G</t>
        </is>
      </c>
      <c r="M6228" s="12" t="inlineStr">
        <is>
          <t>3/0</t>
        </is>
      </c>
      <c r="N6228" s="12" t="n">
        <v>1</v>
      </c>
      <c r="O6228" s="12" t="n">
        <v>1</v>
      </c>
      <c r="P6228" s="12" t="n">
        <v>480</v>
      </c>
      <c r="Q6228" s="12" t="n">
        <v>30</v>
      </c>
      <c r="R6228" s="12" t="n">
        <v>42.5</v>
      </c>
      <c r="S6228" s="12" t="inlineStr">
        <is>
          <t>Tray</t>
        </is>
      </c>
      <c r="T6228" s="15" t="n">
        <v>1744</v>
      </c>
      <c r="U6228" s="15" t="n">
        <v>161</v>
      </c>
      <c r="V6228" s="15">
        <f>ROUNDUP((T6228+U6228+2*'Read Me'!$B$13)*(1+'Read Me'!$B$12),-1)</f>
        <v/>
      </c>
      <c r="W6228" s="15">
        <f>V6228*N6228*O6228</f>
        <v/>
      </c>
      <c r="X6228" s="12">
        <f>IF(LEFT(I6228,2)="MV",2*N6228*IF(L6228="1/C",O6228,1),0)</f>
        <v/>
      </c>
      <c r="Y6228" s="12">
        <f>IF(OR(LEFT(K6228,4)="LVAX",LEFT(K6228,6)="MV15AX",LEFT(K6228,4)="CTAX",LEFT(K6228,2)="W|"),2*N6228*O6228,0)</f>
        <v/>
      </c>
      <c r="Z6228" s="12" t="inlineStr">
        <is>
          <t>VD 2.5 %</t>
        </is>
      </c>
      <c r="AA6228" s="12">
        <f>N6228*O6228</f>
        <v/>
      </c>
    </row>
    <row r="6229">
      <c r="A6229" s="12" t="inlineStr">
        <is>
          <t>C-P-0012</t>
        </is>
      </c>
      <c r="B6229" s="12" t="inlineStr">
        <is>
          <t>C</t>
        </is>
      </c>
      <c r="C6229" s="12" t="inlineStr">
        <is>
          <t>Grid interface</t>
        </is>
      </c>
      <c r="D6229" s="12" t="inlineStr">
        <is>
          <t>Motor 7 of 10, 30 kW</t>
        </is>
      </c>
      <c r="E6229" s="12" t="inlineStr">
        <is>
          <t>MCC-C1</t>
        </is>
      </c>
      <c r="F6229" s="12" t="inlineStr">
        <is>
          <t>R1 MCC-C1</t>
        </is>
      </c>
      <c r="G6229" s="12" t="inlineStr"/>
      <c r="H6229" s="12" t="inlineStr">
        <is>
          <t xml:space="preserve">CO2 compression 3 x ~19 MW + dehydration: rooftop HVAC, exhaust fans, </t>
        </is>
      </c>
      <c r="I6229" s="12" t="inlineStr">
        <is>
          <t>LV 600 V</t>
        </is>
      </c>
      <c r="J6229" s="12" t="inlineStr">
        <is>
          <t>Type TC-ER 600 V 3/C Cu XHHW-2 + ground, PVC jacket</t>
        </is>
      </c>
      <c r="K6229" s="12" t="inlineStr">
        <is>
          <t>LV|3/C+G|3/0</t>
        </is>
      </c>
      <c r="L6229" s="12" t="inlineStr">
        <is>
          <t>3/C+G</t>
        </is>
      </c>
      <c r="M6229" s="12" t="inlineStr">
        <is>
          <t>3/0</t>
        </is>
      </c>
      <c r="N6229" s="12" t="n">
        <v>1</v>
      </c>
      <c r="O6229" s="12" t="n">
        <v>1</v>
      </c>
      <c r="P6229" s="12" t="n">
        <v>480</v>
      </c>
      <c r="Q6229" s="12" t="n">
        <v>30</v>
      </c>
      <c r="R6229" s="12" t="n">
        <v>42.5</v>
      </c>
      <c r="S6229" s="12" t="inlineStr">
        <is>
          <t>Tray</t>
        </is>
      </c>
      <c r="T6229" s="15" t="n">
        <v>1744</v>
      </c>
      <c r="U6229" s="15" t="n">
        <v>161</v>
      </c>
      <c r="V6229" s="15">
        <f>ROUNDUP((T6229+U6229+2*'Read Me'!$B$13)*(1+'Read Me'!$B$12),-1)</f>
        <v/>
      </c>
      <c r="W6229" s="15">
        <f>V6229*N6229*O6229</f>
        <v/>
      </c>
      <c r="X6229" s="12">
        <f>IF(LEFT(I6229,2)="MV",2*N6229*IF(L6229="1/C",O6229,1),0)</f>
        <v/>
      </c>
      <c r="Y6229" s="12">
        <f>IF(OR(LEFT(K6229,4)="LVAX",LEFT(K6229,6)="MV15AX",LEFT(K6229,4)="CTAX",LEFT(K6229,2)="W|"),2*N6229*O6229,0)</f>
        <v/>
      </c>
      <c r="Z6229" s="12" t="inlineStr">
        <is>
          <t>VD 2.5 %</t>
        </is>
      </c>
      <c r="AA6229" s="12">
        <f>N6229*O6229</f>
        <v/>
      </c>
    </row>
    <row r="6230">
      <c r="A6230" s="12" t="inlineStr">
        <is>
          <t>C-P-0013</t>
        </is>
      </c>
      <c r="B6230" s="12" t="inlineStr">
        <is>
          <t>C</t>
        </is>
      </c>
      <c r="C6230" s="12" t="inlineStr">
        <is>
          <t>Grid interface</t>
        </is>
      </c>
      <c r="D6230" s="12" t="inlineStr">
        <is>
          <t>Motor 8 of 10, 30 kW</t>
        </is>
      </c>
      <c r="E6230" s="12" t="inlineStr">
        <is>
          <t>MCC-C1</t>
        </is>
      </c>
      <c r="F6230" s="12" t="inlineStr">
        <is>
          <t>R1 MCC-C1</t>
        </is>
      </c>
      <c r="G6230" s="12" t="inlineStr"/>
      <c r="H6230" s="12" t="inlineStr">
        <is>
          <t xml:space="preserve">CO2 compression 3 x ~19 MW + dehydration: rooftop HVAC, exhaust fans, </t>
        </is>
      </c>
      <c r="I6230" s="12" t="inlineStr">
        <is>
          <t>LV 600 V</t>
        </is>
      </c>
      <c r="J6230" s="12" t="inlineStr">
        <is>
          <t>Type TC-ER 600 V 3/C Cu XHHW-2 + ground, PVC jacket</t>
        </is>
      </c>
      <c r="K6230" s="12" t="inlineStr">
        <is>
          <t>LV|3/C+G|3/0</t>
        </is>
      </c>
      <c r="L6230" s="12" t="inlineStr">
        <is>
          <t>3/C+G</t>
        </is>
      </c>
      <c r="M6230" s="12" t="inlineStr">
        <is>
          <t>3/0</t>
        </is>
      </c>
      <c r="N6230" s="12" t="n">
        <v>1</v>
      </c>
      <c r="O6230" s="12" t="n">
        <v>1</v>
      </c>
      <c r="P6230" s="12" t="n">
        <v>480</v>
      </c>
      <c r="Q6230" s="12" t="n">
        <v>30</v>
      </c>
      <c r="R6230" s="12" t="n">
        <v>42.5</v>
      </c>
      <c r="S6230" s="12" t="inlineStr">
        <is>
          <t>Tray</t>
        </is>
      </c>
      <c r="T6230" s="15" t="n">
        <v>1744</v>
      </c>
      <c r="U6230" s="15" t="n">
        <v>161</v>
      </c>
      <c r="V6230" s="15">
        <f>ROUNDUP((T6230+U6230+2*'Read Me'!$B$13)*(1+'Read Me'!$B$12),-1)</f>
        <v/>
      </c>
      <c r="W6230" s="15">
        <f>V6230*N6230*O6230</f>
        <v/>
      </c>
      <c r="X6230" s="12">
        <f>IF(LEFT(I6230,2)="MV",2*N6230*IF(L6230="1/C",O6230,1),0)</f>
        <v/>
      </c>
      <c r="Y6230" s="12">
        <f>IF(OR(LEFT(K6230,4)="LVAX",LEFT(K6230,6)="MV15AX",LEFT(K6230,4)="CTAX",LEFT(K6230,2)="W|"),2*N6230*O6230,0)</f>
        <v/>
      </c>
      <c r="Z6230" s="12" t="inlineStr">
        <is>
          <t>VD 2.5 %</t>
        </is>
      </c>
      <c r="AA6230" s="12">
        <f>N6230*O6230</f>
        <v/>
      </c>
    </row>
    <row r="6231">
      <c r="A6231" s="12" t="inlineStr">
        <is>
          <t>C-P-0014</t>
        </is>
      </c>
      <c r="B6231" s="12" t="inlineStr">
        <is>
          <t>C</t>
        </is>
      </c>
      <c r="C6231" s="12" t="inlineStr">
        <is>
          <t>Grid interface</t>
        </is>
      </c>
      <c r="D6231" s="12" t="inlineStr">
        <is>
          <t>Motor 9 of 10, 30 kW</t>
        </is>
      </c>
      <c r="E6231" s="12" t="inlineStr">
        <is>
          <t>MCC-C1</t>
        </is>
      </c>
      <c r="F6231" s="12" t="inlineStr">
        <is>
          <t>R1 MCC-C1</t>
        </is>
      </c>
      <c r="G6231" s="12" t="inlineStr"/>
      <c r="H6231" s="12" t="inlineStr">
        <is>
          <t xml:space="preserve">CO2 compression 3 x ~19 MW + dehydration: rooftop HVAC, exhaust fans, </t>
        </is>
      </c>
      <c r="I6231" s="12" t="inlineStr">
        <is>
          <t>LV 600 V</t>
        </is>
      </c>
      <c r="J6231" s="12" t="inlineStr">
        <is>
          <t>Type TC-ER 600 V 3/C Cu XHHW-2 + ground, PVC jacket</t>
        </is>
      </c>
      <c r="K6231" s="12" t="inlineStr">
        <is>
          <t>LV|3/C+G|3/0</t>
        </is>
      </c>
      <c r="L6231" s="12" t="inlineStr">
        <is>
          <t>3/C+G</t>
        </is>
      </c>
      <c r="M6231" s="12" t="inlineStr">
        <is>
          <t>3/0</t>
        </is>
      </c>
      <c r="N6231" s="12" t="n">
        <v>1</v>
      </c>
      <c r="O6231" s="12" t="n">
        <v>1</v>
      </c>
      <c r="P6231" s="12" t="n">
        <v>480</v>
      </c>
      <c r="Q6231" s="12" t="n">
        <v>30</v>
      </c>
      <c r="R6231" s="12" t="n">
        <v>42.5</v>
      </c>
      <c r="S6231" s="12" t="inlineStr">
        <is>
          <t>Tray</t>
        </is>
      </c>
      <c r="T6231" s="15" t="n">
        <v>1744</v>
      </c>
      <c r="U6231" s="15" t="n">
        <v>161</v>
      </c>
      <c r="V6231" s="15">
        <f>ROUNDUP((T6231+U6231+2*'Read Me'!$B$13)*(1+'Read Me'!$B$12),-1)</f>
        <v/>
      </c>
      <c r="W6231" s="15">
        <f>V6231*N6231*O6231</f>
        <v/>
      </c>
      <c r="X6231" s="12">
        <f>IF(LEFT(I6231,2)="MV",2*N6231*IF(L6231="1/C",O6231,1),0)</f>
        <v/>
      </c>
      <c r="Y6231" s="12">
        <f>IF(OR(LEFT(K6231,4)="LVAX",LEFT(K6231,6)="MV15AX",LEFT(K6231,4)="CTAX",LEFT(K6231,2)="W|"),2*N6231*O6231,0)</f>
        <v/>
      </c>
      <c r="Z6231" s="12" t="inlineStr">
        <is>
          <t>VD 2.5 %</t>
        </is>
      </c>
      <c r="AA6231" s="12">
        <f>N6231*O6231</f>
        <v/>
      </c>
    </row>
    <row r="6232">
      <c r="A6232" s="12" t="inlineStr">
        <is>
          <t>C-P-0015</t>
        </is>
      </c>
      <c r="B6232" s="12" t="inlineStr">
        <is>
          <t>C</t>
        </is>
      </c>
      <c r="C6232" s="12" t="inlineStr">
        <is>
          <t>Grid interface</t>
        </is>
      </c>
      <c r="D6232" s="12" t="inlineStr">
        <is>
          <t>Motor 10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C-P-0016</t>
        </is>
      </c>
      <c r="B6233" s="12" t="inlineStr">
        <is>
          <t>C</t>
        </is>
      </c>
      <c r="C6233" s="12" t="inlineStr">
        <is>
          <t>Grid interface</t>
        </is>
      </c>
      <c r="D6233" s="12" t="inlineStr">
        <is>
          <t>480 V welding receptacle 1</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LV|3/C+G|250</t>
        </is>
      </c>
      <c r="L6233" s="12" t="inlineStr">
        <is>
          <t>3/C+G</t>
        </is>
      </c>
      <c r="M6233" s="12" t="inlineStr">
        <is>
          <t>250 kcmil</t>
        </is>
      </c>
      <c r="N6233" s="12" t="n">
        <v>1</v>
      </c>
      <c r="O6233" s="12" t="n">
        <v>1</v>
      </c>
      <c r="P6233" s="12" t="n">
        <v>480</v>
      </c>
      <c r="Q6233" s="12" t="n">
        <v>60</v>
      </c>
      <c r="R6233" s="12" t="n">
        <v>76</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3.0 %</t>
        </is>
      </c>
      <c r="AA6233" s="12">
        <f>N6233*O6233</f>
        <v/>
      </c>
    </row>
    <row r="6234">
      <c r="A6234" s="12" t="inlineStr">
        <is>
          <t>C-P-0017</t>
        </is>
      </c>
      <c r="B6234" s="12" t="inlineStr">
        <is>
          <t>C</t>
        </is>
      </c>
      <c r="C6234" s="12" t="inlineStr">
        <is>
          <t>Grid interface</t>
        </is>
      </c>
      <c r="D6234" s="12" t="inlineStr">
        <is>
          <t>480 V welding receptacle 2</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LV|3/C+G|250</t>
        </is>
      </c>
      <c r="L6234" s="12" t="inlineStr">
        <is>
          <t>3/C+G</t>
        </is>
      </c>
      <c r="M6234" s="12" t="inlineStr">
        <is>
          <t>250 kcmil</t>
        </is>
      </c>
      <c r="N6234" s="12" t="n">
        <v>1</v>
      </c>
      <c r="O6234" s="12" t="n">
        <v>1</v>
      </c>
      <c r="P6234" s="12" t="n">
        <v>480</v>
      </c>
      <c r="Q6234" s="12" t="n">
        <v>60</v>
      </c>
      <c r="R6234" s="12" t="n">
        <v>76</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3.0 %</t>
        </is>
      </c>
      <c r="AA6234" s="12">
        <f>N6234*O6234</f>
        <v/>
      </c>
    </row>
    <row r="6235">
      <c r="A6235" s="12" t="inlineStr">
        <is>
          <t>C-P-0018</t>
        </is>
      </c>
      <c r="B6235" s="12" t="inlineStr">
        <is>
          <t>C</t>
        </is>
      </c>
      <c r="C6235" s="12" t="inlineStr">
        <is>
          <t>Grid interface</t>
        </is>
      </c>
      <c r="D6235" s="12" t="inlineStr">
        <is>
          <t>480 V welding receptacle 3</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LV|3/C+G|250</t>
        </is>
      </c>
      <c r="L6235" s="12" t="inlineStr">
        <is>
          <t>3/C+G</t>
        </is>
      </c>
      <c r="M6235" s="12" t="inlineStr">
        <is>
          <t>250 kcmil</t>
        </is>
      </c>
      <c r="N6235" s="12" t="n">
        <v>1</v>
      </c>
      <c r="O6235" s="12" t="n">
        <v>1</v>
      </c>
      <c r="P6235" s="12" t="n">
        <v>480</v>
      </c>
      <c r="Q6235" s="12" t="n">
        <v>60</v>
      </c>
      <c r="R6235" s="12" t="n">
        <v>76</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3.0 %</t>
        </is>
      </c>
      <c r="AA6235" s="12">
        <f>N6235*O6235</f>
        <v/>
      </c>
    </row>
    <row r="6236">
      <c r="A6236" s="12" t="inlineStr">
        <is>
          <t>C-P-0019</t>
        </is>
      </c>
      <c r="B6236" s="12" t="inlineStr">
        <is>
          <t>C</t>
        </is>
      </c>
      <c r="C6236" s="12" t="inlineStr">
        <is>
          <t>Grid interface</t>
        </is>
      </c>
      <c r="D6236" s="12" t="inlineStr">
        <is>
          <t>480 V welding receptacle 4</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LV|3/C+G|250</t>
        </is>
      </c>
      <c r="L6236" s="12" t="inlineStr">
        <is>
          <t>3/C+G</t>
        </is>
      </c>
      <c r="M6236" s="12" t="inlineStr">
        <is>
          <t>250 kcmil</t>
        </is>
      </c>
      <c r="N6236" s="12" t="n">
        <v>1</v>
      </c>
      <c r="O6236" s="12" t="n">
        <v>1</v>
      </c>
      <c r="P6236" s="12" t="n">
        <v>480</v>
      </c>
      <c r="Q6236" s="12" t="n">
        <v>60</v>
      </c>
      <c r="R6236" s="12" t="n">
        <v>76</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3.0 %</t>
        </is>
      </c>
      <c r="AA6236" s="12">
        <f>N6236*O6236</f>
        <v/>
      </c>
    </row>
    <row r="6237">
      <c r="A6237" s="12" t="inlineStr">
        <is>
          <t>C-P-0020</t>
        </is>
      </c>
      <c r="B6237" s="12" t="inlineStr">
        <is>
          <t>C</t>
        </is>
      </c>
      <c r="C6237" s="12" t="inlineStr">
        <is>
          <t>Grid interface</t>
        </is>
      </c>
      <c r="D6237" s="12" t="inlineStr">
        <is>
          <t>Motor 1 of 2, 250 kW</t>
        </is>
      </c>
      <c r="E6237" s="12" t="inlineStr">
        <is>
          <t>MCC-C1</t>
        </is>
      </c>
      <c r="F6237" s="12" t="inlineStr">
        <is>
          <t>R1 MCC-C1</t>
        </is>
      </c>
      <c r="G6237" s="12" t="inlineStr"/>
      <c r="H6237" s="12" t="inlineStr">
        <is>
          <t>Small-bore piping: instrument air, service water, nitrogen, HRSG drain</t>
        </is>
      </c>
      <c r="I6237" s="12" t="inlineStr">
        <is>
          <t>LV 600 V</t>
        </is>
      </c>
      <c r="J6237" s="12" t="inlineStr">
        <is>
          <t>Type TC-ER 600 V 3/C Cu XHHW-2 + ground, PVC jacket</t>
        </is>
      </c>
      <c r="K6237" s="12" t="inlineStr">
        <is>
          <t>LV|3/C+G|250</t>
        </is>
      </c>
      <c r="L6237" s="12" t="inlineStr">
        <is>
          <t>3/C+G</t>
        </is>
      </c>
      <c r="M6237" s="12" t="inlineStr">
        <is>
          <t>250 kcmil</t>
        </is>
      </c>
      <c r="N6237" s="12" t="n">
        <v>2</v>
      </c>
      <c r="O6237" s="12" t="n">
        <v>1</v>
      </c>
      <c r="P6237" s="12" t="n">
        <v>480</v>
      </c>
      <c r="Q6237" s="12" t="n">
        <v>250</v>
      </c>
      <c r="R6237" s="12" t="n">
        <v>353.8</v>
      </c>
      <c r="S6237" s="12" t="inlineStr">
        <is>
          <t>Tray</t>
        </is>
      </c>
      <c r="T6237" s="15" t="n">
        <v>614</v>
      </c>
      <c r="U6237" s="15" t="n">
        <v>145</v>
      </c>
      <c r="V6237" s="15">
        <f>ROUNDUP((T6237+U6237+2*'Read Me'!$B$13)*(1+'Read Me'!$B$12),-1)</f>
        <v/>
      </c>
      <c r="W6237" s="15">
        <f>V6237*N6237*O6237</f>
        <v/>
      </c>
      <c r="X6237" s="12">
        <f>IF(LEFT(I6237,2)="MV",2*N6237*IF(L6237="1/C",O6237,1),0)</f>
        <v/>
      </c>
      <c r="Y6237" s="12">
        <f>IF(OR(LEFT(K6237,4)="LVAX",LEFT(K6237,6)="MV15AX",LEFT(K6237,4)="CTAX",LEFT(K6237,2)="W|"),2*N6237*O6237,0)</f>
        <v/>
      </c>
      <c r="Z6237" s="12" t="inlineStr">
        <is>
          <t>VD 2.7 %</t>
        </is>
      </c>
      <c r="AA6237" s="12">
        <f>N6237*O6237</f>
        <v/>
      </c>
    </row>
    <row r="6238">
      <c r="A6238" s="12" t="inlineStr">
        <is>
          <t>C-P-0021</t>
        </is>
      </c>
      <c r="B6238" s="12" t="inlineStr">
        <is>
          <t>C</t>
        </is>
      </c>
      <c r="C6238" s="12" t="inlineStr">
        <is>
          <t>Grid interface</t>
        </is>
      </c>
      <c r="D6238" s="12" t="inlineStr">
        <is>
          <t>Motor 2 of 2, 250 kW</t>
        </is>
      </c>
      <c r="E6238" s="12" t="inlineStr">
        <is>
          <t>MCC-C1</t>
        </is>
      </c>
      <c r="F6238" s="12" t="inlineStr">
        <is>
          <t>R1 MCC-C1</t>
        </is>
      </c>
      <c r="G6238" s="12" t="inlineStr"/>
      <c r="H6238" s="12" t="inlineStr">
        <is>
          <t>Small-bore piping: instrument air, service water, nitrogen, HRSG drain</t>
        </is>
      </c>
      <c r="I6238" s="12" t="inlineStr">
        <is>
          <t>LV 600 V</t>
        </is>
      </c>
      <c r="J6238" s="12" t="inlineStr">
        <is>
          <t>Type TC-ER 600 V 3/C Cu XHHW-2 + ground, PVC jacket</t>
        </is>
      </c>
      <c r="K6238" s="12" t="inlineStr">
        <is>
          <t>LV|3/C+G|250</t>
        </is>
      </c>
      <c r="L6238" s="12" t="inlineStr">
        <is>
          <t>3/C+G</t>
        </is>
      </c>
      <c r="M6238" s="12" t="inlineStr">
        <is>
          <t>250 kcmil</t>
        </is>
      </c>
      <c r="N6238" s="12" t="n">
        <v>2</v>
      </c>
      <c r="O6238" s="12" t="n">
        <v>1</v>
      </c>
      <c r="P6238" s="12" t="n">
        <v>480</v>
      </c>
      <c r="Q6238" s="12" t="n">
        <v>250</v>
      </c>
      <c r="R6238" s="12" t="n">
        <v>353.8</v>
      </c>
      <c r="S6238" s="12" t="inlineStr">
        <is>
          <t>Tray</t>
        </is>
      </c>
      <c r="T6238" s="15" t="n">
        <v>614</v>
      </c>
      <c r="U6238" s="15" t="n">
        <v>145</v>
      </c>
      <c r="V6238" s="15">
        <f>ROUNDUP((T6238+U6238+2*'Read Me'!$B$13)*(1+'Read Me'!$B$12),-1)</f>
        <v/>
      </c>
      <c r="W6238" s="15">
        <f>V6238*N6238*O6238</f>
        <v/>
      </c>
      <c r="X6238" s="12">
        <f>IF(LEFT(I6238,2)="MV",2*N6238*IF(L6238="1/C",O6238,1),0)</f>
        <v/>
      </c>
      <c r="Y6238" s="12">
        <f>IF(OR(LEFT(K6238,4)="LVAX",LEFT(K6238,6)="MV15AX",LEFT(K6238,4)="CTAX",LEFT(K6238,2)="W|"),2*N6238*O6238,0)</f>
        <v/>
      </c>
      <c r="Z6238" s="12" t="inlineStr">
        <is>
          <t>VD 2.7 %</t>
        </is>
      </c>
      <c r="AA6238" s="12">
        <f>N6238*O6238</f>
        <v/>
      </c>
    </row>
    <row r="6239">
      <c r="A6239" s="12" t="inlineStr">
        <is>
          <t>C-P-0022</t>
        </is>
      </c>
      <c r="B6239" s="12" t="inlineStr">
        <is>
          <t>C</t>
        </is>
      </c>
      <c r="C6239" s="12" t="inlineStr">
        <is>
          <t>Grid interface</t>
        </is>
      </c>
      <c r="D6239" s="12" t="inlineStr">
        <is>
          <t>Motor 1 of 8, 15 kW</t>
        </is>
      </c>
      <c r="E6239" s="12" t="inlineStr">
        <is>
          <t>MCC-C1</t>
        </is>
      </c>
      <c r="F6239" s="12" t="inlineStr">
        <is>
          <t>R1 MCC-C1</t>
        </is>
      </c>
      <c r="G6239" s="12" t="inlineStr"/>
      <c r="H6239" s="12" t="inlineStr">
        <is>
          <t>Wastewater treatment: rooftop HVAC, exhaust fans, vents</t>
        </is>
      </c>
      <c r="I6239" s="12" t="inlineStr">
        <is>
          <t>LV 600 V</t>
        </is>
      </c>
      <c r="J6239" s="12" t="inlineStr">
        <is>
          <t>Type TC-ER 600 V 3/C Cu XHHW-2 + ground, PVC jacket</t>
        </is>
      </c>
      <c r="K6239" s="12" t="inlineStr">
        <is>
          <t>LV|3/C+G|1</t>
        </is>
      </c>
      <c r="L6239" s="12" t="inlineStr">
        <is>
          <t>3/C+G</t>
        </is>
      </c>
      <c r="M6239" s="12" t="inlineStr">
        <is>
          <t>1</t>
        </is>
      </c>
      <c r="N6239" s="12" t="n">
        <v>1</v>
      </c>
      <c r="O6239" s="12" t="n">
        <v>1</v>
      </c>
      <c r="P6239" s="12" t="n">
        <v>480</v>
      </c>
      <c r="Q6239" s="12" t="n">
        <v>15</v>
      </c>
      <c r="R6239" s="12" t="n">
        <v>21.2</v>
      </c>
      <c r="S6239" s="12" t="inlineStr">
        <is>
          <t>Duct bank</t>
        </is>
      </c>
      <c r="T6239" s="15" t="n">
        <v>1859</v>
      </c>
      <c r="U6239" s="15" t="n">
        <v>228</v>
      </c>
      <c r="V6239" s="15">
        <f>ROUNDUP((T6239+U6239+2*'Read Me'!$B$13)*(1+'Read Me'!$B$12),-1)</f>
        <v/>
      </c>
      <c r="W6239" s="15">
        <f>V6239*N6239*O6239</f>
        <v/>
      </c>
      <c r="X6239" s="12">
        <f>IF(LEFT(I6239,2)="MV",2*N6239*IF(L6239="1/C",O6239,1),0)</f>
        <v/>
      </c>
      <c r="Y6239" s="12">
        <f>IF(OR(LEFT(K6239,4)="LVAX",LEFT(K6239,6)="MV15AX",LEFT(K6239,4)="CTAX",LEFT(K6239,2)="W|"),2*N6239*O6239,0)</f>
        <v/>
      </c>
      <c r="Z6239" s="12" t="inlineStr">
        <is>
          <t>VD 2.7 %</t>
        </is>
      </c>
      <c r="AA6239" s="12">
        <f>N6239*O6239</f>
        <v/>
      </c>
    </row>
    <row r="6240">
      <c r="A6240" s="12" t="inlineStr">
        <is>
          <t>C-P-0023</t>
        </is>
      </c>
      <c r="B6240" s="12" t="inlineStr">
        <is>
          <t>C</t>
        </is>
      </c>
      <c r="C6240" s="12" t="inlineStr">
        <is>
          <t>Grid interface</t>
        </is>
      </c>
      <c r="D6240" s="12" t="inlineStr">
        <is>
          <t>Motor 2 of 8, 15 kW</t>
        </is>
      </c>
      <c r="E6240" s="12" t="inlineStr">
        <is>
          <t>MCC-C1</t>
        </is>
      </c>
      <c r="F6240" s="12" t="inlineStr">
        <is>
          <t>R1 MCC-C1</t>
        </is>
      </c>
      <c r="G6240" s="12" t="inlineStr"/>
      <c r="H6240" s="12" t="inlineStr">
        <is>
          <t>Wastewater treatment: rooftop HVAC, exhaust fans, vents</t>
        </is>
      </c>
      <c r="I6240" s="12" t="inlineStr">
        <is>
          <t>LV 600 V</t>
        </is>
      </c>
      <c r="J6240" s="12" t="inlineStr">
        <is>
          <t>Type TC-ER 600 V 3/C Cu XHHW-2 + ground, PVC jacket</t>
        </is>
      </c>
      <c r="K6240" s="12" t="inlineStr">
        <is>
          <t>LV|3/C+G|1</t>
        </is>
      </c>
      <c r="L6240" s="12" t="inlineStr">
        <is>
          <t>3/C+G</t>
        </is>
      </c>
      <c r="M6240" s="12" t="inlineStr">
        <is>
          <t>1</t>
        </is>
      </c>
      <c r="N6240" s="12" t="n">
        <v>1</v>
      </c>
      <c r="O6240" s="12" t="n">
        <v>1</v>
      </c>
      <c r="P6240" s="12" t="n">
        <v>480</v>
      </c>
      <c r="Q6240" s="12" t="n">
        <v>15</v>
      </c>
      <c r="R6240" s="12" t="n">
        <v>21.2</v>
      </c>
      <c r="S6240" s="12" t="inlineStr">
        <is>
          <t>Duct bank</t>
        </is>
      </c>
      <c r="T6240" s="15" t="n">
        <v>1859</v>
      </c>
      <c r="U6240" s="15" t="n">
        <v>228</v>
      </c>
      <c r="V6240" s="15">
        <f>ROUNDUP((T6240+U6240+2*'Read Me'!$B$13)*(1+'Read Me'!$B$12),-1)</f>
        <v/>
      </c>
      <c r="W6240" s="15">
        <f>V6240*N6240*O6240</f>
        <v/>
      </c>
      <c r="X6240" s="12">
        <f>IF(LEFT(I6240,2)="MV",2*N6240*IF(L6240="1/C",O6240,1),0)</f>
        <v/>
      </c>
      <c r="Y6240" s="12">
        <f>IF(OR(LEFT(K6240,4)="LVAX",LEFT(K6240,6)="MV15AX",LEFT(K6240,4)="CTAX",LEFT(K6240,2)="W|"),2*N6240*O6240,0)</f>
        <v/>
      </c>
      <c r="Z6240" s="12" t="inlineStr">
        <is>
          <t>VD 2.7 %</t>
        </is>
      </c>
      <c r="AA6240" s="12">
        <f>N6240*O6240</f>
        <v/>
      </c>
    </row>
    <row r="6241">
      <c r="A6241" s="12" t="inlineStr">
        <is>
          <t>C-P-0024</t>
        </is>
      </c>
      <c r="B6241" s="12" t="inlineStr">
        <is>
          <t>C</t>
        </is>
      </c>
      <c r="C6241" s="12" t="inlineStr">
        <is>
          <t>Grid interface</t>
        </is>
      </c>
      <c r="D6241" s="12" t="inlineStr">
        <is>
          <t>Motor 3 of 8, 15 kW</t>
        </is>
      </c>
      <c r="E6241" s="12" t="inlineStr">
        <is>
          <t>MCC-C1</t>
        </is>
      </c>
      <c r="F6241" s="12" t="inlineStr">
        <is>
          <t>R1 MCC-C1</t>
        </is>
      </c>
      <c r="G6241" s="12" t="inlineStr"/>
      <c r="H6241" s="12" t="inlineStr">
        <is>
          <t>Wastewater treatment: rooftop HVAC, exhaust fans, vents</t>
        </is>
      </c>
      <c r="I6241" s="12" t="inlineStr">
        <is>
          <t>LV 600 V</t>
        </is>
      </c>
      <c r="J6241" s="12" t="inlineStr">
        <is>
          <t>Type TC-ER 600 V 3/C Cu XHHW-2 + ground, PVC jacket</t>
        </is>
      </c>
      <c r="K6241" s="12" t="inlineStr">
        <is>
          <t>LV|3/C+G|1</t>
        </is>
      </c>
      <c r="L6241" s="12" t="inlineStr">
        <is>
          <t>3/C+G</t>
        </is>
      </c>
      <c r="M6241" s="12" t="inlineStr">
        <is>
          <t>1</t>
        </is>
      </c>
      <c r="N6241" s="12" t="n">
        <v>1</v>
      </c>
      <c r="O6241" s="12" t="n">
        <v>1</v>
      </c>
      <c r="P6241" s="12" t="n">
        <v>480</v>
      </c>
      <c r="Q6241" s="12" t="n">
        <v>15</v>
      </c>
      <c r="R6241" s="12" t="n">
        <v>21.2</v>
      </c>
      <c r="S6241" s="12" t="inlineStr">
        <is>
          <t>Duct bank</t>
        </is>
      </c>
      <c r="T6241" s="15" t="n">
        <v>1859</v>
      </c>
      <c r="U6241" s="15" t="n">
        <v>228</v>
      </c>
      <c r="V6241" s="15">
        <f>ROUNDUP((T6241+U6241+2*'Read Me'!$B$13)*(1+'Read Me'!$B$12),-1)</f>
        <v/>
      </c>
      <c r="W6241" s="15">
        <f>V6241*N6241*O6241</f>
        <v/>
      </c>
      <c r="X6241" s="12">
        <f>IF(LEFT(I6241,2)="MV",2*N6241*IF(L6241="1/C",O6241,1),0)</f>
        <v/>
      </c>
      <c r="Y6241" s="12">
        <f>IF(OR(LEFT(K6241,4)="LVAX",LEFT(K6241,6)="MV15AX",LEFT(K6241,4)="CTAX",LEFT(K6241,2)="W|"),2*N6241*O6241,0)</f>
        <v/>
      </c>
      <c r="Z6241" s="12" t="inlineStr">
        <is>
          <t>VD 2.7 %</t>
        </is>
      </c>
      <c r="AA6241" s="12">
        <f>N6241*O6241</f>
        <v/>
      </c>
    </row>
    <row r="6242">
      <c r="A6242" s="12" t="inlineStr">
        <is>
          <t>C-P-0025</t>
        </is>
      </c>
      <c r="B6242" s="12" t="inlineStr">
        <is>
          <t>C</t>
        </is>
      </c>
      <c r="C6242" s="12" t="inlineStr">
        <is>
          <t>Grid interface</t>
        </is>
      </c>
      <c r="D6242" s="12" t="inlineStr">
        <is>
          <t>Motor 4 of 8, 15 kW</t>
        </is>
      </c>
      <c r="E6242" s="12" t="inlineStr">
        <is>
          <t>MCC-C1</t>
        </is>
      </c>
      <c r="F6242" s="12" t="inlineStr">
        <is>
          <t>R1 MCC-C1</t>
        </is>
      </c>
      <c r="G6242" s="12" t="inlineStr"/>
      <c r="H6242" s="12" t="inlineStr">
        <is>
          <t>Wastewater treatment: rooftop HVAC, exhaust fans, vents</t>
        </is>
      </c>
      <c r="I6242" s="12" t="inlineStr">
        <is>
          <t>LV 600 V</t>
        </is>
      </c>
      <c r="J6242" s="12" t="inlineStr">
        <is>
          <t>Type TC-ER 600 V 3/C Cu XHHW-2 + ground, PVC jacket</t>
        </is>
      </c>
      <c r="K6242" s="12" t="inlineStr">
        <is>
          <t>LV|3/C+G|1</t>
        </is>
      </c>
      <c r="L6242" s="12" t="inlineStr">
        <is>
          <t>3/C+G</t>
        </is>
      </c>
      <c r="M6242" s="12" t="inlineStr">
        <is>
          <t>1</t>
        </is>
      </c>
      <c r="N6242" s="12" t="n">
        <v>1</v>
      </c>
      <c r="O6242" s="12" t="n">
        <v>1</v>
      </c>
      <c r="P6242" s="12" t="n">
        <v>480</v>
      </c>
      <c r="Q6242" s="12" t="n">
        <v>15</v>
      </c>
      <c r="R6242" s="12" t="n">
        <v>21.2</v>
      </c>
      <c r="S6242" s="12" t="inlineStr">
        <is>
          <t>Duct bank</t>
        </is>
      </c>
      <c r="T6242" s="15" t="n">
        <v>1859</v>
      </c>
      <c r="U6242" s="15" t="n">
        <v>228</v>
      </c>
      <c r="V6242" s="15">
        <f>ROUNDUP((T6242+U6242+2*'Read Me'!$B$13)*(1+'Read Me'!$B$12),-1)</f>
        <v/>
      </c>
      <c r="W6242" s="15">
        <f>V6242*N6242*O6242</f>
        <v/>
      </c>
      <c r="X6242" s="12">
        <f>IF(LEFT(I6242,2)="MV",2*N6242*IF(L6242="1/C",O6242,1),0)</f>
        <v/>
      </c>
      <c r="Y6242" s="12">
        <f>IF(OR(LEFT(K6242,4)="LVAX",LEFT(K6242,6)="MV15AX",LEFT(K6242,4)="CTAX",LEFT(K6242,2)="W|"),2*N6242*O6242,0)</f>
        <v/>
      </c>
      <c r="Z6242" s="12" t="inlineStr">
        <is>
          <t>VD 2.7 %</t>
        </is>
      </c>
      <c r="AA6242" s="12">
        <f>N6242*O6242</f>
        <v/>
      </c>
    </row>
    <row r="6243">
      <c r="A6243" s="12" t="inlineStr">
        <is>
          <t>C-P-0026</t>
        </is>
      </c>
      <c r="B6243" s="12" t="inlineStr">
        <is>
          <t>C</t>
        </is>
      </c>
      <c r="C6243" s="12" t="inlineStr">
        <is>
          <t>Grid interface</t>
        </is>
      </c>
      <c r="D6243" s="12" t="inlineStr">
        <is>
          <t>Motor 5 of 8, 15 kW</t>
        </is>
      </c>
      <c r="E6243" s="12" t="inlineStr">
        <is>
          <t>MCC-C1</t>
        </is>
      </c>
      <c r="F6243" s="12" t="inlineStr">
        <is>
          <t>R1 MCC-C1</t>
        </is>
      </c>
      <c r="G6243" s="12" t="inlineStr"/>
      <c r="H6243" s="12" t="inlineStr">
        <is>
          <t>Wastewater treatment: rooftop HVAC, exhaust fans, vents</t>
        </is>
      </c>
      <c r="I6243" s="12" t="inlineStr">
        <is>
          <t>LV 600 V</t>
        </is>
      </c>
      <c r="J6243" s="12" t="inlineStr">
        <is>
          <t>Type TC-ER 600 V 3/C Cu XHHW-2 + ground, PVC jacket</t>
        </is>
      </c>
      <c r="K6243" s="12" t="inlineStr">
        <is>
          <t>LV|3/C+G|1</t>
        </is>
      </c>
      <c r="L6243" s="12" t="inlineStr">
        <is>
          <t>3/C+G</t>
        </is>
      </c>
      <c r="M6243" s="12" t="inlineStr">
        <is>
          <t>1</t>
        </is>
      </c>
      <c r="N6243" s="12" t="n">
        <v>1</v>
      </c>
      <c r="O6243" s="12" t="n">
        <v>1</v>
      </c>
      <c r="P6243" s="12" t="n">
        <v>480</v>
      </c>
      <c r="Q6243" s="12" t="n">
        <v>15</v>
      </c>
      <c r="R6243" s="12" t="n">
        <v>21.2</v>
      </c>
      <c r="S6243" s="12" t="inlineStr">
        <is>
          <t>Duct bank</t>
        </is>
      </c>
      <c r="T6243" s="15" t="n">
        <v>1859</v>
      </c>
      <c r="U6243" s="15" t="n">
        <v>228</v>
      </c>
      <c r="V6243" s="15">
        <f>ROUNDUP((T6243+U6243+2*'Read Me'!$B$13)*(1+'Read Me'!$B$12),-1)</f>
        <v/>
      </c>
      <c r="W6243" s="15">
        <f>V6243*N6243*O6243</f>
        <v/>
      </c>
      <c r="X6243" s="12">
        <f>IF(LEFT(I6243,2)="MV",2*N6243*IF(L6243="1/C",O6243,1),0)</f>
        <v/>
      </c>
      <c r="Y6243" s="12">
        <f>IF(OR(LEFT(K6243,4)="LVAX",LEFT(K6243,6)="MV15AX",LEFT(K6243,4)="CTAX",LEFT(K6243,2)="W|"),2*N6243*O6243,0)</f>
        <v/>
      </c>
      <c r="Z6243" s="12" t="inlineStr">
        <is>
          <t>VD 2.7 %</t>
        </is>
      </c>
      <c r="AA6243" s="12">
        <f>N6243*O6243</f>
        <v/>
      </c>
    </row>
    <row r="6244">
      <c r="A6244" s="12" t="inlineStr">
        <is>
          <t>C-P-0027</t>
        </is>
      </c>
      <c r="B6244" s="12" t="inlineStr">
        <is>
          <t>C</t>
        </is>
      </c>
      <c r="C6244" s="12" t="inlineStr">
        <is>
          <t>Grid interface</t>
        </is>
      </c>
      <c r="D6244" s="12" t="inlineStr">
        <is>
          <t>Motor 6 of 8, 15 kW</t>
        </is>
      </c>
      <c r="E6244" s="12" t="inlineStr">
        <is>
          <t>MCC-C1</t>
        </is>
      </c>
      <c r="F6244" s="12" t="inlineStr">
        <is>
          <t>R1 MCC-C1</t>
        </is>
      </c>
      <c r="G6244" s="12" t="inlineStr"/>
      <c r="H6244" s="12" t="inlineStr">
        <is>
          <t>Wastewater treatment: rooftop HVAC, exhaust fans, vents</t>
        </is>
      </c>
      <c r="I6244" s="12" t="inlineStr">
        <is>
          <t>LV 600 V</t>
        </is>
      </c>
      <c r="J6244" s="12" t="inlineStr">
        <is>
          <t>Type TC-ER 600 V 3/C Cu XHHW-2 + ground, PVC jacket</t>
        </is>
      </c>
      <c r="K6244" s="12" t="inlineStr">
        <is>
          <t>LV|3/C+G|1</t>
        </is>
      </c>
      <c r="L6244" s="12" t="inlineStr">
        <is>
          <t>3/C+G</t>
        </is>
      </c>
      <c r="M6244" s="12" t="inlineStr">
        <is>
          <t>1</t>
        </is>
      </c>
      <c r="N6244" s="12" t="n">
        <v>1</v>
      </c>
      <c r="O6244" s="12" t="n">
        <v>1</v>
      </c>
      <c r="P6244" s="12" t="n">
        <v>480</v>
      </c>
      <c r="Q6244" s="12" t="n">
        <v>15</v>
      </c>
      <c r="R6244" s="12" t="n">
        <v>21.2</v>
      </c>
      <c r="S6244" s="12" t="inlineStr">
        <is>
          <t>Duct bank</t>
        </is>
      </c>
      <c r="T6244" s="15" t="n">
        <v>1859</v>
      </c>
      <c r="U6244" s="15" t="n">
        <v>228</v>
      </c>
      <c r="V6244" s="15">
        <f>ROUNDUP((T6244+U6244+2*'Read Me'!$B$13)*(1+'Read Me'!$B$12),-1)</f>
        <v/>
      </c>
      <c r="W6244" s="15">
        <f>V6244*N6244*O6244</f>
        <v/>
      </c>
      <c r="X6244" s="12">
        <f>IF(LEFT(I6244,2)="MV",2*N6244*IF(L6244="1/C",O6244,1),0)</f>
        <v/>
      </c>
      <c r="Y6244" s="12">
        <f>IF(OR(LEFT(K6244,4)="LVAX",LEFT(K6244,6)="MV15AX",LEFT(K6244,4)="CTAX",LEFT(K6244,2)="W|"),2*N6244*O6244,0)</f>
        <v/>
      </c>
      <c r="Z6244" s="12" t="inlineStr">
        <is>
          <t>VD 2.7 %</t>
        </is>
      </c>
      <c r="AA6244" s="12">
        <f>N6244*O6244</f>
        <v/>
      </c>
    </row>
    <row r="6245">
      <c r="A6245" s="12" t="inlineStr">
        <is>
          <t>C-P-0028</t>
        </is>
      </c>
      <c r="B6245" s="12" t="inlineStr">
        <is>
          <t>C</t>
        </is>
      </c>
      <c r="C6245" s="12" t="inlineStr">
        <is>
          <t>Grid interface</t>
        </is>
      </c>
      <c r="D6245" s="12" t="inlineStr">
        <is>
          <t>Motor 7 of 8, 15 kW</t>
        </is>
      </c>
      <c r="E6245" s="12" t="inlineStr">
        <is>
          <t>MCC-C1</t>
        </is>
      </c>
      <c r="F6245" s="12" t="inlineStr">
        <is>
          <t>R1 MCC-C1</t>
        </is>
      </c>
      <c r="G6245" s="12" t="inlineStr"/>
      <c r="H6245" s="12" t="inlineStr">
        <is>
          <t>Wastewater treatment: rooftop HVAC, exhaust fans, vents</t>
        </is>
      </c>
      <c r="I6245" s="12" t="inlineStr">
        <is>
          <t>LV 600 V</t>
        </is>
      </c>
      <c r="J6245" s="12" t="inlineStr">
        <is>
          <t>Type TC-ER 600 V 3/C Cu XHHW-2 + ground, PVC jacket</t>
        </is>
      </c>
      <c r="K6245" s="12" t="inlineStr">
        <is>
          <t>LV|3/C+G|1</t>
        </is>
      </c>
      <c r="L6245" s="12" t="inlineStr">
        <is>
          <t>3/C+G</t>
        </is>
      </c>
      <c r="M6245" s="12" t="inlineStr">
        <is>
          <t>1</t>
        </is>
      </c>
      <c r="N6245" s="12" t="n">
        <v>1</v>
      </c>
      <c r="O6245" s="12" t="n">
        <v>1</v>
      </c>
      <c r="P6245" s="12" t="n">
        <v>480</v>
      </c>
      <c r="Q6245" s="12" t="n">
        <v>15</v>
      </c>
      <c r="R6245" s="12" t="n">
        <v>21.2</v>
      </c>
      <c r="S6245" s="12" t="inlineStr">
        <is>
          <t>Duct bank</t>
        </is>
      </c>
      <c r="T6245" s="15" t="n">
        <v>1859</v>
      </c>
      <c r="U6245" s="15" t="n">
        <v>228</v>
      </c>
      <c r="V6245" s="15">
        <f>ROUNDUP((T6245+U6245+2*'Read Me'!$B$13)*(1+'Read Me'!$B$12),-1)</f>
        <v/>
      </c>
      <c r="W6245" s="15">
        <f>V6245*N6245*O6245</f>
        <v/>
      </c>
      <c r="X6245" s="12">
        <f>IF(LEFT(I6245,2)="MV",2*N6245*IF(L6245="1/C",O6245,1),0)</f>
        <v/>
      </c>
      <c r="Y6245" s="12">
        <f>IF(OR(LEFT(K6245,4)="LVAX",LEFT(K6245,6)="MV15AX",LEFT(K6245,4)="CTAX",LEFT(K6245,2)="W|"),2*N6245*O6245,0)</f>
        <v/>
      </c>
      <c r="Z6245" s="12" t="inlineStr">
        <is>
          <t>VD 2.7 %</t>
        </is>
      </c>
      <c r="AA6245" s="12">
        <f>N6245*O6245</f>
        <v/>
      </c>
    </row>
    <row r="6246">
      <c r="A6246" s="12" t="inlineStr">
        <is>
          <t>C-P-0029</t>
        </is>
      </c>
      <c r="B6246" s="12" t="inlineStr">
        <is>
          <t>C</t>
        </is>
      </c>
      <c r="C6246" s="12" t="inlineStr">
        <is>
          <t>Grid interface</t>
        </is>
      </c>
      <c r="D6246" s="12" t="inlineStr">
        <is>
          <t>Motor 8 of 8, 15 kW</t>
        </is>
      </c>
      <c r="E6246" s="12" t="inlineStr">
        <is>
          <t>MCC-C1</t>
        </is>
      </c>
      <c r="F6246" s="12" t="inlineStr">
        <is>
          <t>R1 MCC-C1</t>
        </is>
      </c>
      <c r="G6246" s="12" t="inlineStr"/>
      <c r="H6246" s="12" t="inlineStr">
        <is>
          <t>Wastewater treatment: rooftop HVAC, exhaust fans, vents</t>
        </is>
      </c>
      <c r="I6246" s="12" t="inlineStr">
        <is>
          <t>LV 600 V</t>
        </is>
      </c>
      <c r="J6246" s="12" t="inlineStr">
        <is>
          <t>Type TC-ER 600 V 3/C Cu XHHW-2 + ground, PVC jacket</t>
        </is>
      </c>
      <c r="K6246" s="12" t="inlineStr">
        <is>
          <t>LV|3/C+G|1</t>
        </is>
      </c>
      <c r="L6246" s="12" t="inlineStr">
        <is>
          <t>3/C+G</t>
        </is>
      </c>
      <c r="M6246" s="12" t="inlineStr">
        <is>
          <t>1</t>
        </is>
      </c>
      <c r="N6246" s="12" t="n">
        <v>1</v>
      </c>
      <c r="O6246" s="12" t="n">
        <v>1</v>
      </c>
      <c r="P6246" s="12" t="n">
        <v>480</v>
      </c>
      <c r="Q6246" s="12" t="n">
        <v>15</v>
      </c>
      <c r="R6246" s="12" t="n">
        <v>21.2</v>
      </c>
      <c r="S6246" s="12" t="inlineStr">
        <is>
          <t>Duct bank</t>
        </is>
      </c>
      <c r="T6246" s="15" t="n">
        <v>1859</v>
      </c>
      <c r="U6246" s="15" t="n">
        <v>228</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C-P-0030</t>
        </is>
      </c>
      <c r="B6247" s="12" t="inlineStr">
        <is>
          <t>C</t>
        </is>
      </c>
      <c r="C6247" s="12" t="inlineStr">
        <is>
          <t>Grid interface</t>
        </is>
      </c>
      <c r="D6247" s="12" t="inlineStr">
        <is>
          <t>Motor 1 of 20, 15 kW</t>
        </is>
      </c>
      <c r="E6247" s="12" t="inlineStr">
        <is>
          <t>MCC-C1</t>
        </is>
      </c>
      <c r="F6247" s="12" t="inlineStr">
        <is>
          <t>R1 MCC-C1</t>
        </is>
      </c>
      <c r="G6247" s="12" t="inlineStr"/>
      <c r="H6247" s="12" t="inlineStr">
        <is>
          <t>Water treatment building: rooftop HVAC, exhaust fans, vents</t>
        </is>
      </c>
      <c r="I6247" s="12" t="inlineStr">
        <is>
          <t>LV 600 V</t>
        </is>
      </c>
      <c r="J6247" s="12" t="inlineStr">
        <is>
          <t>Type TC-ER 600 V 3/C Cu XHHW-2 + ground, PVC jacket</t>
        </is>
      </c>
      <c r="K6247" s="12" t="inlineStr">
        <is>
          <t>LV|3/C+G|2</t>
        </is>
      </c>
      <c r="L6247" s="12" t="inlineStr">
        <is>
          <t>3/C+G</t>
        </is>
      </c>
      <c r="M6247" s="12" t="inlineStr">
        <is>
          <t>2</t>
        </is>
      </c>
      <c r="N6247" s="12" t="n">
        <v>1</v>
      </c>
      <c r="O6247" s="12" t="n">
        <v>1</v>
      </c>
      <c r="P6247" s="12" t="n">
        <v>480</v>
      </c>
      <c r="Q6247" s="12" t="n">
        <v>15</v>
      </c>
      <c r="R6247" s="12" t="n">
        <v>21.2</v>
      </c>
      <c r="S6247" s="12" t="inlineStr">
        <is>
          <t>Duct bank</t>
        </is>
      </c>
      <c r="T6247" s="15" t="n">
        <v>1629</v>
      </c>
      <c r="U6247" s="15" t="n">
        <v>161</v>
      </c>
      <c r="V6247" s="15">
        <f>ROUNDUP((T6247+U6247+2*'Read Me'!$B$13)*(1+'Read Me'!$B$12),-1)</f>
        <v/>
      </c>
      <c r="W6247" s="15">
        <f>V6247*N6247*O6247</f>
        <v/>
      </c>
      <c r="X6247" s="12">
        <f>IF(LEFT(I6247,2)="MV",2*N6247*IF(L6247="1/C",O6247,1),0)</f>
        <v/>
      </c>
      <c r="Y6247" s="12">
        <f>IF(OR(LEFT(K6247,4)="LVAX",LEFT(K6247,6)="MV15AX",LEFT(K6247,4)="CTAX",LEFT(K6247,2)="W|"),2*N6247*O6247,0)</f>
        <v/>
      </c>
      <c r="Z6247" s="12" t="inlineStr">
        <is>
          <t>VD 2.9 %</t>
        </is>
      </c>
      <c r="AA6247" s="12">
        <f>N6247*O6247</f>
        <v/>
      </c>
    </row>
    <row r="6248">
      <c r="A6248" s="12" t="inlineStr">
        <is>
          <t>C-P-0031</t>
        </is>
      </c>
      <c r="B6248" s="12" t="inlineStr">
        <is>
          <t>C</t>
        </is>
      </c>
      <c r="C6248" s="12" t="inlineStr">
        <is>
          <t>Grid interface</t>
        </is>
      </c>
      <c r="D6248" s="12" t="inlineStr">
        <is>
          <t>Motor 2 of 20, 15 kW</t>
        </is>
      </c>
      <c r="E6248" s="12" t="inlineStr">
        <is>
          <t>MCC-C1</t>
        </is>
      </c>
      <c r="F6248" s="12" t="inlineStr">
        <is>
          <t>R1 MCC-C1</t>
        </is>
      </c>
      <c r="G6248" s="12" t="inlineStr"/>
      <c r="H6248" s="12" t="inlineStr">
        <is>
          <t>Water treatment building: rooftop HVAC, exhaust fans, vents</t>
        </is>
      </c>
      <c r="I6248" s="12" t="inlineStr">
        <is>
          <t>LV 600 V</t>
        </is>
      </c>
      <c r="J6248" s="12" t="inlineStr">
        <is>
          <t>Type TC-ER 600 V 3/C Cu XHHW-2 + ground, PVC jacket</t>
        </is>
      </c>
      <c r="K6248" s="12" t="inlineStr">
        <is>
          <t>LV|3/C+G|2</t>
        </is>
      </c>
      <c r="L6248" s="12" t="inlineStr">
        <is>
          <t>3/C+G</t>
        </is>
      </c>
      <c r="M6248" s="12" t="inlineStr">
        <is>
          <t>2</t>
        </is>
      </c>
      <c r="N6248" s="12" t="n">
        <v>1</v>
      </c>
      <c r="O6248" s="12" t="n">
        <v>1</v>
      </c>
      <c r="P6248" s="12" t="n">
        <v>480</v>
      </c>
      <c r="Q6248" s="12" t="n">
        <v>15</v>
      </c>
      <c r="R6248" s="12" t="n">
        <v>21.2</v>
      </c>
      <c r="S6248" s="12" t="inlineStr">
        <is>
          <t>Duct bank</t>
        </is>
      </c>
      <c r="T6248" s="15" t="n">
        <v>1629</v>
      </c>
      <c r="U6248" s="15" t="n">
        <v>161</v>
      </c>
      <c r="V6248" s="15">
        <f>ROUNDUP((T6248+U6248+2*'Read Me'!$B$13)*(1+'Read Me'!$B$12),-1)</f>
        <v/>
      </c>
      <c r="W6248" s="15">
        <f>V6248*N6248*O6248</f>
        <v/>
      </c>
      <c r="X6248" s="12">
        <f>IF(LEFT(I6248,2)="MV",2*N6248*IF(L6248="1/C",O6248,1),0)</f>
        <v/>
      </c>
      <c r="Y6248" s="12">
        <f>IF(OR(LEFT(K6248,4)="LVAX",LEFT(K6248,6)="MV15AX",LEFT(K6248,4)="CTAX",LEFT(K6248,2)="W|"),2*N6248*O6248,0)</f>
        <v/>
      </c>
      <c r="Z6248" s="12" t="inlineStr">
        <is>
          <t>VD 2.9 %</t>
        </is>
      </c>
      <c r="AA6248" s="12">
        <f>N6248*O6248</f>
        <v/>
      </c>
    </row>
    <row r="6249">
      <c r="A6249" s="12" t="inlineStr">
        <is>
          <t>C-P-0032</t>
        </is>
      </c>
      <c r="B6249" s="12" t="inlineStr">
        <is>
          <t>C</t>
        </is>
      </c>
      <c r="C6249" s="12" t="inlineStr">
        <is>
          <t>Grid interface</t>
        </is>
      </c>
      <c r="D6249" s="12" t="inlineStr">
        <is>
          <t>Motor 3 of 20, 15 kW</t>
        </is>
      </c>
      <c r="E6249" s="12" t="inlineStr">
        <is>
          <t>MCC-C1</t>
        </is>
      </c>
      <c r="F6249" s="12" t="inlineStr">
        <is>
          <t>R1 MCC-C1</t>
        </is>
      </c>
      <c r="G6249" s="12" t="inlineStr"/>
      <c r="H6249" s="12" t="inlineStr">
        <is>
          <t>Water treatment building: rooftop HVAC, exhaust fans, vents</t>
        </is>
      </c>
      <c r="I6249" s="12" t="inlineStr">
        <is>
          <t>LV 600 V</t>
        </is>
      </c>
      <c r="J6249" s="12" t="inlineStr">
        <is>
          <t>Type TC-ER 600 V 3/C Cu XHHW-2 + ground, PVC jacket</t>
        </is>
      </c>
      <c r="K6249" s="12" t="inlineStr">
        <is>
          <t>LV|3/C+G|2</t>
        </is>
      </c>
      <c r="L6249" s="12" t="inlineStr">
        <is>
          <t>3/C+G</t>
        </is>
      </c>
      <c r="M6249" s="12" t="inlineStr">
        <is>
          <t>2</t>
        </is>
      </c>
      <c r="N6249" s="12" t="n">
        <v>1</v>
      </c>
      <c r="O6249" s="12" t="n">
        <v>1</v>
      </c>
      <c r="P6249" s="12" t="n">
        <v>480</v>
      </c>
      <c r="Q6249" s="12" t="n">
        <v>15</v>
      </c>
      <c r="R6249" s="12" t="n">
        <v>21.2</v>
      </c>
      <c r="S6249" s="12" t="inlineStr">
        <is>
          <t>Duct bank</t>
        </is>
      </c>
      <c r="T6249" s="15" t="n">
        <v>1629</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2.9 %</t>
        </is>
      </c>
      <c r="AA6249" s="12">
        <f>N6249*O6249</f>
        <v/>
      </c>
    </row>
    <row r="6250">
      <c r="A6250" s="12" t="inlineStr">
        <is>
          <t>C-P-0033</t>
        </is>
      </c>
      <c r="B6250" s="12" t="inlineStr">
        <is>
          <t>C</t>
        </is>
      </c>
      <c r="C6250" s="12" t="inlineStr">
        <is>
          <t>Grid interface</t>
        </is>
      </c>
      <c r="D6250" s="12" t="inlineStr">
        <is>
          <t>Motor 4 of 20, 15 kW</t>
        </is>
      </c>
      <c r="E6250" s="12" t="inlineStr">
        <is>
          <t>MCC-C1</t>
        </is>
      </c>
      <c r="F6250" s="12" t="inlineStr">
        <is>
          <t>R1 MCC-C1</t>
        </is>
      </c>
      <c r="G6250" s="12" t="inlineStr"/>
      <c r="H6250" s="12" t="inlineStr">
        <is>
          <t>Water treatment building: rooftop HVAC, exhaust fans, vents</t>
        </is>
      </c>
      <c r="I6250" s="12" t="inlineStr">
        <is>
          <t>LV 600 V</t>
        </is>
      </c>
      <c r="J6250" s="12" t="inlineStr">
        <is>
          <t>Type TC-ER 600 V 3/C Cu XHHW-2 + ground, PVC jacket</t>
        </is>
      </c>
      <c r="K6250" s="12" t="inlineStr">
        <is>
          <t>LV|3/C+G|2</t>
        </is>
      </c>
      <c r="L6250" s="12" t="inlineStr">
        <is>
          <t>3/C+G</t>
        </is>
      </c>
      <c r="M6250" s="12" t="inlineStr">
        <is>
          <t>2</t>
        </is>
      </c>
      <c r="N6250" s="12" t="n">
        <v>1</v>
      </c>
      <c r="O6250" s="12" t="n">
        <v>1</v>
      </c>
      <c r="P6250" s="12" t="n">
        <v>480</v>
      </c>
      <c r="Q6250" s="12" t="n">
        <v>15</v>
      </c>
      <c r="R6250" s="12" t="n">
        <v>21.2</v>
      </c>
      <c r="S6250" s="12" t="inlineStr">
        <is>
          <t>Duct bank</t>
        </is>
      </c>
      <c r="T6250" s="15" t="n">
        <v>1629</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2.9 %</t>
        </is>
      </c>
      <c r="AA6250" s="12">
        <f>N6250*O6250</f>
        <v/>
      </c>
    </row>
    <row r="6251">
      <c r="A6251" s="12" t="inlineStr">
        <is>
          <t>C-P-0034</t>
        </is>
      </c>
      <c r="B6251" s="12" t="inlineStr">
        <is>
          <t>C</t>
        </is>
      </c>
      <c r="C6251" s="12" t="inlineStr">
        <is>
          <t>Grid interface</t>
        </is>
      </c>
      <c r="D6251" s="12" t="inlineStr">
        <is>
          <t>Motor 5 of 20, 15 kW</t>
        </is>
      </c>
      <c r="E6251" s="12" t="inlineStr">
        <is>
          <t>MCC-C1</t>
        </is>
      </c>
      <c r="F6251" s="12" t="inlineStr">
        <is>
          <t>R1 MCC-C1</t>
        </is>
      </c>
      <c r="G6251" s="12" t="inlineStr"/>
      <c r="H6251" s="12" t="inlineStr">
        <is>
          <t>Water treatment building: rooftop HVAC, exhaust fans, vents</t>
        </is>
      </c>
      <c r="I6251" s="12" t="inlineStr">
        <is>
          <t>LV 600 V</t>
        </is>
      </c>
      <c r="J6251" s="12" t="inlineStr">
        <is>
          <t>Type TC-ER 600 V 3/C Cu XHHW-2 + ground, PVC jacket</t>
        </is>
      </c>
      <c r="K6251" s="12" t="inlineStr">
        <is>
          <t>LV|3/C+G|2</t>
        </is>
      </c>
      <c r="L6251" s="12" t="inlineStr">
        <is>
          <t>3/C+G</t>
        </is>
      </c>
      <c r="M6251" s="12" t="inlineStr">
        <is>
          <t>2</t>
        </is>
      </c>
      <c r="N6251" s="12" t="n">
        <v>1</v>
      </c>
      <c r="O6251" s="12" t="n">
        <v>1</v>
      </c>
      <c r="P6251" s="12" t="n">
        <v>480</v>
      </c>
      <c r="Q6251" s="12" t="n">
        <v>15</v>
      </c>
      <c r="R6251" s="12" t="n">
        <v>21.2</v>
      </c>
      <c r="S6251" s="12" t="inlineStr">
        <is>
          <t>Duct bank</t>
        </is>
      </c>
      <c r="T6251" s="15" t="n">
        <v>1629</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2.9 %</t>
        </is>
      </c>
      <c r="AA6251" s="12">
        <f>N6251*O6251</f>
        <v/>
      </c>
    </row>
    <row r="6252">
      <c r="A6252" s="12" t="inlineStr">
        <is>
          <t>C-P-0035</t>
        </is>
      </c>
      <c r="B6252" s="12" t="inlineStr">
        <is>
          <t>C</t>
        </is>
      </c>
      <c r="C6252" s="12" t="inlineStr">
        <is>
          <t>Grid interface</t>
        </is>
      </c>
      <c r="D6252" s="12" t="inlineStr">
        <is>
          <t>Motor 6 of 20, 15 kW</t>
        </is>
      </c>
      <c r="E6252" s="12" t="inlineStr">
        <is>
          <t>MCC-C1</t>
        </is>
      </c>
      <c r="F6252" s="12" t="inlineStr">
        <is>
          <t>R1 MCC-C1</t>
        </is>
      </c>
      <c r="G6252" s="12" t="inlineStr"/>
      <c r="H6252" s="12" t="inlineStr">
        <is>
          <t>Water treatment building: rooftop HVAC, exhaust fans, vents</t>
        </is>
      </c>
      <c r="I6252" s="12" t="inlineStr">
        <is>
          <t>LV 600 V</t>
        </is>
      </c>
      <c r="J6252" s="12" t="inlineStr">
        <is>
          <t>Type TC-ER 600 V 3/C Cu XHHW-2 + ground, PVC jacket</t>
        </is>
      </c>
      <c r="K6252" s="12" t="inlineStr">
        <is>
          <t>LV|3/C+G|2</t>
        </is>
      </c>
      <c r="L6252" s="12" t="inlineStr">
        <is>
          <t>3/C+G</t>
        </is>
      </c>
      <c r="M6252" s="12" t="inlineStr">
        <is>
          <t>2</t>
        </is>
      </c>
      <c r="N6252" s="12" t="n">
        <v>1</v>
      </c>
      <c r="O6252" s="12" t="n">
        <v>1</v>
      </c>
      <c r="P6252" s="12" t="n">
        <v>480</v>
      </c>
      <c r="Q6252" s="12" t="n">
        <v>15</v>
      </c>
      <c r="R6252" s="12" t="n">
        <v>21.2</v>
      </c>
      <c r="S6252" s="12" t="inlineStr">
        <is>
          <t>Duct bank</t>
        </is>
      </c>
      <c r="T6252" s="15" t="n">
        <v>1629</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2.9 %</t>
        </is>
      </c>
      <c r="AA6252" s="12">
        <f>N6252*O6252</f>
        <v/>
      </c>
    </row>
    <row r="6253">
      <c r="A6253" s="12" t="inlineStr">
        <is>
          <t>C-P-0036</t>
        </is>
      </c>
      <c r="B6253" s="12" t="inlineStr">
        <is>
          <t>C</t>
        </is>
      </c>
      <c r="C6253" s="12" t="inlineStr">
        <is>
          <t>Grid interface</t>
        </is>
      </c>
      <c r="D6253" s="12" t="inlineStr">
        <is>
          <t>Motor 7 of 20, 15 kW</t>
        </is>
      </c>
      <c r="E6253" s="12" t="inlineStr">
        <is>
          <t>MCC-C1</t>
        </is>
      </c>
      <c r="F6253" s="12" t="inlineStr">
        <is>
          <t>R1 MCC-C1</t>
        </is>
      </c>
      <c r="G6253" s="12" t="inlineStr"/>
      <c r="H6253" s="12" t="inlineStr">
        <is>
          <t>Water treatment building: rooftop HVAC, exhaust fans, vents</t>
        </is>
      </c>
      <c r="I6253" s="12" t="inlineStr">
        <is>
          <t>LV 600 V</t>
        </is>
      </c>
      <c r="J6253" s="12" t="inlineStr">
        <is>
          <t>Type TC-ER 600 V 3/C Cu XHHW-2 + ground, PVC jacket</t>
        </is>
      </c>
      <c r="K6253" s="12" t="inlineStr">
        <is>
          <t>LV|3/C+G|2</t>
        </is>
      </c>
      <c r="L6253" s="12" t="inlineStr">
        <is>
          <t>3/C+G</t>
        </is>
      </c>
      <c r="M6253" s="12" t="inlineStr">
        <is>
          <t>2</t>
        </is>
      </c>
      <c r="N6253" s="12" t="n">
        <v>1</v>
      </c>
      <c r="O6253" s="12" t="n">
        <v>1</v>
      </c>
      <c r="P6253" s="12" t="n">
        <v>480</v>
      </c>
      <c r="Q6253" s="12" t="n">
        <v>15</v>
      </c>
      <c r="R6253" s="12" t="n">
        <v>21.2</v>
      </c>
      <c r="S6253" s="12" t="inlineStr">
        <is>
          <t>Duct bank</t>
        </is>
      </c>
      <c r="T6253" s="15" t="n">
        <v>1629</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2.9 %</t>
        </is>
      </c>
      <c r="AA6253" s="12">
        <f>N6253*O6253</f>
        <v/>
      </c>
    </row>
    <row r="6254">
      <c r="A6254" s="12" t="inlineStr">
        <is>
          <t>C-P-0037</t>
        </is>
      </c>
      <c r="B6254" s="12" t="inlineStr">
        <is>
          <t>C</t>
        </is>
      </c>
      <c r="C6254" s="12" t="inlineStr">
        <is>
          <t>Grid interface</t>
        </is>
      </c>
      <c r="D6254" s="12" t="inlineStr">
        <is>
          <t>Motor 8 of 20, 15 kW</t>
        </is>
      </c>
      <c r="E6254" s="12" t="inlineStr">
        <is>
          <t>MCC-C1</t>
        </is>
      </c>
      <c r="F6254" s="12" t="inlineStr">
        <is>
          <t>R1 MCC-C1</t>
        </is>
      </c>
      <c r="G6254" s="12" t="inlineStr"/>
      <c r="H6254" s="12" t="inlineStr">
        <is>
          <t>Water treatment building: rooftop HVAC, exhaust fans, vents</t>
        </is>
      </c>
      <c r="I6254" s="12" t="inlineStr">
        <is>
          <t>LV 600 V</t>
        </is>
      </c>
      <c r="J6254" s="12" t="inlineStr">
        <is>
          <t>Type TC-ER 600 V 3/C Cu XHHW-2 + ground, PVC jacket</t>
        </is>
      </c>
      <c r="K6254" s="12" t="inlineStr">
        <is>
          <t>LV|3/C+G|2</t>
        </is>
      </c>
      <c r="L6254" s="12" t="inlineStr">
        <is>
          <t>3/C+G</t>
        </is>
      </c>
      <c r="M6254" s="12" t="inlineStr">
        <is>
          <t>2</t>
        </is>
      </c>
      <c r="N6254" s="12" t="n">
        <v>1</v>
      </c>
      <c r="O6254" s="12" t="n">
        <v>1</v>
      </c>
      <c r="P6254" s="12" t="n">
        <v>480</v>
      </c>
      <c r="Q6254" s="12" t="n">
        <v>15</v>
      </c>
      <c r="R6254" s="12" t="n">
        <v>21.2</v>
      </c>
      <c r="S6254" s="12" t="inlineStr">
        <is>
          <t>Duct bank</t>
        </is>
      </c>
      <c r="T6254" s="15" t="n">
        <v>1629</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2.9 %</t>
        </is>
      </c>
      <c r="AA6254" s="12">
        <f>N6254*O6254</f>
        <v/>
      </c>
    </row>
    <row r="6255">
      <c r="A6255" s="12" t="inlineStr">
        <is>
          <t>C-P-0038</t>
        </is>
      </c>
      <c r="B6255" s="12" t="inlineStr">
        <is>
          <t>C</t>
        </is>
      </c>
      <c r="C6255" s="12" t="inlineStr">
        <is>
          <t>Grid interface</t>
        </is>
      </c>
      <c r="D6255" s="12" t="inlineStr">
        <is>
          <t>Motor 9 of 20, 15 kW</t>
        </is>
      </c>
      <c r="E6255" s="12" t="inlineStr">
        <is>
          <t>MCC-C1</t>
        </is>
      </c>
      <c r="F6255" s="12" t="inlineStr">
        <is>
          <t>R1 MCC-C1</t>
        </is>
      </c>
      <c r="G6255" s="12" t="inlineStr"/>
      <c r="H6255" s="12" t="inlineStr">
        <is>
          <t>Water treatment building: rooftop HVAC, exhaust fans, vents</t>
        </is>
      </c>
      <c r="I6255" s="12" t="inlineStr">
        <is>
          <t>LV 600 V</t>
        </is>
      </c>
      <c r="J6255" s="12" t="inlineStr">
        <is>
          <t>Type TC-ER 600 V 3/C Cu XHHW-2 + ground, PVC jacket</t>
        </is>
      </c>
      <c r="K6255" s="12" t="inlineStr">
        <is>
          <t>LV|3/C+G|2</t>
        </is>
      </c>
      <c r="L6255" s="12" t="inlineStr">
        <is>
          <t>3/C+G</t>
        </is>
      </c>
      <c r="M6255" s="12" t="inlineStr">
        <is>
          <t>2</t>
        </is>
      </c>
      <c r="N6255" s="12" t="n">
        <v>1</v>
      </c>
      <c r="O6255" s="12" t="n">
        <v>1</v>
      </c>
      <c r="P6255" s="12" t="n">
        <v>480</v>
      </c>
      <c r="Q6255" s="12" t="n">
        <v>15</v>
      </c>
      <c r="R6255" s="12" t="n">
        <v>21.2</v>
      </c>
      <c r="S6255" s="12" t="inlineStr">
        <is>
          <t>Duct bank</t>
        </is>
      </c>
      <c r="T6255" s="15" t="n">
        <v>1629</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2.9 %</t>
        </is>
      </c>
      <c r="AA6255" s="12">
        <f>N6255*O6255</f>
        <v/>
      </c>
    </row>
    <row r="6256">
      <c r="A6256" s="12" t="inlineStr">
        <is>
          <t>C-P-0039</t>
        </is>
      </c>
      <c r="B6256" s="12" t="inlineStr">
        <is>
          <t>C</t>
        </is>
      </c>
      <c r="C6256" s="12" t="inlineStr">
        <is>
          <t>Grid interface</t>
        </is>
      </c>
      <c r="D6256" s="12" t="inlineStr">
        <is>
          <t>Motor 10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C-P-0040</t>
        </is>
      </c>
      <c r="B6257" s="12" t="inlineStr">
        <is>
          <t>C</t>
        </is>
      </c>
      <c r="C6257" s="12" t="inlineStr">
        <is>
          <t>Grid interface</t>
        </is>
      </c>
      <c r="D6257" s="12" t="inlineStr">
        <is>
          <t>Motor 11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C-P-0041</t>
        </is>
      </c>
      <c r="B6258" s="12" t="inlineStr">
        <is>
          <t>C</t>
        </is>
      </c>
      <c r="C6258" s="12" t="inlineStr">
        <is>
          <t>Grid interface</t>
        </is>
      </c>
      <c r="D6258" s="12" t="inlineStr">
        <is>
          <t>Motor 12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C-P-0042</t>
        </is>
      </c>
      <c r="B6259" s="12" t="inlineStr">
        <is>
          <t>C</t>
        </is>
      </c>
      <c r="C6259" s="12" t="inlineStr">
        <is>
          <t>Grid interface</t>
        </is>
      </c>
      <c r="D6259" s="12" t="inlineStr">
        <is>
          <t>Motor 13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C-P-0043</t>
        </is>
      </c>
      <c r="B6260" s="12" t="inlineStr">
        <is>
          <t>C</t>
        </is>
      </c>
      <c r="C6260" s="12" t="inlineStr">
        <is>
          <t>Grid interface</t>
        </is>
      </c>
      <c r="D6260" s="12" t="inlineStr">
        <is>
          <t>Motor 14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C-P-0044</t>
        </is>
      </c>
      <c r="B6261" s="12" t="inlineStr">
        <is>
          <t>C</t>
        </is>
      </c>
      <c r="C6261" s="12" t="inlineStr">
        <is>
          <t>Grid interface</t>
        </is>
      </c>
      <c r="D6261" s="12" t="inlineStr">
        <is>
          <t>Motor 15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C-P-0045</t>
        </is>
      </c>
      <c r="B6262" s="12" t="inlineStr">
        <is>
          <t>C</t>
        </is>
      </c>
      <c r="C6262" s="12" t="inlineStr">
        <is>
          <t>Grid interface</t>
        </is>
      </c>
      <c r="D6262" s="12" t="inlineStr">
        <is>
          <t>Motor 16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C-P-0046</t>
        </is>
      </c>
      <c r="B6263" s="12" t="inlineStr">
        <is>
          <t>C</t>
        </is>
      </c>
      <c r="C6263" s="12" t="inlineStr">
        <is>
          <t>Grid interface</t>
        </is>
      </c>
      <c r="D6263" s="12" t="inlineStr">
        <is>
          <t>Motor 17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C-P-0047</t>
        </is>
      </c>
      <c r="B6264" s="12" t="inlineStr">
        <is>
          <t>C</t>
        </is>
      </c>
      <c r="C6264" s="12" t="inlineStr">
        <is>
          <t>Grid interface</t>
        </is>
      </c>
      <c r="D6264" s="12" t="inlineStr">
        <is>
          <t>Motor 18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C-P-0048</t>
        </is>
      </c>
      <c r="B6265" s="12" t="inlineStr">
        <is>
          <t>C</t>
        </is>
      </c>
      <c r="C6265" s="12" t="inlineStr">
        <is>
          <t>Grid interface</t>
        </is>
      </c>
      <c r="D6265" s="12" t="inlineStr">
        <is>
          <t>Motor 19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C-P-0049</t>
        </is>
      </c>
      <c r="B6266" s="12" t="inlineStr">
        <is>
          <t>C</t>
        </is>
      </c>
      <c r="C6266" s="12" t="inlineStr">
        <is>
          <t>Grid interface</t>
        </is>
      </c>
      <c r="D6266" s="12" t="inlineStr">
        <is>
          <t>Motor 20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sheetData>
  <autoFilter ref="A1:AA62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Schedule'!$AA$2:$AA$6266,'Cable Schedule'!$K$2:$K$6266,A2)</f>
        <v/>
      </c>
      <c r="G2" s="17">
        <f>SUMIFS('Cable Schedule'!$W$2:$W$6266,'Cable Schedule'!$K$2:$K$6266,A2)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Schedule'!$AA$2:$AA$6266,'Cable Schedule'!$K$2:$K$6266,A3)</f>
        <v/>
      </c>
      <c r="G3" s="17">
        <f>SUMIFS('Cable Schedule'!$W$2:$W$6266,'Cable Schedule'!$K$2:$K$6266,A3)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Schedule'!$AA$2:$AA$6266,'Cable Schedule'!$K$2:$K$6266,A4)</f>
        <v/>
      </c>
      <c r="G4" s="17">
        <f>SUMIFS('Cable Schedule'!$W$2:$W$6266,'Cable Schedule'!$K$2:$K$6266,A4)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Schedule'!$AA$2:$AA$6266,'Cable Schedule'!$K$2:$K$6266,A5)</f>
        <v/>
      </c>
      <c r="G5" s="17">
        <f>SUMIFS('Cable Schedule'!$W$2:$W$6266,'Cable Schedule'!$K$2:$K$6266,A5)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Schedule'!$AA$2:$AA$6266,'Cable Schedule'!$K$2:$K$6266,A6)</f>
        <v/>
      </c>
      <c r="G6" s="17">
        <f>SUMIFS('Cable Schedule'!$W$2:$W$6266,'Cable Schedule'!$K$2:$K$6266,A6)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Schedule'!$AA$2:$AA$6266,'Cable Schedule'!$K$2:$K$6266,A7)</f>
        <v/>
      </c>
      <c r="G7" s="17">
        <f>SUMIFS('Cable Schedule'!$W$2:$W$6266,'Cable Schedule'!$K$2:$K$6266,A7)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Schedule'!$AA$2:$AA$6266,'Cable Schedule'!$K$2:$K$6266,A8)</f>
        <v/>
      </c>
      <c r="G8" s="17">
        <f>SUMIFS('Cable Schedule'!$W$2:$W$6266,'Cable Schedule'!$K$2:$K$6266,A8)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Schedule'!$AA$2:$AA$6266,'Cable Schedule'!$K$2:$K$6266,A9)</f>
        <v/>
      </c>
      <c r="G9" s="17">
        <f>SUMIFS('Cable Schedule'!$W$2:$W$6266,'Cable Schedule'!$K$2:$K$6266,A9)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Schedule'!$AA$2:$AA$6266,'Cable Schedule'!$K$2:$K$6266,A10)</f>
        <v/>
      </c>
      <c r="G10" s="17">
        <f>SUMIFS('Cable Schedule'!$W$2:$W$6266,'Cable Schedule'!$K$2:$K$6266,A10)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Schedule'!$AA$2:$AA$6266,'Cable Schedule'!$K$2:$K$6266,A11)</f>
        <v/>
      </c>
      <c r="G11" s="17">
        <f>SUMIFS('Cable Schedule'!$W$2:$W$6266,'Cable Schedule'!$K$2:$K$6266,A11)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Schedule'!$AA$2:$AA$6266,'Cable Schedule'!$K$2:$K$6266,A12)</f>
        <v/>
      </c>
      <c r="G12" s="17">
        <f>SUMIFS('Cable Schedule'!$W$2:$W$6266,'Cable Schedule'!$K$2:$K$6266,A12)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Schedule'!$AA$2:$AA$6266,'Cable Schedule'!$K$2:$K$6266,A13)</f>
        <v/>
      </c>
      <c r="G13" s="17">
        <f>SUMIFS('Cable Schedule'!$W$2:$W$6266,'Cable Schedule'!$K$2:$K$6266,A13)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Schedule'!$AA$2:$AA$6266,'Cable Schedule'!$K$2:$K$6266,A14)</f>
        <v/>
      </c>
      <c r="G14" s="17">
        <f>SUMIFS('Cable Schedule'!$W$2:$W$6266,'Cable Schedule'!$K$2:$K$6266,A14)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Schedule'!$AA$2:$AA$6266,'Cable Schedule'!$K$2:$K$6266,A15)</f>
        <v/>
      </c>
      <c r="G15" s="17">
        <f>SUMIFS('Cable Schedule'!$W$2:$W$6266,'Cable Schedule'!$K$2:$K$6266,A15)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Schedule'!$AA$2:$AA$6266,'Cable Schedule'!$K$2:$K$6266,A16)</f>
        <v/>
      </c>
      <c r="G16" s="17">
        <f>SUMIFS('Cable Schedule'!$W$2:$W$6266,'Cable Schedule'!$K$2:$K$6266,A16)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Schedule'!$AA$2:$AA$6266,'Cable Schedule'!$K$2:$K$6266,A17)</f>
        <v/>
      </c>
      <c r="G17" s="17">
        <f>SUMIFS('Cable Schedule'!$W$2:$W$6266,'Cable Schedule'!$K$2:$K$6266,A17)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Schedule'!$AA$2:$AA$6266,'Cable Schedule'!$K$2:$K$6266,A18)</f>
        <v/>
      </c>
      <c r="G18" s="17">
        <f>SUMIFS('Cable Schedule'!$W$2:$W$6266,'Cable Schedule'!$K$2:$K$6266,A18)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Schedule'!$AA$2:$AA$6266,'Cable Schedule'!$K$2:$K$6266,A19)</f>
        <v/>
      </c>
      <c r="G19" s="17">
        <f>SUMIFS('Cable Schedule'!$W$2:$W$6266,'Cable Schedule'!$K$2:$K$6266,A19)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Schedule'!$AA$2:$AA$6266,'Cable Schedule'!$K$2:$K$6266,A20)</f>
        <v/>
      </c>
      <c r="G20" s="17">
        <f>SUMIFS('Cable Schedule'!$W$2:$W$6266,'Cable Schedule'!$K$2:$K$6266,A20)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Schedule'!$AA$2:$AA$6266,'Cable Schedule'!$K$2:$K$6266,A21)</f>
        <v/>
      </c>
      <c r="G21" s="17">
        <f>SUMIFS('Cable Schedule'!$W$2:$W$6266,'Cable Schedule'!$K$2:$K$6266,A21)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Schedule'!$AA$2:$AA$6266,'Cable Schedule'!$K$2:$K$6266,A22)</f>
        <v/>
      </c>
      <c r="G22" s="17">
        <f>SUMIFS('Cable Schedule'!$W$2:$W$6266,'Cable Schedule'!$K$2:$K$6266,A22)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Schedule'!$AA$2:$AA$6266,'Cable Schedule'!$K$2:$K$6266,A23)</f>
        <v/>
      </c>
      <c r="G23" s="17">
        <f>SUMIFS('Cable Schedule'!$W$2:$W$6266,'Cable Schedule'!$K$2:$K$6266,A23)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Schedule'!$AA$2:$AA$6266,'Cable Schedule'!$K$2:$K$6266,A24)</f>
        <v/>
      </c>
      <c r="G24" s="17">
        <f>SUMIFS('Cable Schedule'!$W$2:$W$6266,'Cable Schedule'!$K$2:$K$6266,A24)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Schedule'!$AA$2:$AA$6266,'Cable Schedule'!$K$2:$K$6266,A25)</f>
        <v/>
      </c>
      <c r="G25" s="17">
        <f>SUMIFS('Cable Schedule'!$W$2:$W$6266,'Cable Schedule'!$K$2:$K$6266,A25)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Schedule'!$AA$2:$AA$6266,'Cable Schedule'!$K$2:$K$6266,A26)</f>
        <v/>
      </c>
      <c r="G26" s="17">
        <f>SUMIFS('Cable Schedule'!$W$2:$W$6266,'Cable Schedule'!$K$2:$K$6266,A26)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Schedule'!$AA$2:$AA$6266,'Cable Schedule'!$K$2:$K$6266,A27)</f>
        <v/>
      </c>
      <c r="G27" s="17">
        <f>SUMIFS('Cable Schedule'!$W$2:$W$6266,'Cable Schedule'!$K$2:$K$6266,A27)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Schedule'!$AA$2:$AA$6266,'Cable Schedule'!$K$2:$K$6266,A28)</f>
        <v/>
      </c>
      <c r="G28" s="17">
        <f>SUMIFS('Cable Schedule'!$W$2:$W$6266,'Cable Schedule'!$K$2:$K$6266,A28)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Schedule'!$AA$2:$AA$6266,'Cable Schedule'!$K$2:$K$6266,A29)</f>
        <v/>
      </c>
      <c r="G29" s="17">
        <f>SUMIFS('Cable Schedule'!$W$2:$W$6266,'Cable Schedule'!$K$2:$K$6266,A29)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Schedule'!$AA$2:$AA$6266,'Cable Schedule'!$K$2:$K$6266,A30)</f>
        <v/>
      </c>
      <c r="G30" s="17">
        <f>SUMIFS('Cable Schedule'!$W$2:$W$6266,'Cable Schedule'!$K$2:$K$6266,A30)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Schedule'!$AA$2:$AA$6266,'Cable Schedule'!$K$2:$K$6266,A31)</f>
        <v/>
      </c>
      <c r="G31" s="17">
        <f>SUMIFS('Cable Schedule'!$W$2:$W$6266,'Cable Schedule'!$K$2:$K$6266,A31)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Schedule'!$AA$2:$AA$6266,'Cable Schedule'!$K$2:$K$6266,A32)</f>
        <v/>
      </c>
      <c r="G32" s="17">
        <f>SUMIFS('Cable Schedule'!$W$2:$W$6266,'Cable Schedule'!$K$2:$K$6266,A32)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Schedule'!$AA$2:$AA$6266,'Cable Schedule'!$K$2:$K$6266,A33)</f>
        <v/>
      </c>
      <c r="G33" s="17">
        <f>SUMIFS('Cable Schedule'!$W$2:$W$6266,'Cable Schedule'!$K$2:$K$6266,A33)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Schedule'!$AA$2:$AA$6266,'Cable Schedule'!$K$2:$K$6266,A34)</f>
        <v/>
      </c>
      <c r="G34" s="17">
        <f>SUMIFS('Cable Schedule'!$W$2:$W$6266,'Cable Schedule'!$K$2:$K$6266,A34)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Schedule'!$AA$2:$AA$6266,'Cable Schedule'!$K$2:$K$6266,A35)</f>
        <v/>
      </c>
      <c r="G35" s="17">
        <f>SUMIFS('Cable Schedule'!$W$2:$W$6266,'Cable Schedule'!$K$2:$K$6266,A35)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Schedule'!$AA$2:$AA$6266,'Cable Schedule'!$K$2:$K$6266,A36)</f>
        <v/>
      </c>
      <c r="G36" s="17">
        <f>SUMIFS('Cable Schedule'!$W$2:$W$6266,'Cable Schedule'!$K$2:$K$6266,A36)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Schedule'!$AA$2:$AA$6266,'Cable Schedule'!$K$2:$K$6266,A37)</f>
        <v/>
      </c>
      <c r="G37" s="17">
        <f>SUMIFS('Cable Schedule'!$W$2:$W$6266,'Cable Schedule'!$K$2:$K$6266,A37)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Schedule'!$AA$2:$AA$6266,'Cable Schedule'!$K$2:$K$6266,A38)</f>
        <v/>
      </c>
      <c r="G38" s="17">
        <f>SUMIFS('Cable Schedule'!$W$2:$W$6266,'Cable Schedule'!$K$2:$K$6266,A38)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Schedule'!$AA$2:$AA$6266,'Cable Schedule'!$K$2:$K$6266,A39)</f>
        <v/>
      </c>
      <c r="G39" s="17">
        <f>SUMIFS('Cable Schedule'!$W$2:$W$6266,'Cable Schedule'!$K$2:$K$6266,A39)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Schedule'!$AA$2:$AA$6266,'Cable Schedule'!$K$2:$K$6266,A40)</f>
        <v/>
      </c>
      <c r="G40" s="17">
        <f>SUMIFS('Cable Schedule'!$W$2:$W$6266,'Cable Schedule'!$K$2:$K$6266,A40)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Schedule'!$AA$2:$AA$6266,'Cable Schedule'!$K$2:$K$6266,A41)</f>
        <v/>
      </c>
      <c r="G41" s="17">
        <f>SUMIFS('Cable Schedule'!$W$2:$W$6266,'Cable Schedule'!$K$2:$K$6266,A41)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Schedule'!$AA$2:$AA$6266,'Cable Schedule'!$K$2:$K$6266,A42)</f>
        <v/>
      </c>
      <c r="G42" s="17">
        <f>SUMIFS('Cable Schedule'!$W$2:$W$6266,'Cable Schedule'!$K$2:$K$6266,A42)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Schedule'!$AA$2:$AA$6266,'Cable Schedule'!$K$2:$K$6266,A43)</f>
        <v/>
      </c>
      <c r="G43" s="17">
        <f>SUMIFS('Cable Schedule'!$W$2:$W$6266,'Cable Schedule'!$K$2:$K$6266,A43)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Schedule'!$AA$2:$AA$6266,'Cable Schedule'!$K$2:$K$6266,A44)</f>
        <v/>
      </c>
      <c r="G44" s="17">
        <f>SUMIFS('Cable Schedule'!$W$2:$W$6266,'Cable Schedule'!$K$2:$K$6266,A44)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Schedule'!$AA$2:$AA$6266,'Cable Schedule'!$K$2:$K$6266,A45)</f>
        <v/>
      </c>
      <c r="G45" s="17">
        <f>SUMIFS('Cable Schedule'!$W$2:$W$6266,'Cable Schedule'!$K$2:$K$6266,A45)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Schedule'!$AA$2:$AA$6266,'Cable Schedule'!$K$2:$K$6266,A46)</f>
        <v/>
      </c>
      <c r="G46" s="17">
        <f>SUMIFS('Cable Schedule'!$W$2:$W$6266,'Cable Schedule'!$K$2:$K$6266,A46)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Schedule'!$AA$2:$AA$6266,'Cable Schedule'!$K$2:$K$6266,A47)</f>
        <v/>
      </c>
      <c r="G47" s="17">
        <f>SUMIFS('Cable Schedule'!$W$2:$W$6266,'Cable Schedule'!$K$2:$K$6266,A47)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Schedule'!$AA$2:$AA$6266,'Cable Schedule'!$K$2:$K$6266,A48)</f>
        <v/>
      </c>
      <c r="G48" s="17">
        <f>SUMIFS('Cable Schedule'!$W$2:$W$6266,'Cable Schedule'!$K$2:$K$6266,A48)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Schedule'!$AA$2:$AA$6266,'Cable Schedule'!$K$2:$K$6266,A49)</f>
        <v/>
      </c>
      <c r="G49" s="17">
        <f>SUMIFS('Cable Schedule'!$W$2:$W$6266,'Cable Schedule'!$K$2:$K$6266,A49)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Schedule'!$AA$2:$AA$6266,'Cable Schedule'!$K$2:$K$6266,A50)</f>
        <v/>
      </c>
      <c r="G50" s="17">
        <f>SUMIFS('Cable Schedule'!$W$2:$W$6266,'Cable Schedule'!$K$2:$K$6266,A50)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Schedule'!$AA$2:$AA$6266,'Cable Schedule'!$K$2:$K$6266,A51)</f>
        <v/>
      </c>
      <c r="G51" s="17">
        <f>SUMIFS('Cable Schedule'!$W$2:$W$6266,'Cable Schedule'!$K$2:$K$6266,A51)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Schedule'!$AA$2:$AA$6266,'Cable Schedule'!$K$2:$K$6266,A52)</f>
        <v/>
      </c>
      <c r="G52" s="17">
        <f>SUMIFS('Cable Schedule'!$W$2:$W$6266,'Cable Schedule'!$K$2:$K$6266,A52)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Schedule'!$AA$2:$AA$6266,'Cable Schedule'!$K$2:$K$6266,A53)</f>
        <v/>
      </c>
      <c r="G53" s="17">
        <f>SUMIFS('Cable Schedule'!$W$2:$W$6266,'Cable Schedule'!$K$2:$K$6266,A53)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Schedule'!$AA$2:$AA$6266,'Cable Schedule'!$K$2:$K$6266,A54)</f>
        <v/>
      </c>
      <c r="G54" s="17">
        <f>SUMIFS('Cable Schedule'!$W$2:$W$6266,'Cable Schedule'!$K$2:$K$6266,A54)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Schedule'!$AA$2:$AA$6266,'Cable Schedule'!$K$2:$K$6266,A55)</f>
        <v/>
      </c>
      <c r="G55" s="17">
        <f>SUMIFS('Cable Schedule'!$W$2:$W$6266,'Cable Schedule'!$K$2:$K$6266,A55)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Schedule'!$AA$2:$AA$6266,'Cable Schedule'!$K$2:$K$6266,A56)</f>
        <v/>
      </c>
      <c r="G56" s="17">
        <f>SUMIFS('Cable Schedule'!$W$2:$W$6266,'Cable Schedule'!$K$2:$K$6266,A56)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Schedule'!$AA$2:$AA$6266,'Cable Schedule'!$K$2:$K$6266,A57)</f>
        <v/>
      </c>
      <c r="G57" s="17">
        <f>SUMIFS('Cable Schedule'!$W$2:$W$6266,'Cable Schedule'!$K$2:$K$6266,A57)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Schedule'!$AA$2:$AA$6266,'Cable Schedule'!$K$2:$K$6266,A58)</f>
        <v/>
      </c>
      <c r="G58" s="17">
        <f>SUMIFS('Cable Schedule'!$W$2:$W$6266,'Cable Schedule'!$K$2:$K$6266,A58)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Schedule'!$AA$2:$AA$6266,'Cable Schedule'!$K$2:$K$6266,A59)</f>
        <v/>
      </c>
      <c r="G59" s="17">
        <f>SUMIFS('Cable Schedule'!$W$2:$W$6266,'Cable Schedule'!$K$2:$K$6266,A59)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Schedule'!$AA$2:$AA$6266,'Cable Schedule'!$K$2:$K$6266,A60)</f>
        <v/>
      </c>
      <c r="G60" s="17">
        <f>SUMIFS('Cable Schedule'!$W$2:$W$6266,'Cable Schedule'!$K$2:$K$6266,A60)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Schedule'!$AA$2:$AA$6266,'Cable Schedule'!$K$2:$K$6266,A61)</f>
        <v/>
      </c>
      <c r="G61" s="17">
        <f>SUMIFS('Cable Schedule'!$W$2:$W$6266,'Cable Schedule'!$K$2:$K$6266,A61)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Schedule'!$AA$2:$AA$6266,'Cable Schedule'!$K$2:$K$6266,A62)</f>
        <v/>
      </c>
      <c r="G62" s="17">
        <f>SUMIFS('Cable Schedule'!$W$2:$W$6266,'Cable Schedule'!$K$2:$K$6266,A62)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Schedule'!$AA$2:$AA$6266,'Cable Schedule'!$K$2:$K$6266,A63)</f>
        <v/>
      </c>
      <c r="G63" s="17">
        <f>SUMIFS('Cable Schedule'!$W$2:$W$6266,'Cable Schedule'!$K$2:$K$6266,A63)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Schedule'!$AA$2:$AA$6266,'Cable Schedule'!$K$2:$K$6266,A64)</f>
        <v/>
      </c>
      <c r="G64" s="17">
        <f>SUMIFS('Cable Schedule'!$W$2:$W$6266,'Cable Schedule'!$K$2:$K$6266,A64)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Schedule'!$AA$2:$AA$6266,'Cable Schedule'!$K$2:$K$6266,A65)</f>
        <v/>
      </c>
      <c r="G65" s="17">
        <f>SUMIFS('Cable Schedule'!$W$2:$W$6266,'Cable Schedule'!$K$2:$K$6266,A65)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Schedule'!$AA$2:$AA$6266,'Cable Schedule'!$K$2:$K$6266,A66)</f>
        <v/>
      </c>
      <c r="G66" s="17">
        <f>SUMIFS('Cable Schedule'!$W$2:$W$6266,'Cable Schedule'!$K$2:$K$6266,A66)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Schedule'!$AA$2:$AA$6266,'Cable Schedule'!$K$2:$K$6266,A67)</f>
        <v/>
      </c>
      <c r="G67" s="17">
        <f>SUMIFS('Cable Schedule'!$W$2:$W$6266,'Cable Schedule'!$K$2:$K$6266,A67)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Schedule'!$AA$2:$AA$6266,'Cable Schedule'!$K$2:$K$6266,A68)</f>
        <v/>
      </c>
      <c r="G68" s="17">
        <f>SUMIFS('Cable Schedule'!$W$2:$W$6266,'Cable Schedule'!$K$2:$K$6266,A68)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Schedule'!$AA$2:$AA$6266,'Cable Schedule'!$K$2:$K$6266,A69)</f>
        <v/>
      </c>
      <c r="G69" s="17">
        <f>SUMIFS('Cable Schedule'!$W$2:$W$6266,'Cable Schedule'!$K$2:$K$6266,A69)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Schedule'!$AA$2:$AA$6266,'Cable Schedule'!$K$2:$K$6266,A70)</f>
        <v/>
      </c>
      <c r="G70" s="17">
        <f>SUMIFS('Cable Schedule'!$W$2:$W$6266,'Cable Schedule'!$K$2:$K$6266,A70)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Schedule'!$AA$2:$AA$6266,'Cable Schedule'!$K$2:$K$6266,A71)</f>
        <v/>
      </c>
      <c r="G71" s="17">
        <f>SUMIFS('Cable Schedule'!$W$2:$W$6266,'Cable Schedule'!$K$2:$K$6266,A71)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Schedule'!$AA$2:$AA$6266,'Cable Schedule'!$K$2:$K$6266,A72)</f>
        <v/>
      </c>
      <c r="G72" s="17">
        <f>SUMIFS('Cable Schedule'!$W$2:$W$6266,'Cable Schedule'!$K$2:$K$6266,A72)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Schedule'!$AA$2:$AA$6266,'Cable Schedule'!$K$2:$K$6266,A73)</f>
        <v/>
      </c>
      <c r="G73" s="17">
        <f>SUMIFS('Cable Schedule'!$W$2:$W$6266,'Cable Schedule'!$K$2:$K$6266,A73)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Schedule'!$AA$2:$AA$6266,'Cable Schedule'!$K$2:$K$6266,A74)</f>
        <v/>
      </c>
      <c r="G74" s="17">
        <f>SUMIFS('Cable Schedule'!$W$2:$W$6266,'Cable Schedule'!$K$2:$K$6266,A74)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Schedule'!$AA$2:$AA$6266,'Cable Schedule'!$K$2:$K$6266,A75)</f>
        <v/>
      </c>
      <c r="G75" s="17">
        <f>SUMIFS('Cable Schedule'!$W$2:$W$6266,'Cable Schedule'!$K$2:$K$6266,A75)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Schedule'!$AA$2:$AA$6266,'Cable Schedule'!$K$2:$K$6266,A76)</f>
        <v/>
      </c>
      <c r="G76" s="17">
        <f>SUMIFS('Cable Schedule'!$W$2:$W$6266,'Cable Schedule'!$K$2:$K$6266,A76)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Schedule'!$AA$2:$AA$6266,'Cable Schedule'!$K$2:$K$6266,A77)</f>
        <v/>
      </c>
      <c r="G77" s="17">
        <f>SUMIFS('Cable Schedule'!$W$2:$W$6266,'Cable Schedule'!$K$2:$K$6266,A77)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Schedule'!$AA$2:$AA$6266,'Cable Schedule'!$K$2:$K$6266,A78)</f>
        <v/>
      </c>
      <c r="G78" s="17">
        <f>SUMIFS('Cable Schedule'!$W$2:$W$6266,'Cable Schedule'!$K$2:$K$6266,A78)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Schedule'!$AA$2:$AA$6266,'Cable Schedule'!$K$2:$K$6266,A79)</f>
        <v/>
      </c>
      <c r="G79" s="17">
        <f>SUMIFS('Cable Schedule'!$W$2:$W$6266,'Cable Schedule'!$K$2:$K$6266,A79)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Schedule'!$AA$2:$AA$6266,'Cable Schedule'!$K$2:$K$6266,A80)</f>
        <v/>
      </c>
      <c r="G80" s="17">
        <f>SUMIFS('Cable Schedule'!$W$2:$W$6266,'Cable Schedule'!$K$2:$K$6266,A80)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Schedule'!$AA$2:$AA$6266,'Cable Schedule'!$K$2:$K$6266,A81)</f>
        <v/>
      </c>
      <c r="G81" s="17">
        <f>SUMIFS('Cable Schedule'!$W$2:$W$6266,'Cable Schedule'!$K$2:$K$6266,A81)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Schedule'!$AA$2:$AA$6266,'Cable Schedule'!$K$2:$K$6266,A82)</f>
        <v/>
      </c>
      <c r="G82" s="17">
        <f>SUMIFS('Cable Schedule'!$W$2:$W$6266,'Cable Schedule'!$K$2:$K$6266,A82)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Schedule'!$AA$2:$AA$6266,'Cable Schedule'!$K$2:$K$6266,A83)</f>
        <v/>
      </c>
      <c r="G83" s="17">
        <f>SUMIFS('Cable Schedule'!$W$2:$W$6266,'Cable Schedule'!$K$2:$K$6266,A83)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Schedule'!$AA$2:$AA$6266,'Cable Schedule'!$K$2:$K$6266,A84)</f>
        <v/>
      </c>
      <c r="G84" s="17">
        <f>SUMIFS('Cable Schedule'!$W$2:$W$6266,'Cable Schedule'!$K$2:$K$6266,A84)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Schedule'!$AA$2:$AA$6266,'Cable Schedule'!$K$2:$K$6266,A85)</f>
        <v/>
      </c>
      <c r="G85" s="17">
        <f>SUMIFS('Cable Schedule'!$W$2:$W$6266,'Cable Schedule'!$K$2:$K$6266,A85)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Schedule'!$AA$2:$AA$6266,'Cable Schedule'!$K$2:$K$6266,A86)</f>
        <v/>
      </c>
      <c r="G86" s="17">
        <f>SUMIFS('Cable Schedule'!$W$2:$W$6266,'Cable Schedule'!$K$2:$K$6266,A86)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Schedule'!$AA$2:$AA$6266,'Cable Schedule'!$K$2:$K$6266,A87)</f>
        <v/>
      </c>
      <c r="G87" s="17">
        <f>SUMIFS('Cable Schedule'!$W$2:$W$6266,'Cable Schedule'!$K$2:$K$6266,A87)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Schedule'!$AA$2:$AA$6266,'Cable Schedule'!$K$2:$K$6266,A88)</f>
        <v/>
      </c>
      <c r="G88" s="17">
        <f>SUMIFS('Cable Schedule'!$W$2:$W$6266,'Cable Schedule'!$K$2:$K$6266,A88)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Schedule'!$AA$2:$AA$6266,'Cable Schedule'!$K$2:$K$6266,A89)</f>
        <v/>
      </c>
      <c r="G89" s="17">
        <f>SUMIFS('Cable Schedule'!$W$2:$W$6266,'Cable Schedule'!$K$2:$K$6266,A89)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Schedule'!$AA$2:$AA$6266,'Cable Schedule'!$K$2:$K$6266,A90)</f>
        <v/>
      </c>
      <c r="G90" s="17">
        <f>SUMIFS('Cable Schedule'!$W$2:$W$6266,'Cable Schedule'!$K$2:$K$6266,A90)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Schedule'!$AA$2:$AA$6266,'Cable Schedule'!$K$2:$K$6266,A91)</f>
        <v/>
      </c>
      <c r="G91" s="17">
        <f>SUMIFS('Cable Schedule'!$W$2:$W$6266,'Cable Schedule'!$K$2:$K$6266,A91)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Schedule'!$AA$2:$AA$6266,'Cable Schedule'!$K$2:$K$6266,A92)</f>
        <v/>
      </c>
      <c r="G92" s="17">
        <f>SUMIFS('Cable Schedule'!$W$2:$W$6266,'Cable Schedule'!$K$2:$K$6266,A92)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Schedule'!$AA$2:$AA$6266,'Cable Schedule'!$K$2:$K$6266,A93)</f>
        <v/>
      </c>
      <c r="G93" s="17">
        <f>SUMIFS('Cable Schedule'!$W$2:$W$6266,'Cable Schedule'!$K$2:$K$6266,A93)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Schedule'!$AA$2:$AA$6266,'Cable Schedule'!$K$2:$K$6266,A94)</f>
        <v/>
      </c>
      <c r="G94" s="17">
        <f>SUMIFS('Cable Schedule'!$W$2:$W$6266,'Cable Schedule'!$K$2:$K$6266,A94)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Schedule'!$AA$2:$AA$6266,'Cable Schedule'!$K$2:$K$6266,A95)</f>
        <v/>
      </c>
      <c r="G95" s="17">
        <f>SUMIFS('Cable Schedule'!$W$2:$W$6266,'Cable Schedule'!$K$2:$K$6266,A95)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Schedule'!$AA$2:$AA$6266,'Cable Schedule'!$K$2:$K$6266,A96)</f>
        <v/>
      </c>
      <c r="G96" s="17">
        <f>SUMIFS('Cable Schedule'!$W$2:$W$6266,'Cable Schedule'!$K$2:$K$6266,A96)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Schedule'!$AA$2:$AA$6266,'Cable Schedule'!$K$2:$K$6266,A97)</f>
        <v/>
      </c>
      <c r="G97" s="17">
        <f>SUMIFS('Cable Schedule'!$W$2:$W$6266,'Cable Schedule'!$K$2:$K$6266,A97)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Schedule'!$AA$2:$AA$6266,'Cable Schedule'!$K$2:$K$6266,A98)</f>
        <v/>
      </c>
      <c r="G98" s="17">
        <f>SUMIFS('Cable Schedule'!$W$2:$W$6266,'Cable Schedule'!$K$2:$K$6266,A98)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Schedule'!$AA$2:$AA$6266,'Cable Schedule'!$K$2:$K$6266,A99)</f>
        <v/>
      </c>
      <c r="G99" s="17">
        <f>SUMIFS('Cable Schedule'!$W$2:$W$6266,'Cable Schedule'!$K$2:$K$6266,A99)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Schedule'!$AA$2:$AA$6266,'Cable Schedule'!$K$2:$K$6266,A100)</f>
        <v/>
      </c>
      <c r="G100" s="17">
        <f>SUMIFS('Cable Schedule'!$W$2:$W$6266,'Cable Schedule'!$K$2:$K$6266,A100)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Schedule'!X2:X6266)</f>
        <v/>
      </c>
    </row>
    <row r="3">
      <c r="A3" s="12" t="inlineStr">
        <is>
          <t>ARMOR-X / Type W connectors and glands</t>
        </is>
      </c>
      <c r="B3" s="17">
        <f>SUM('Cable Schedule'!Y2:Y6266)</f>
        <v/>
      </c>
    </row>
    <row r="4">
      <c r="A4" s="12" t="inlineStr">
        <is>
          <t>MV splice kits (allowance: 1 per 2,500 ft of MV 1/C)</t>
        </is>
      </c>
      <c r="B4" s="17">
        <f>ROUNDUP(SUMIFS('Cable Schedule'!W2:W6266,'Cable Schedule'!I2:I6266,"MV*",'Cable Schedule'!L2:L6266,"1/C")/2500,0)</f>
        <v/>
      </c>
    </row>
    <row r="5">
      <c r="A5" s="12" t="inlineStr">
        <is>
          <t>230 kV outdoor terminations</t>
        </is>
      </c>
      <c r="B5" s="17">
        <f>2*SUMIFS('Cable Schedule'!O2:O6266,'Cable Schedule'!I2:I6266,"HV 230 kV")</f>
        <v/>
      </c>
    </row>
    <row r="6">
      <c r="A6" s="12" t="inlineStr">
        <is>
          <t>600 V compression lugs (power, 4 per end)</t>
        </is>
      </c>
      <c r="B6" s="17">
        <f>2*4*SUMIFS('Cable Schedule'!N2:N6266,'Cable Schedule'!I2:I6266,"LV 600 V")</f>
        <v/>
      </c>
    </row>
    <row r="7">
      <c r="A7" s="12" t="inlineStr">
        <is>
          <t>Instrument / control cable glands (2 per run)</t>
        </is>
      </c>
      <c r="B7" s="17">
        <f>2*(COUNTIF('Cable Schedule'!I2:I6266,"Control")+COUNTIF('Cable Schedule'!I2:I6266,"Instrumentation"))</f>
        <v/>
      </c>
    </row>
    <row r="8">
      <c r="A8" s="12" t="inlineStr">
        <is>
          <t>Fibre patch / termination (2 per link)</t>
        </is>
      </c>
      <c r="B8" s="17">
        <f>2*COUNTIF('Cable Schedule'!I2:I6266,"Fibre / data")</f>
        <v/>
      </c>
    </row>
    <row r="9">
      <c r="A9" s="12" t="inlineStr">
        <is>
          <t>Ground connections: exothermic welds (allowance 1 per 25 ft of grid)</t>
        </is>
      </c>
      <c r="B9" s="17">
        <f>ROUNDUP(SUMIFS('Cable Schedule'!W2:W6266,'Cable Schedule'!I2:I6266,"Grounding")/25,0)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Schedule'!$W$2:$W$6266,'Cable Schedule'!$B$2:$B$6266,"A",'Cable Schedule'!$I$2:$I$6266,"MV 15 kV")</f>
        <v/>
      </c>
      <c r="C3" s="17">
        <f>SUMIFS('Cable Schedule'!$W$2:$W$6266,'Cable Schedule'!$B$2:$B$6266,"A",'Cable Schedule'!$I$2:$I$6266,"MV 5 kV")</f>
        <v/>
      </c>
      <c r="D3" s="17">
        <f>SUMIFS('Cable Schedule'!$W$2:$W$6266,'Cable Schedule'!$B$2:$B$6266,"A",'Cable Schedule'!$I$2:$I$6266,"MV 25 kV")</f>
        <v/>
      </c>
      <c r="E3" s="17">
        <f>SUMIFS('Cable Schedule'!$W$2:$W$6266,'Cable Schedule'!$B$2:$B$6266,"A",'Cable Schedule'!$I$2:$I$6266,"MV 35 kV")</f>
        <v/>
      </c>
      <c r="F3" s="17">
        <f>SUMIFS('Cable Schedule'!$W$2:$W$6266,'Cable Schedule'!$B$2:$B$6266,"A",'Cable Schedule'!$I$2:$I$6266,"HV 230 kV")</f>
        <v/>
      </c>
      <c r="G3" s="17">
        <f>SUMIFS('Cable Schedule'!$W$2:$W$6266,'Cable Schedule'!$B$2:$B$6266,"A",'Cable Schedule'!$I$2:$I$6266,"LV 600 V")</f>
        <v/>
      </c>
      <c r="H3" s="17">
        <f>SUMIFS('Cable Schedule'!$W$2:$W$6266,'Cable Schedule'!$B$2:$B$6266,"A",'Cable Schedule'!$I$2:$I$6266,"Control")</f>
        <v/>
      </c>
      <c r="I3" s="17">
        <f>SUMIFS('Cable Schedule'!$W$2:$W$6266,'Cable Schedule'!$B$2:$B$6266,"A",'Cable Schedule'!$I$2:$I$6266,"Instrumentation")</f>
        <v/>
      </c>
      <c r="J3" s="17">
        <f>SUMIFS('Cable Schedule'!$W$2:$W$6266,'Cable Schedule'!$B$2:$B$6266,"A",'Cable Schedule'!$I$2:$I$6266,"Fire alarm")</f>
        <v/>
      </c>
      <c r="K3" s="17">
        <f>SUMIFS('Cable Schedule'!$W$2:$W$6266,'Cable Schedule'!$B$2:$B$6266,"A",'Cable Schedule'!$I$2:$I$6266,"Fibre / data")</f>
        <v/>
      </c>
      <c r="L3" s="17">
        <f>SUMIFS('Cable Schedule'!$W$2:$W$6266,'Cable Schedule'!$B$2:$B$6266,"A",'Cable Schedule'!$I$2:$I$6266,"DC 2 kV")</f>
        <v/>
      </c>
      <c r="M3" s="17">
        <f>SUMIFS('Cable Schedule'!$W$2:$W$6266,'Cable Schedule'!$B$2:$B$6266,"A",'Cable Schedule'!$I$2:$I$6266,"Portable MV")</f>
        <v/>
      </c>
      <c r="N3" s="17">
        <f>SUMIFS('Cable Schedule'!$W$2:$W$6266,'Cable Schedule'!$B$2:$B$6266,"A",'Cable Schedule'!$I$2:$I$6266,"Portable LV")</f>
        <v/>
      </c>
      <c r="O3" s="17">
        <f>SUMIFS('Cable Schedule'!$W$2:$W$6266,'Cable Schedule'!$B$2:$B$6266,"A",'Cable Schedule'!$I$2:$I$6266,"Building wire")</f>
        <v/>
      </c>
      <c r="P3" s="17">
        <f>SUMIFS('Cable Schedule'!$W$2:$W$6266,'Cable Schedule'!$B$2:$B$6266,"A",'Cable Schedule'!$I$2:$I$6266,"Grounding")</f>
        <v/>
      </c>
      <c r="Q3" s="17">
        <f>SUMIFS('Cable Schedule'!$W$2:$W$6266,'Cable Schedule'!$B$2:$B$6266,"A",'Cable Schedule'!$I$2:$I$6266,"Overhead")</f>
        <v/>
      </c>
      <c r="R3" s="27">
        <f>SUM(B3:Q3)</f>
        <v/>
      </c>
    </row>
    <row r="4">
      <c r="A4" s="12" t="inlineStr">
        <is>
          <t>B  ACC</t>
        </is>
      </c>
      <c r="B4" s="17">
        <f>SUMIFS('Cable Schedule'!$W$2:$W$6266,'Cable Schedule'!$B$2:$B$6266,"B",'Cable Schedule'!$I$2:$I$6266,"MV 15 kV")</f>
        <v/>
      </c>
      <c r="C4" s="17">
        <f>SUMIFS('Cable Schedule'!$W$2:$W$6266,'Cable Schedule'!$B$2:$B$6266,"B",'Cable Schedule'!$I$2:$I$6266,"MV 5 kV")</f>
        <v/>
      </c>
      <c r="D4" s="17">
        <f>SUMIFS('Cable Schedule'!$W$2:$W$6266,'Cable Schedule'!$B$2:$B$6266,"B",'Cable Schedule'!$I$2:$I$6266,"MV 25 kV")</f>
        <v/>
      </c>
      <c r="E4" s="17">
        <f>SUMIFS('Cable Schedule'!$W$2:$W$6266,'Cable Schedule'!$B$2:$B$6266,"B",'Cable Schedule'!$I$2:$I$6266,"MV 35 kV")</f>
        <v/>
      </c>
      <c r="F4" s="17">
        <f>SUMIFS('Cable Schedule'!$W$2:$W$6266,'Cable Schedule'!$B$2:$B$6266,"B",'Cable Schedule'!$I$2:$I$6266,"HV 230 kV")</f>
        <v/>
      </c>
      <c r="G4" s="17">
        <f>SUMIFS('Cable Schedule'!$W$2:$W$6266,'Cable Schedule'!$B$2:$B$6266,"B",'Cable Schedule'!$I$2:$I$6266,"LV 600 V")</f>
        <v/>
      </c>
      <c r="H4" s="17">
        <f>SUMIFS('Cable Schedule'!$W$2:$W$6266,'Cable Schedule'!$B$2:$B$6266,"B",'Cable Schedule'!$I$2:$I$6266,"Control")</f>
        <v/>
      </c>
      <c r="I4" s="17">
        <f>SUMIFS('Cable Schedule'!$W$2:$W$6266,'Cable Schedule'!$B$2:$B$6266,"B",'Cable Schedule'!$I$2:$I$6266,"Instrumentation")</f>
        <v/>
      </c>
      <c r="J4" s="17">
        <f>SUMIFS('Cable Schedule'!$W$2:$W$6266,'Cable Schedule'!$B$2:$B$6266,"B",'Cable Schedule'!$I$2:$I$6266,"Fire alarm")</f>
        <v/>
      </c>
      <c r="K4" s="17">
        <f>SUMIFS('Cable Schedule'!$W$2:$W$6266,'Cable Schedule'!$B$2:$B$6266,"B",'Cable Schedule'!$I$2:$I$6266,"Fibre / data")</f>
        <v/>
      </c>
      <c r="L4" s="17">
        <f>SUMIFS('Cable Schedule'!$W$2:$W$6266,'Cable Schedule'!$B$2:$B$6266,"B",'Cable Schedule'!$I$2:$I$6266,"DC 2 kV")</f>
        <v/>
      </c>
      <c r="M4" s="17">
        <f>SUMIFS('Cable Schedule'!$W$2:$W$6266,'Cable Schedule'!$B$2:$B$6266,"B",'Cable Schedule'!$I$2:$I$6266,"Portable MV")</f>
        <v/>
      </c>
      <c r="N4" s="17">
        <f>SUMIFS('Cable Schedule'!$W$2:$W$6266,'Cable Schedule'!$B$2:$B$6266,"B",'Cable Schedule'!$I$2:$I$6266,"Portable LV")</f>
        <v/>
      </c>
      <c r="O4" s="17">
        <f>SUMIFS('Cable Schedule'!$W$2:$W$6266,'Cable Schedule'!$B$2:$B$6266,"B",'Cable Schedule'!$I$2:$I$6266,"Building wire")</f>
        <v/>
      </c>
      <c r="P4" s="17">
        <f>SUMIFS('Cable Schedule'!$W$2:$W$6266,'Cable Schedule'!$B$2:$B$6266,"B",'Cable Schedule'!$I$2:$I$6266,"Grounding")</f>
        <v/>
      </c>
      <c r="Q4" s="17">
        <f>SUMIFS('Cable Schedule'!$W$2:$W$6266,'Cable Schedule'!$B$2:$B$6266,"B",'Cable Schedule'!$I$2:$I$6266,"Overhead")</f>
        <v/>
      </c>
      <c r="R4" s="27">
        <f>SUM(B4:Q4)</f>
        <v/>
      </c>
    </row>
    <row r="5">
      <c r="A5" s="12" t="inlineStr">
        <is>
          <t>C  Grid interface</t>
        </is>
      </c>
      <c r="B5" s="17">
        <f>SUMIFS('Cable Schedule'!$W$2:$W$6266,'Cable Schedule'!$B$2:$B$6266,"C",'Cable Schedule'!$I$2:$I$6266,"MV 15 kV")</f>
        <v/>
      </c>
      <c r="C5" s="17">
        <f>SUMIFS('Cable Schedule'!$W$2:$W$6266,'Cable Schedule'!$B$2:$B$6266,"C",'Cable Schedule'!$I$2:$I$6266,"MV 5 kV")</f>
        <v/>
      </c>
      <c r="D5" s="17">
        <f>SUMIFS('Cable Schedule'!$W$2:$W$6266,'Cable Schedule'!$B$2:$B$6266,"C",'Cable Schedule'!$I$2:$I$6266,"MV 25 kV")</f>
        <v/>
      </c>
      <c r="E5" s="17">
        <f>SUMIFS('Cable Schedule'!$W$2:$W$6266,'Cable Schedule'!$B$2:$B$6266,"C",'Cable Schedule'!$I$2:$I$6266,"MV 35 kV")</f>
        <v/>
      </c>
      <c r="F5" s="17">
        <f>SUMIFS('Cable Schedule'!$W$2:$W$6266,'Cable Schedule'!$B$2:$B$6266,"C",'Cable Schedule'!$I$2:$I$6266,"HV 230 kV")</f>
        <v/>
      </c>
      <c r="G5" s="17">
        <f>SUMIFS('Cable Schedule'!$W$2:$W$6266,'Cable Schedule'!$B$2:$B$6266,"C",'Cable Schedule'!$I$2:$I$6266,"LV 600 V")</f>
        <v/>
      </c>
      <c r="H5" s="17">
        <f>SUMIFS('Cable Schedule'!$W$2:$W$6266,'Cable Schedule'!$B$2:$B$6266,"C",'Cable Schedule'!$I$2:$I$6266,"Control")</f>
        <v/>
      </c>
      <c r="I5" s="17">
        <f>SUMIFS('Cable Schedule'!$W$2:$W$6266,'Cable Schedule'!$B$2:$B$6266,"C",'Cable Schedule'!$I$2:$I$6266,"Instrumentation")</f>
        <v/>
      </c>
      <c r="J5" s="17">
        <f>SUMIFS('Cable Schedule'!$W$2:$W$6266,'Cable Schedule'!$B$2:$B$6266,"C",'Cable Schedule'!$I$2:$I$6266,"Fire alarm")</f>
        <v/>
      </c>
      <c r="K5" s="17">
        <f>SUMIFS('Cable Schedule'!$W$2:$W$6266,'Cable Schedule'!$B$2:$B$6266,"C",'Cable Schedule'!$I$2:$I$6266,"Fibre / data")</f>
        <v/>
      </c>
      <c r="L5" s="17">
        <f>SUMIFS('Cable Schedule'!$W$2:$W$6266,'Cable Schedule'!$B$2:$B$6266,"C",'Cable Schedule'!$I$2:$I$6266,"DC 2 kV")</f>
        <v/>
      </c>
      <c r="M5" s="17">
        <f>SUMIFS('Cable Schedule'!$W$2:$W$6266,'Cable Schedule'!$B$2:$B$6266,"C",'Cable Schedule'!$I$2:$I$6266,"Portable MV")</f>
        <v/>
      </c>
      <c r="N5" s="17">
        <f>SUMIFS('Cable Schedule'!$W$2:$W$6266,'Cable Schedule'!$B$2:$B$6266,"C",'Cable Schedule'!$I$2:$I$6266,"Portable LV")</f>
        <v/>
      </c>
      <c r="O5" s="17">
        <f>SUMIFS('Cable Schedule'!$W$2:$W$6266,'Cable Schedule'!$B$2:$B$6266,"C",'Cable Schedule'!$I$2:$I$6266,"Building wire")</f>
        <v/>
      </c>
      <c r="P5" s="17">
        <f>SUMIFS('Cable Schedule'!$W$2:$W$6266,'Cable Schedule'!$B$2:$B$6266,"C",'Cable Schedule'!$I$2:$I$6266,"Grounding")</f>
        <v/>
      </c>
      <c r="Q5" s="17">
        <f>SUMIFS('Cable Schedule'!$W$2:$W$6266,'Cable Schedule'!$B$2:$B$6266,"C",'Cable Schedule'!$I$2:$I$6266,"Overhead")</f>
        <v/>
      </c>
      <c r="R5" s="27">
        <f>SUM(B5:Q5)</f>
        <v/>
      </c>
    </row>
    <row r="6">
      <c r="A6" s="12" t="inlineStr">
        <is>
          <t>D  Fuel gas</t>
        </is>
      </c>
      <c r="B6" s="17">
        <f>SUMIFS('Cable Schedule'!$W$2:$W$6266,'Cable Schedule'!$B$2:$B$6266,"D",'Cable Schedule'!$I$2:$I$6266,"MV 15 kV")</f>
        <v/>
      </c>
      <c r="C6" s="17">
        <f>SUMIFS('Cable Schedule'!$W$2:$W$6266,'Cable Schedule'!$B$2:$B$6266,"D",'Cable Schedule'!$I$2:$I$6266,"MV 5 kV")</f>
        <v/>
      </c>
      <c r="D6" s="17">
        <f>SUMIFS('Cable Schedule'!$W$2:$W$6266,'Cable Schedule'!$B$2:$B$6266,"D",'Cable Schedule'!$I$2:$I$6266,"MV 25 kV")</f>
        <v/>
      </c>
      <c r="E6" s="17">
        <f>SUMIFS('Cable Schedule'!$W$2:$W$6266,'Cable Schedule'!$B$2:$B$6266,"D",'Cable Schedule'!$I$2:$I$6266,"MV 35 kV")</f>
        <v/>
      </c>
      <c r="F6" s="17">
        <f>SUMIFS('Cable Schedule'!$W$2:$W$6266,'Cable Schedule'!$B$2:$B$6266,"D",'Cable Schedule'!$I$2:$I$6266,"HV 230 kV")</f>
        <v/>
      </c>
      <c r="G6" s="17">
        <f>SUMIFS('Cable Schedule'!$W$2:$W$6266,'Cable Schedule'!$B$2:$B$6266,"D",'Cable Schedule'!$I$2:$I$6266,"LV 600 V")</f>
        <v/>
      </c>
      <c r="H6" s="17">
        <f>SUMIFS('Cable Schedule'!$W$2:$W$6266,'Cable Schedule'!$B$2:$B$6266,"D",'Cable Schedule'!$I$2:$I$6266,"Control")</f>
        <v/>
      </c>
      <c r="I6" s="17">
        <f>SUMIFS('Cable Schedule'!$W$2:$W$6266,'Cable Schedule'!$B$2:$B$6266,"D",'Cable Schedule'!$I$2:$I$6266,"Instrumentation")</f>
        <v/>
      </c>
      <c r="J6" s="17">
        <f>SUMIFS('Cable Schedule'!$W$2:$W$6266,'Cable Schedule'!$B$2:$B$6266,"D",'Cable Schedule'!$I$2:$I$6266,"Fire alarm")</f>
        <v/>
      </c>
      <c r="K6" s="17">
        <f>SUMIFS('Cable Schedule'!$W$2:$W$6266,'Cable Schedule'!$B$2:$B$6266,"D",'Cable Schedule'!$I$2:$I$6266,"Fibre / data")</f>
        <v/>
      </c>
      <c r="L6" s="17">
        <f>SUMIFS('Cable Schedule'!$W$2:$W$6266,'Cable Schedule'!$B$2:$B$6266,"D",'Cable Schedule'!$I$2:$I$6266,"DC 2 kV")</f>
        <v/>
      </c>
      <c r="M6" s="17">
        <f>SUMIFS('Cable Schedule'!$W$2:$W$6266,'Cable Schedule'!$B$2:$B$6266,"D",'Cable Schedule'!$I$2:$I$6266,"Portable MV")</f>
        <v/>
      </c>
      <c r="N6" s="17">
        <f>SUMIFS('Cable Schedule'!$W$2:$W$6266,'Cable Schedule'!$B$2:$B$6266,"D",'Cable Schedule'!$I$2:$I$6266,"Portable LV")</f>
        <v/>
      </c>
      <c r="O6" s="17">
        <f>SUMIFS('Cable Schedule'!$W$2:$W$6266,'Cable Schedule'!$B$2:$B$6266,"D",'Cable Schedule'!$I$2:$I$6266,"Building wire")</f>
        <v/>
      </c>
      <c r="P6" s="17">
        <f>SUMIFS('Cable Schedule'!$W$2:$W$6266,'Cable Schedule'!$B$2:$B$6266,"D",'Cable Schedule'!$I$2:$I$6266,"Grounding")</f>
        <v/>
      </c>
      <c r="Q6" s="17">
        <f>SUMIFS('Cable Schedule'!$W$2:$W$6266,'Cable Schedule'!$B$2:$B$6266,"D",'Cable Schedule'!$I$2:$I$6266,"Overhead")</f>
        <v/>
      </c>
      <c r="R6" s="27">
        <f>SUM(B6:Q6)</f>
        <v/>
      </c>
    </row>
    <row r="7">
      <c r="A7" s="12" t="inlineStr">
        <is>
          <t>E  Water / utilities</t>
        </is>
      </c>
      <c r="B7" s="17">
        <f>SUMIFS('Cable Schedule'!$W$2:$W$6266,'Cable Schedule'!$B$2:$B$6266,"E",'Cable Schedule'!$I$2:$I$6266,"MV 15 kV")</f>
        <v/>
      </c>
      <c r="C7" s="17">
        <f>SUMIFS('Cable Schedule'!$W$2:$W$6266,'Cable Schedule'!$B$2:$B$6266,"E",'Cable Schedule'!$I$2:$I$6266,"MV 5 kV")</f>
        <v/>
      </c>
      <c r="D7" s="17">
        <f>SUMIFS('Cable Schedule'!$W$2:$W$6266,'Cable Schedule'!$B$2:$B$6266,"E",'Cable Schedule'!$I$2:$I$6266,"MV 25 kV")</f>
        <v/>
      </c>
      <c r="E7" s="17">
        <f>SUMIFS('Cable Schedule'!$W$2:$W$6266,'Cable Schedule'!$B$2:$B$6266,"E",'Cable Schedule'!$I$2:$I$6266,"MV 35 kV")</f>
        <v/>
      </c>
      <c r="F7" s="17">
        <f>SUMIFS('Cable Schedule'!$W$2:$W$6266,'Cable Schedule'!$B$2:$B$6266,"E",'Cable Schedule'!$I$2:$I$6266,"HV 230 kV")</f>
        <v/>
      </c>
      <c r="G7" s="17">
        <f>SUMIFS('Cable Schedule'!$W$2:$W$6266,'Cable Schedule'!$B$2:$B$6266,"E",'Cable Schedule'!$I$2:$I$6266,"LV 600 V")</f>
        <v/>
      </c>
      <c r="H7" s="17">
        <f>SUMIFS('Cable Schedule'!$W$2:$W$6266,'Cable Schedule'!$B$2:$B$6266,"E",'Cable Schedule'!$I$2:$I$6266,"Control")</f>
        <v/>
      </c>
      <c r="I7" s="17">
        <f>SUMIFS('Cable Schedule'!$W$2:$W$6266,'Cable Schedule'!$B$2:$B$6266,"E",'Cable Schedule'!$I$2:$I$6266,"Instrumentation")</f>
        <v/>
      </c>
      <c r="J7" s="17">
        <f>SUMIFS('Cable Schedule'!$W$2:$W$6266,'Cable Schedule'!$B$2:$B$6266,"E",'Cable Schedule'!$I$2:$I$6266,"Fire alarm")</f>
        <v/>
      </c>
      <c r="K7" s="17">
        <f>SUMIFS('Cable Schedule'!$W$2:$W$6266,'Cable Schedule'!$B$2:$B$6266,"E",'Cable Schedule'!$I$2:$I$6266,"Fibre / data")</f>
        <v/>
      </c>
      <c r="L7" s="17">
        <f>SUMIFS('Cable Schedule'!$W$2:$W$6266,'Cable Schedule'!$B$2:$B$6266,"E",'Cable Schedule'!$I$2:$I$6266,"DC 2 kV")</f>
        <v/>
      </c>
      <c r="M7" s="17">
        <f>SUMIFS('Cable Schedule'!$W$2:$W$6266,'Cable Schedule'!$B$2:$B$6266,"E",'Cable Schedule'!$I$2:$I$6266,"Portable MV")</f>
        <v/>
      </c>
      <c r="N7" s="17">
        <f>SUMIFS('Cable Schedule'!$W$2:$W$6266,'Cable Schedule'!$B$2:$B$6266,"E",'Cable Schedule'!$I$2:$I$6266,"Portable LV")</f>
        <v/>
      </c>
      <c r="O7" s="17">
        <f>SUMIFS('Cable Schedule'!$W$2:$W$6266,'Cable Schedule'!$B$2:$B$6266,"E",'Cable Schedule'!$I$2:$I$6266,"Building wire")</f>
        <v/>
      </c>
      <c r="P7" s="17">
        <f>SUMIFS('Cable Schedule'!$W$2:$W$6266,'Cable Schedule'!$B$2:$B$6266,"E",'Cable Schedule'!$I$2:$I$6266,"Grounding")</f>
        <v/>
      </c>
      <c r="Q7" s="17">
        <f>SUMIFS('Cable Schedule'!$W$2:$W$6266,'Cable Schedule'!$B$2:$B$6266,"E",'Cable Schedule'!$I$2:$I$6266,"Overhead")</f>
        <v/>
      </c>
      <c r="R7" s="27">
        <f>SUM(B7:Q7)</f>
        <v/>
      </c>
    </row>
    <row r="8">
      <c r="A8" s="12" t="inlineStr">
        <is>
          <t>F  Controls / service</t>
        </is>
      </c>
      <c r="B8" s="17">
        <f>SUMIFS('Cable Schedule'!$W$2:$W$6266,'Cable Schedule'!$B$2:$B$6266,"F",'Cable Schedule'!$I$2:$I$6266,"MV 15 kV")</f>
        <v/>
      </c>
      <c r="C8" s="17">
        <f>SUMIFS('Cable Schedule'!$W$2:$W$6266,'Cable Schedule'!$B$2:$B$6266,"F",'Cable Schedule'!$I$2:$I$6266,"MV 5 kV")</f>
        <v/>
      </c>
      <c r="D8" s="17">
        <f>SUMIFS('Cable Schedule'!$W$2:$W$6266,'Cable Schedule'!$B$2:$B$6266,"F",'Cable Schedule'!$I$2:$I$6266,"MV 25 kV")</f>
        <v/>
      </c>
      <c r="E8" s="17">
        <f>SUMIFS('Cable Schedule'!$W$2:$W$6266,'Cable Schedule'!$B$2:$B$6266,"F",'Cable Schedule'!$I$2:$I$6266,"MV 35 kV")</f>
        <v/>
      </c>
      <c r="F8" s="17">
        <f>SUMIFS('Cable Schedule'!$W$2:$W$6266,'Cable Schedule'!$B$2:$B$6266,"F",'Cable Schedule'!$I$2:$I$6266,"HV 230 kV")</f>
        <v/>
      </c>
      <c r="G8" s="17">
        <f>SUMIFS('Cable Schedule'!$W$2:$W$6266,'Cable Schedule'!$B$2:$B$6266,"F",'Cable Schedule'!$I$2:$I$6266,"LV 600 V")</f>
        <v/>
      </c>
      <c r="H8" s="17">
        <f>SUMIFS('Cable Schedule'!$W$2:$W$6266,'Cable Schedule'!$B$2:$B$6266,"F",'Cable Schedule'!$I$2:$I$6266,"Control")</f>
        <v/>
      </c>
      <c r="I8" s="17">
        <f>SUMIFS('Cable Schedule'!$W$2:$W$6266,'Cable Schedule'!$B$2:$B$6266,"F",'Cable Schedule'!$I$2:$I$6266,"Instrumentation")</f>
        <v/>
      </c>
      <c r="J8" s="17">
        <f>SUMIFS('Cable Schedule'!$W$2:$W$6266,'Cable Schedule'!$B$2:$B$6266,"F",'Cable Schedule'!$I$2:$I$6266,"Fire alarm")</f>
        <v/>
      </c>
      <c r="K8" s="17">
        <f>SUMIFS('Cable Schedule'!$W$2:$W$6266,'Cable Schedule'!$B$2:$B$6266,"F",'Cable Schedule'!$I$2:$I$6266,"Fibre / data")</f>
        <v/>
      </c>
      <c r="L8" s="17">
        <f>SUMIFS('Cable Schedule'!$W$2:$W$6266,'Cable Schedule'!$B$2:$B$6266,"F",'Cable Schedule'!$I$2:$I$6266,"DC 2 kV")</f>
        <v/>
      </c>
      <c r="M8" s="17">
        <f>SUMIFS('Cable Schedule'!$W$2:$W$6266,'Cable Schedule'!$B$2:$B$6266,"F",'Cable Schedule'!$I$2:$I$6266,"Portable MV")</f>
        <v/>
      </c>
      <c r="N8" s="17">
        <f>SUMIFS('Cable Schedule'!$W$2:$W$6266,'Cable Schedule'!$B$2:$B$6266,"F",'Cable Schedule'!$I$2:$I$6266,"Portable LV")</f>
        <v/>
      </c>
      <c r="O8" s="17">
        <f>SUMIFS('Cable Schedule'!$W$2:$W$6266,'Cable Schedule'!$B$2:$B$6266,"F",'Cable Schedule'!$I$2:$I$6266,"Building wire")</f>
        <v/>
      </c>
      <c r="P8" s="17">
        <f>SUMIFS('Cable Schedule'!$W$2:$W$6266,'Cable Schedule'!$B$2:$B$6266,"F",'Cable Schedule'!$I$2:$I$6266,"Grounding")</f>
        <v/>
      </c>
      <c r="Q8" s="17">
        <f>SUMIFS('Cable Schedule'!$W$2:$W$6266,'Cable Schedule'!$B$2:$B$6266,"F",'Cable Schedule'!$I$2:$I$6266,"Overhead")</f>
        <v/>
      </c>
      <c r="R8" s="27">
        <f>SUM(B8:Q8)</f>
        <v/>
      </c>
    </row>
    <row r="9">
      <c r="A9" s="12" t="inlineStr">
        <is>
          <t>G  Carbon capture</t>
        </is>
      </c>
      <c r="B9" s="17">
        <f>SUMIFS('Cable Schedule'!$W$2:$W$6266,'Cable Schedule'!$B$2:$B$6266,"G",'Cable Schedule'!$I$2:$I$6266,"MV 15 kV")</f>
        <v/>
      </c>
      <c r="C9" s="17">
        <f>SUMIFS('Cable Schedule'!$W$2:$W$6266,'Cable Schedule'!$B$2:$B$6266,"G",'Cable Schedule'!$I$2:$I$6266,"MV 5 kV")</f>
        <v/>
      </c>
      <c r="D9" s="17">
        <f>SUMIFS('Cable Schedule'!$W$2:$W$6266,'Cable Schedule'!$B$2:$B$6266,"G",'Cable Schedule'!$I$2:$I$6266,"MV 25 kV")</f>
        <v/>
      </c>
      <c r="E9" s="17">
        <f>SUMIFS('Cable Schedule'!$W$2:$W$6266,'Cable Schedule'!$B$2:$B$6266,"G",'Cable Schedule'!$I$2:$I$6266,"MV 35 kV")</f>
        <v/>
      </c>
      <c r="F9" s="17">
        <f>SUMIFS('Cable Schedule'!$W$2:$W$6266,'Cable Schedule'!$B$2:$B$6266,"G",'Cable Schedule'!$I$2:$I$6266,"HV 230 kV")</f>
        <v/>
      </c>
      <c r="G9" s="17">
        <f>SUMIFS('Cable Schedule'!$W$2:$W$6266,'Cable Schedule'!$B$2:$B$6266,"G",'Cable Schedule'!$I$2:$I$6266,"LV 600 V")</f>
        <v/>
      </c>
      <c r="H9" s="17">
        <f>SUMIFS('Cable Schedule'!$W$2:$W$6266,'Cable Schedule'!$B$2:$B$6266,"G",'Cable Schedule'!$I$2:$I$6266,"Control")</f>
        <v/>
      </c>
      <c r="I9" s="17">
        <f>SUMIFS('Cable Schedule'!$W$2:$W$6266,'Cable Schedule'!$B$2:$B$6266,"G",'Cable Schedule'!$I$2:$I$6266,"Instrumentation")</f>
        <v/>
      </c>
      <c r="J9" s="17">
        <f>SUMIFS('Cable Schedule'!$W$2:$W$6266,'Cable Schedule'!$B$2:$B$6266,"G",'Cable Schedule'!$I$2:$I$6266,"Fire alarm")</f>
        <v/>
      </c>
      <c r="K9" s="17">
        <f>SUMIFS('Cable Schedule'!$W$2:$W$6266,'Cable Schedule'!$B$2:$B$6266,"G",'Cable Schedule'!$I$2:$I$6266,"Fibre / data")</f>
        <v/>
      </c>
      <c r="L9" s="17">
        <f>SUMIFS('Cable Schedule'!$W$2:$W$6266,'Cable Schedule'!$B$2:$B$6266,"G",'Cable Schedule'!$I$2:$I$6266,"DC 2 kV")</f>
        <v/>
      </c>
      <c r="M9" s="17">
        <f>SUMIFS('Cable Schedule'!$W$2:$W$6266,'Cable Schedule'!$B$2:$B$6266,"G",'Cable Schedule'!$I$2:$I$6266,"Portable MV")</f>
        <v/>
      </c>
      <c r="N9" s="17">
        <f>SUMIFS('Cable Schedule'!$W$2:$W$6266,'Cable Schedule'!$B$2:$B$6266,"G",'Cable Schedule'!$I$2:$I$6266,"Portable LV")</f>
        <v/>
      </c>
      <c r="O9" s="17">
        <f>SUMIFS('Cable Schedule'!$W$2:$W$6266,'Cable Schedule'!$B$2:$B$6266,"G",'Cable Schedule'!$I$2:$I$6266,"Building wire")</f>
        <v/>
      </c>
      <c r="P9" s="17">
        <f>SUMIFS('Cable Schedule'!$W$2:$W$6266,'Cable Schedule'!$B$2:$B$6266,"G",'Cable Schedule'!$I$2:$I$6266,"Grounding")</f>
        <v/>
      </c>
      <c r="Q9" s="17">
        <f>SUMIFS('Cable Schedule'!$W$2:$W$6266,'Cable Schedule'!$B$2:$B$6266,"G",'Cable Schedule'!$I$2:$I$6266,"Overhead")</f>
        <v/>
      </c>
      <c r="R9" s="27">
        <f>SUM(B9:Q9)</f>
        <v/>
      </c>
    </row>
    <row r="10">
      <c r="A10" s="12" t="inlineStr">
        <is>
          <t>H  BESS</t>
        </is>
      </c>
      <c r="B10" s="17">
        <f>SUMIFS('Cable Schedule'!$W$2:$W$6266,'Cable Schedule'!$B$2:$B$6266,"H",'Cable Schedule'!$I$2:$I$6266,"MV 15 kV")</f>
        <v/>
      </c>
      <c r="C10" s="17">
        <f>SUMIFS('Cable Schedule'!$W$2:$W$6266,'Cable Schedule'!$B$2:$B$6266,"H",'Cable Schedule'!$I$2:$I$6266,"MV 5 kV")</f>
        <v/>
      </c>
      <c r="D10" s="17">
        <f>SUMIFS('Cable Schedule'!$W$2:$W$6266,'Cable Schedule'!$B$2:$B$6266,"H",'Cable Schedule'!$I$2:$I$6266,"MV 25 kV")</f>
        <v/>
      </c>
      <c r="E10" s="17">
        <f>SUMIFS('Cable Schedule'!$W$2:$W$6266,'Cable Schedule'!$B$2:$B$6266,"H",'Cable Schedule'!$I$2:$I$6266,"MV 35 kV")</f>
        <v/>
      </c>
      <c r="F10" s="17">
        <f>SUMIFS('Cable Schedule'!$W$2:$W$6266,'Cable Schedule'!$B$2:$B$6266,"H",'Cable Schedule'!$I$2:$I$6266,"HV 230 kV")</f>
        <v/>
      </c>
      <c r="G10" s="17">
        <f>SUMIFS('Cable Schedule'!$W$2:$W$6266,'Cable Schedule'!$B$2:$B$6266,"H",'Cable Schedule'!$I$2:$I$6266,"LV 600 V")</f>
        <v/>
      </c>
      <c r="H10" s="17">
        <f>SUMIFS('Cable Schedule'!$W$2:$W$6266,'Cable Schedule'!$B$2:$B$6266,"H",'Cable Schedule'!$I$2:$I$6266,"Control")</f>
        <v/>
      </c>
      <c r="I10" s="17">
        <f>SUMIFS('Cable Schedule'!$W$2:$W$6266,'Cable Schedule'!$B$2:$B$6266,"H",'Cable Schedule'!$I$2:$I$6266,"Instrumentation")</f>
        <v/>
      </c>
      <c r="J10" s="17">
        <f>SUMIFS('Cable Schedule'!$W$2:$W$6266,'Cable Schedule'!$B$2:$B$6266,"H",'Cable Schedule'!$I$2:$I$6266,"Fire alarm")</f>
        <v/>
      </c>
      <c r="K10" s="17">
        <f>SUMIFS('Cable Schedule'!$W$2:$W$6266,'Cable Schedule'!$B$2:$B$6266,"H",'Cable Schedule'!$I$2:$I$6266,"Fibre / data")</f>
        <v/>
      </c>
      <c r="L10" s="17">
        <f>SUMIFS('Cable Schedule'!$W$2:$W$6266,'Cable Schedule'!$B$2:$B$6266,"H",'Cable Schedule'!$I$2:$I$6266,"DC 2 kV")</f>
        <v/>
      </c>
      <c r="M10" s="17">
        <f>SUMIFS('Cable Schedule'!$W$2:$W$6266,'Cable Schedule'!$B$2:$B$6266,"H",'Cable Schedule'!$I$2:$I$6266,"Portable MV")</f>
        <v/>
      </c>
      <c r="N10" s="17">
        <f>SUMIFS('Cable Schedule'!$W$2:$W$6266,'Cable Schedule'!$B$2:$B$6266,"H",'Cable Schedule'!$I$2:$I$6266,"Portable LV")</f>
        <v/>
      </c>
      <c r="O10" s="17">
        <f>SUMIFS('Cable Schedule'!$W$2:$W$6266,'Cable Schedule'!$B$2:$B$6266,"H",'Cable Schedule'!$I$2:$I$6266,"Building wire")</f>
        <v/>
      </c>
      <c r="P10" s="17">
        <f>SUMIFS('Cable Schedule'!$W$2:$W$6266,'Cable Schedule'!$B$2:$B$6266,"H",'Cable Schedule'!$I$2:$I$6266,"Grounding")</f>
        <v/>
      </c>
      <c r="Q10" s="17">
        <f>SUMIFS('Cable Schedule'!$W$2:$W$6266,'Cable Schedule'!$B$2:$B$6266,"H",'Cable Schedule'!$I$2:$I$6266,"Overhead")</f>
        <v/>
      </c>
      <c r="R10" s="27">
        <f>SUM(B10:Q10)</f>
        <v/>
      </c>
    </row>
    <row r="11">
      <c r="A11" s="12" t="inlineStr">
        <is>
          <t>I  Modular / portable power</t>
        </is>
      </c>
      <c r="B11" s="17">
        <f>SUMIFS('Cable Schedule'!$W$2:$W$6266,'Cable Schedule'!$B$2:$B$6266,"I",'Cable Schedule'!$I$2:$I$6266,"MV 15 kV")</f>
        <v/>
      </c>
      <c r="C11" s="17">
        <f>SUMIFS('Cable Schedule'!$W$2:$W$6266,'Cable Schedule'!$B$2:$B$6266,"I",'Cable Schedule'!$I$2:$I$6266,"MV 5 kV")</f>
        <v/>
      </c>
      <c r="D11" s="17">
        <f>SUMIFS('Cable Schedule'!$W$2:$W$6266,'Cable Schedule'!$B$2:$B$6266,"I",'Cable Schedule'!$I$2:$I$6266,"MV 25 kV")</f>
        <v/>
      </c>
      <c r="E11" s="17">
        <f>SUMIFS('Cable Schedule'!$W$2:$W$6266,'Cable Schedule'!$B$2:$B$6266,"I",'Cable Schedule'!$I$2:$I$6266,"MV 35 kV")</f>
        <v/>
      </c>
      <c r="F11" s="17">
        <f>SUMIFS('Cable Schedule'!$W$2:$W$6266,'Cable Schedule'!$B$2:$B$6266,"I",'Cable Schedule'!$I$2:$I$6266,"HV 230 kV")</f>
        <v/>
      </c>
      <c r="G11" s="17">
        <f>SUMIFS('Cable Schedule'!$W$2:$W$6266,'Cable Schedule'!$B$2:$B$6266,"I",'Cable Schedule'!$I$2:$I$6266,"LV 600 V")</f>
        <v/>
      </c>
      <c r="H11" s="17">
        <f>SUMIFS('Cable Schedule'!$W$2:$W$6266,'Cable Schedule'!$B$2:$B$6266,"I",'Cable Schedule'!$I$2:$I$6266,"Control")</f>
        <v/>
      </c>
      <c r="I11" s="17">
        <f>SUMIFS('Cable Schedule'!$W$2:$W$6266,'Cable Schedule'!$B$2:$B$6266,"I",'Cable Schedule'!$I$2:$I$6266,"Instrumentation")</f>
        <v/>
      </c>
      <c r="J11" s="17">
        <f>SUMIFS('Cable Schedule'!$W$2:$W$6266,'Cable Schedule'!$B$2:$B$6266,"I",'Cable Schedule'!$I$2:$I$6266,"Fire alarm")</f>
        <v/>
      </c>
      <c r="K11" s="17">
        <f>SUMIFS('Cable Schedule'!$W$2:$W$6266,'Cable Schedule'!$B$2:$B$6266,"I",'Cable Schedule'!$I$2:$I$6266,"Fibre / data")</f>
        <v/>
      </c>
      <c r="L11" s="17">
        <f>SUMIFS('Cable Schedule'!$W$2:$W$6266,'Cable Schedule'!$B$2:$B$6266,"I",'Cable Schedule'!$I$2:$I$6266,"DC 2 kV")</f>
        <v/>
      </c>
      <c r="M11" s="17">
        <f>SUMIFS('Cable Schedule'!$W$2:$W$6266,'Cable Schedule'!$B$2:$B$6266,"I",'Cable Schedule'!$I$2:$I$6266,"Portable MV")</f>
        <v/>
      </c>
      <c r="N11" s="17">
        <f>SUMIFS('Cable Schedule'!$W$2:$W$6266,'Cable Schedule'!$B$2:$B$6266,"I",'Cable Schedule'!$I$2:$I$6266,"Portable LV")</f>
        <v/>
      </c>
      <c r="O11" s="17">
        <f>SUMIFS('Cable Schedule'!$W$2:$W$6266,'Cable Schedule'!$B$2:$B$6266,"I",'Cable Schedule'!$I$2:$I$6266,"Building wire")</f>
        <v/>
      </c>
      <c r="P11" s="17">
        <f>SUMIFS('Cable Schedule'!$W$2:$W$6266,'Cable Schedule'!$B$2:$B$6266,"I",'Cable Schedule'!$I$2:$I$6266,"Grounding")</f>
        <v/>
      </c>
      <c r="Q11" s="17">
        <f>SUMIFS('Cable Schedule'!$W$2:$W$6266,'Cable Schedule'!$B$2:$B$6266,"I",'Cable Schedule'!$I$2:$I$6266,"Overhead")</f>
        <v/>
      </c>
      <c r="R11" s="27">
        <f>SUM(B11:Q11)</f>
        <v/>
      </c>
    </row>
    <row r="12">
      <c r="A12" s="12" t="inlineStr">
        <is>
          <t>J  GT inlet chilling</t>
        </is>
      </c>
      <c r="B12" s="17">
        <f>SUMIFS('Cable Schedule'!$W$2:$W$6266,'Cable Schedule'!$B$2:$B$6266,"J",'Cable Schedule'!$I$2:$I$6266,"MV 15 kV")</f>
        <v/>
      </c>
      <c r="C12" s="17">
        <f>SUMIFS('Cable Schedule'!$W$2:$W$6266,'Cable Schedule'!$B$2:$B$6266,"J",'Cable Schedule'!$I$2:$I$6266,"MV 5 kV")</f>
        <v/>
      </c>
      <c r="D12" s="17">
        <f>SUMIFS('Cable Schedule'!$W$2:$W$6266,'Cable Schedule'!$B$2:$B$6266,"J",'Cable Schedule'!$I$2:$I$6266,"MV 25 kV")</f>
        <v/>
      </c>
      <c r="E12" s="17">
        <f>SUMIFS('Cable Schedule'!$W$2:$W$6266,'Cable Schedule'!$B$2:$B$6266,"J",'Cable Schedule'!$I$2:$I$6266,"MV 35 kV")</f>
        <v/>
      </c>
      <c r="F12" s="17">
        <f>SUMIFS('Cable Schedule'!$W$2:$W$6266,'Cable Schedule'!$B$2:$B$6266,"J",'Cable Schedule'!$I$2:$I$6266,"HV 230 kV")</f>
        <v/>
      </c>
      <c r="G12" s="17">
        <f>SUMIFS('Cable Schedule'!$W$2:$W$6266,'Cable Schedule'!$B$2:$B$6266,"J",'Cable Schedule'!$I$2:$I$6266,"LV 600 V")</f>
        <v/>
      </c>
      <c r="H12" s="17">
        <f>SUMIFS('Cable Schedule'!$W$2:$W$6266,'Cable Schedule'!$B$2:$B$6266,"J",'Cable Schedule'!$I$2:$I$6266,"Control")</f>
        <v/>
      </c>
      <c r="I12" s="17">
        <f>SUMIFS('Cable Schedule'!$W$2:$W$6266,'Cable Schedule'!$B$2:$B$6266,"J",'Cable Schedule'!$I$2:$I$6266,"Instrumentation")</f>
        <v/>
      </c>
      <c r="J12" s="17">
        <f>SUMIFS('Cable Schedule'!$W$2:$W$6266,'Cable Schedule'!$B$2:$B$6266,"J",'Cable Schedule'!$I$2:$I$6266,"Fire alarm")</f>
        <v/>
      </c>
      <c r="K12" s="17">
        <f>SUMIFS('Cable Schedule'!$W$2:$W$6266,'Cable Schedule'!$B$2:$B$6266,"J",'Cable Schedule'!$I$2:$I$6266,"Fibre / data")</f>
        <v/>
      </c>
      <c r="L12" s="17">
        <f>SUMIFS('Cable Schedule'!$W$2:$W$6266,'Cable Schedule'!$B$2:$B$6266,"J",'Cable Schedule'!$I$2:$I$6266,"DC 2 kV")</f>
        <v/>
      </c>
      <c r="M12" s="17">
        <f>SUMIFS('Cable Schedule'!$W$2:$W$6266,'Cable Schedule'!$B$2:$B$6266,"J",'Cable Schedule'!$I$2:$I$6266,"Portable MV")</f>
        <v/>
      </c>
      <c r="N12" s="17">
        <f>SUMIFS('Cable Schedule'!$W$2:$W$6266,'Cable Schedule'!$B$2:$B$6266,"J",'Cable Schedule'!$I$2:$I$6266,"Portable LV")</f>
        <v/>
      </c>
      <c r="O12" s="17">
        <f>SUMIFS('Cable Schedule'!$W$2:$W$6266,'Cable Schedule'!$B$2:$B$6266,"J",'Cable Schedule'!$I$2:$I$6266,"Building wire")</f>
        <v/>
      </c>
      <c r="P12" s="17">
        <f>SUMIFS('Cable Schedule'!$W$2:$W$6266,'Cable Schedule'!$B$2:$B$6266,"J",'Cable Schedule'!$I$2:$I$6266,"Grounding")</f>
        <v/>
      </c>
      <c r="Q12" s="17">
        <f>SUMIFS('Cable Schedule'!$W$2:$W$6266,'Cable Schedule'!$B$2:$B$6266,"J",'Cable Schedule'!$I$2:$I$6266,"Overhead")</f>
        <v/>
      </c>
      <c r="R12" s="27">
        <f>SUM(B12:Q12)</f>
        <v/>
      </c>
    </row>
    <row r="13">
      <c r="A13" s="12" t="inlineStr">
        <is>
          <t>K  Fuel supply (adjacent market)</t>
        </is>
      </c>
      <c r="B13" s="17">
        <f>SUMIFS('Cable Schedule'!$W$2:$W$6266,'Cable Schedule'!$B$2:$B$6266,"K",'Cable Schedule'!$I$2:$I$6266,"MV 15 kV")</f>
        <v/>
      </c>
      <c r="C13" s="17">
        <f>SUMIFS('Cable Schedule'!$W$2:$W$6266,'Cable Schedule'!$B$2:$B$6266,"K",'Cable Schedule'!$I$2:$I$6266,"MV 5 kV")</f>
        <v/>
      </c>
      <c r="D13" s="17">
        <f>SUMIFS('Cable Schedule'!$W$2:$W$6266,'Cable Schedule'!$B$2:$B$6266,"K",'Cable Schedule'!$I$2:$I$6266,"MV 25 kV")</f>
        <v/>
      </c>
      <c r="E13" s="17">
        <f>SUMIFS('Cable Schedule'!$W$2:$W$6266,'Cable Schedule'!$B$2:$B$6266,"K",'Cable Schedule'!$I$2:$I$6266,"MV 35 kV")</f>
        <v/>
      </c>
      <c r="F13" s="17">
        <f>SUMIFS('Cable Schedule'!$W$2:$W$6266,'Cable Schedule'!$B$2:$B$6266,"K",'Cable Schedule'!$I$2:$I$6266,"HV 230 kV")</f>
        <v/>
      </c>
      <c r="G13" s="17">
        <f>SUMIFS('Cable Schedule'!$W$2:$W$6266,'Cable Schedule'!$B$2:$B$6266,"K",'Cable Schedule'!$I$2:$I$6266,"LV 600 V")</f>
        <v/>
      </c>
      <c r="H13" s="17">
        <f>SUMIFS('Cable Schedule'!$W$2:$W$6266,'Cable Schedule'!$B$2:$B$6266,"K",'Cable Schedule'!$I$2:$I$6266,"Control")</f>
        <v/>
      </c>
      <c r="I13" s="17">
        <f>SUMIFS('Cable Schedule'!$W$2:$W$6266,'Cable Schedule'!$B$2:$B$6266,"K",'Cable Schedule'!$I$2:$I$6266,"Instrumentation")</f>
        <v/>
      </c>
      <c r="J13" s="17">
        <f>SUMIFS('Cable Schedule'!$W$2:$W$6266,'Cable Schedule'!$B$2:$B$6266,"K",'Cable Schedule'!$I$2:$I$6266,"Fire alarm")</f>
        <v/>
      </c>
      <c r="K13" s="17">
        <f>SUMIFS('Cable Schedule'!$W$2:$W$6266,'Cable Schedule'!$B$2:$B$6266,"K",'Cable Schedule'!$I$2:$I$6266,"Fibre / data")</f>
        <v/>
      </c>
      <c r="L13" s="17">
        <f>SUMIFS('Cable Schedule'!$W$2:$W$6266,'Cable Schedule'!$B$2:$B$6266,"K",'Cable Schedule'!$I$2:$I$6266,"DC 2 kV")</f>
        <v/>
      </c>
      <c r="M13" s="17">
        <f>SUMIFS('Cable Schedule'!$W$2:$W$6266,'Cable Schedule'!$B$2:$B$6266,"K",'Cable Schedule'!$I$2:$I$6266,"Portable MV")</f>
        <v/>
      </c>
      <c r="N13" s="17">
        <f>SUMIFS('Cable Schedule'!$W$2:$W$6266,'Cable Schedule'!$B$2:$B$6266,"K",'Cable Schedule'!$I$2:$I$6266,"Portable LV")</f>
        <v/>
      </c>
      <c r="O13" s="17">
        <f>SUMIFS('Cable Schedule'!$W$2:$W$6266,'Cable Schedule'!$B$2:$B$6266,"K",'Cable Schedule'!$I$2:$I$6266,"Building wire")</f>
        <v/>
      </c>
      <c r="P13" s="17">
        <f>SUMIFS('Cable Schedule'!$W$2:$W$6266,'Cable Schedule'!$B$2:$B$6266,"K",'Cable Schedule'!$I$2:$I$6266,"Grounding")</f>
        <v/>
      </c>
      <c r="Q13" s="17">
        <f>SUMIFS('Cable Schedule'!$W$2:$W$6266,'Cable Schedule'!$B$2:$B$6266,"K",'Cable Schedule'!$I$2:$I$6266,"Overhead")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Schedule'!B2:B6266,"?")</f>
        <v/>
      </c>
    </row>
    <row r="18">
      <c r="A18" s="21" t="inlineStr">
        <is>
          <t>Cables (count)</t>
        </is>
      </c>
      <c r="B18" s="17">
        <f>SUM('Cable Schedule'!AA2:AA6266)</f>
        <v/>
      </c>
    </row>
    <row r="20">
      <c r="A20" s="21" t="inlineStr">
        <is>
          <t>Device count behind the schedule (typical for each equipment class)</t>
        </is>
      </c>
    </row>
    <row r="21">
      <c r="A21" s="12" t="inlineStr">
        <is>
          <t>Analog instruments</t>
        </is>
      </c>
      <c r="B21" s="29" t="n">
        <v>6006</v>
      </c>
    </row>
    <row r="22">
      <c r="A22" s="12" t="inlineStr">
        <is>
          <t>Discrete devices</t>
        </is>
      </c>
      <c r="B22" s="29" t="n">
        <v>6358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2000</v>
      </c>
      <c r="G1416" s="12" t="n">
        <v>2400</v>
      </c>
      <c r="H1416" s="12" t="inlineStr">
        <is>
          <t>PAD-LV 480 V paralleling switchboard</t>
        </is>
      </c>
      <c r="I1416" s="12" t="inlineStr">
        <is>
          <t>LV 600 V</t>
        </is>
      </c>
      <c r="J1416" s="12" t="inlineStr">
        <is>
          <t>500 kcmil</t>
        </is>
      </c>
      <c r="K1416" s="12" t="n">
        <v>8</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52000</v>
      </c>
      <c r="G1701" s="12" t="n">
        <v>2417</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52000</v>
      </c>
      <c r="G1743" s="12" t="n">
        <v>967</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92600</v>
      </c>
      <c r="G1748" s="12" t="n">
        <v>1722</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LB: commissioning load bank (trailer)</t>
        </is>
      </c>
      <c r="B1750" s="12" t="inlineStr">
        <is>
          <t>LB</t>
        </is>
      </c>
      <c r="C1750" s="12" t="inlineStr">
        <is>
          <t>I</t>
        </is>
      </c>
      <c r="D1750" s="12" t="inlineStr">
        <is>
          <t>PIC to commissioning load bank</t>
        </is>
      </c>
      <c r="E1750" s="12" t="n">
        <v>13800</v>
      </c>
      <c r="F1750" s="12" t="n">
        <v>2000</v>
      </c>
      <c r="G1750" s="12" t="n">
        <v>93</v>
      </c>
      <c r="H1750" s="12" t="inlineStr">
        <is>
          <t>PIC: portable input cabinet</t>
        </is>
      </c>
      <c r="I1750" s="12" t="inlineStr">
        <is>
          <t>Portable MV</t>
        </is>
      </c>
      <c r="J1750" s="12" t="inlineStr">
        <is>
          <t>2</t>
        </is>
      </c>
      <c r="K1750" s="12" t="n">
        <v>1</v>
      </c>
    </row>
    <row r="1751">
      <c r="A1751" s="12" t="inlineStr">
        <is>
          <t>PAD-EH 13.8 kV switchgear e-house</t>
        </is>
      </c>
      <c r="B1751" s="12" t="inlineStr">
        <is>
          <t>PAD-EH</t>
        </is>
      </c>
      <c r="C1751" s="12" t="inlineStr">
        <is>
          <t>I</t>
        </is>
      </c>
      <c r="D1751" s="12" t="inlineStr">
        <is>
          <t>PIC to PAD-EH (MOB-1 trailer genset onto the pad bus)</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2026-10-28T17:42:45Z</dcterms:created>
  <dcterms:modified xmlns:dcterms="http://purl.org/dc/terms/" xmlns:xsi="http://www.w3.org/2001/XMLSchema-instance" xsi:type="dcterms:W3CDTF">2026-10-28T17:42:48Z</dcterms:modified>
</cp:coreProperties>
</file>