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Schedule'!$A$1:$AA$5696</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5695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5.7%</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5695</v>
      </c>
      <c r="D8" s="10" t="inlineStr">
        <is>
          <t>0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88</v>
      </c>
      <c r="U724" s="16" t="n">
        <v>84</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88</v>
      </c>
      <c r="U726" s="16" t="n">
        <v>84</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258</v>
      </c>
      <c r="U776" s="16" t="n">
        <v>35</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258</v>
      </c>
      <c r="U778" s="16" t="n">
        <v>35</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67</v>
      </c>
      <c r="U780" s="16" t="n">
        <v>89</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67</v>
      </c>
      <c r="U782" s="16" t="n">
        <v>89</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403</v>
      </c>
      <c r="U783" s="16" t="n">
        <v>119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1277</v>
      </c>
      <c r="U793" s="16" t="n">
        <v>209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Duct bank</t>
        </is>
      </c>
      <c r="T803" s="16" t="n">
        <v>1214</v>
      </c>
      <c r="U803" s="16" t="n">
        <v>102</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366</v>
      </c>
      <c r="U814" s="16" t="n">
        <v>106</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366</v>
      </c>
      <c r="U816" s="16" t="n">
        <v>106</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1240</v>
      </c>
      <c r="U818" s="16" t="n">
        <v>196</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1240</v>
      </c>
      <c r="U820" s="16" t="n">
        <v>196</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Duct bank</t>
        </is>
      </c>
      <c r="T822" s="16" t="n">
        <v>1260</v>
      </c>
      <c r="U822" s="16" t="n">
        <v>148</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Duct bank</t>
        </is>
      </c>
      <c r="T824" s="16" t="n">
        <v>1260</v>
      </c>
      <c r="U824" s="16" t="n">
        <v>148</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392</v>
      </c>
      <c r="U826" s="16" t="n">
        <v>96</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392</v>
      </c>
      <c r="U828" s="16" t="n">
        <v>96</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373</v>
      </c>
      <c r="U830" s="16" t="n">
        <v>106</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373</v>
      </c>
      <c r="U832" s="16" t="n">
        <v>106</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373</v>
      </c>
      <c r="U834" s="16" t="n">
        <v>106</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1247</v>
      </c>
      <c r="U836" s="16" t="n">
        <v>196</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1247</v>
      </c>
      <c r="U838" s="16" t="n">
        <v>196</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1247</v>
      </c>
      <c r="U840" s="16" t="n">
        <v>196</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Duct bank</t>
        </is>
      </c>
      <c r="T842" s="16" t="n">
        <v>1193</v>
      </c>
      <c r="U842" s="16" t="n">
        <v>96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Duct bank</t>
        </is>
      </c>
      <c r="T844" s="16" t="n">
        <v>1193</v>
      </c>
      <c r="U844" s="16" t="n">
        <v>96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Duct bank</t>
        </is>
      </c>
      <c r="T846" s="16" t="n">
        <v>1193</v>
      </c>
      <c r="U846" s="16" t="n">
        <v>96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1102</v>
      </c>
      <c r="U852" s="16" t="n">
        <v>198</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1102</v>
      </c>
      <c r="U854" s="16" t="n">
        <v>198</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908</v>
      </c>
      <c r="U856" s="16" t="n">
        <v>238</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908</v>
      </c>
      <c r="U858" s="16" t="n">
        <v>238</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373</v>
      </c>
      <c r="U860" s="16" t="n">
        <v>118</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1247</v>
      </c>
      <c r="U862" s="16" t="n">
        <v>208</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Duct bank</t>
        </is>
      </c>
      <c r="T864" s="16" t="n">
        <v>1193</v>
      </c>
      <c r="U864" s="16" t="n">
        <v>97</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366</v>
      </c>
      <c r="U866" s="16" t="n">
        <v>111</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1124</v>
      </c>
      <c r="U872" s="16" t="n">
        <v>188</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1124</v>
      </c>
      <c r="U874" s="16" t="n">
        <v>188</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896</v>
      </c>
      <c r="U876" s="16" t="n">
        <v>212</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896</v>
      </c>
      <c r="U878" s="16" t="n">
        <v>212</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72</v>
      </c>
      <c r="U880" s="16" t="n">
        <v>139</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72</v>
      </c>
      <c r="U882" s="16" t="n">
        <v>139</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416</v>
      </c>
      <c r="U884" s="16" t="n">
        <v>181</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416</v>
      </c>
      <c r="U886" s="16" t="n">
        <v>181</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419</v>
      </c>
      <c r="U888" s="16" t="n">
        <v>179</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419</v>
      </c>
      <c r="U890" s="16" t="n">
        <v>179</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1290</v>
      </c>
      <c r="U892" s="16" t="n">
        <v>271</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1290</v>
      </c>
      <c r="U894" s="16" t="n">
        <v>271</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Duct bank</t>
        </is>
      </c>
      <c r="T896" s="16" t="n">
        <v>1423</v>
      </c>
      <c r="U896" s="16" t="n">
        <v>113</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Duct bank</t>
        </is>
      </c>
      <c r="T898" s="16" t="n">
        <v>1423</v>
      </c>
      <c r="U898" s="16" t="n">
        <v>113</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1140</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1140</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1103</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1103</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463</v>
      </c>
      <c r="U908" s="16" t="n">
        <v>35</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463</v>
      </c>
      <c r="U910" s="16" t="n">
        <v>35</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408</v>
      </c>
      <c r="U912" s="16" t="n">
        <v>32</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408</v>
      </c>
      <c r="U914" s="16" t="n">
        <v>32</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359</v>
      </c>
      <c r="U924" s="16" t="n">
        <v>109</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359</v>
      </c>
      <c r="U926" s="16" t="n">
        <v>109</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1116</v>
      </c>
      <c r="U955" s="16" t="n">
        <v>213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1116</v>
      </c>
      <c r="U957" s="16" t="n">
        <v>213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1116</v>
      </c>
      <c r="U959" s="16" t="n">
        <v>213</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1116</v>
      </c>
      <c r="U961" s="16" t="n">
        <v>213</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1233</v>
      </c>
      <c r="U963" s="16" t="n">
        <v>199</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1233</v>
      </c>
      <c r="U965" s="16" t="n">
        <v>199</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1046</v>
      </c>
      <c r="U967" s="16" t="n">
        <v>197</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1046</v>
      </c>
      <c r="U969" s="16" t="n">
        <v>197</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1046</v>
      </c>
      <c r="U971" s="16" t="n">
        <v>197</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1046</v>
      </c>
      <c r="U973" s="16" t="n">
        <v>197</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1046</v>
      </c>
      <c r="U975" s="16" t="n">
        <v>197</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1046</v>
      </c>
      <c r="U977" s="16" t="n">
        <v>197</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1046</v>
      </c>
      <c r="U979" s="16" t="n">
        <v>197</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1046</v>
      </c>
      <c r="U981" s="16" t="n">
        <v>197</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1046</v>
      </c>
      <c r="U983" s="16" t="n">
        <v>197</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1046</v>
      </c>
      <c r="U985" s="16" t="n">
        <v>197</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1046</v>
      </c>
      <c r="U987" s="16" t="n">
        <v>197</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1046</v>
      </c>
      <c r="U989" s="16" t="n">
        <v>197</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1046</v>
      </c>
      <c r="U991" s="16" t="n">
        <v>197</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926</v>
      </c>
      <c r="U994" s="16" t="n">
        <v>248</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926</v>
      </c>
      <c r="U996" s="16" t="n">
        <v>248</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926</v>
      </c>
      <c r="U998" s="16" t="n">
        <v>248</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926</v>
      </c>
      <c r="U1000" s="16" t="n">
        <v>248</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1135</v>
      </c>
      <c r="U1002" s="16" t="n">
        <v>96</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1135</v>
      </c>
      <c r="U1004" s="16" t="n">
        <v>96</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986</v>
      </c>
      <c r="U1006" s="16" t="n">
        <v>249</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986</v>
      </c>
      <c r="U1008" s="16" t="n">
        <v>249</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986</v>
      </c>
      <c r="U1010" s="16" t="n">
        <v>249</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986</v>
      </c>
      <c r="U1012" s="16" t="n">
        <v>249</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986</v>
      </c>
      <c r="U1014" s="16" t="n">
        <v>249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986</v>
      </c>
      <c r="U1016" s="16" t="n">
        <v>249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986</v>
      </c>
      <c r="U1018" s="16" t="n">
        <v>249</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986</v>
      </c>
      <c r="U1020" s="16" t="n">
        <v>249</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986</v>
      </c>
      <c r="U1022" s="16" t="n">
        <v>249</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986</v>
      </c>
      <c r="U1024" s="16" t="n">
        <v>249</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986</v>
      </c>
      <c r="U1026" s="16" t="n">
        <v>249</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986</v>
      </c>
      <c r="U1028" s="16" t="n">
        <v>249</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986</v>
      </c>
      <c r="U1030" s="16" t="n">
        <v>249</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367</v>
      </c>
      <c r="U1033" s="16" t="n">
        <v>127</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367</v>
      </c>
      <c r="U1035" s="16" t="n">
        <v>127</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367</v>
      </c>
      <c r="U1037" s="16" t="n">
        <v>127</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367</v>
      </c>
      <c r="U1039" s="16" t="n">
        <v>127</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367</v>
      </c>
      <c r="U1041" s="16" t="n">
        <v>127</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1241</v>
      </c>
      <c r="U1044" s="16" t="n">
        <v>217</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1241</v>
      </c>
      <c r="U1046" s="16" t="n">
        <v>217</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1241</v>
      </c>
      <c r="U1048" s="16" t="n">
        <v>217</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1241</v>
      </c>
      <c r="U1050" s="16" t="n">
        <v>217</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1241</v>
      </c>
      <c r="U1052" s="16" t="n">
        <v>217</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Duct bank</t>
        </is>
      </c>
      <c r="T1055" s="16" t="n">
        <v>1193</v>
      </c>
      <c r="U1055" s="16" t="n">
        <v>117</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Duct bank</t>
        </is>
      </c>
      <c r="T1057" s="16" t="n">
        <v>1193</v>
      </c>
      <c r="U1057" s="16" t="n">
        <v>117</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Duct bank</t>
        </is>
      </c>
      <c r="T1059" s="16" t="n">
        <v>1193</v>
      </c>
      <c r="U1059" s="16" t="n">
        <v>117</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Duct bank</t>
        </is>
      </c>
      <c r="T1061" s="16" t="n">
        <v>1193</v>
      </c>
      <c r="U1061" s="16" t="n">
        <v>117</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Duct bank</t>
        </is>
      </c>
      <c r="T1063" s="16" t="n">
        <v>1193</v>
      </c>
      <c r="U1063" s="16" t="n">
        <v>117</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718</v>
      </c>
      <c r="U1186" s="16" t="n">
        <v>124</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718</v>
      </c>
      <c r="U1188" s="16" t="n">
        <v>124</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718</v>
      </c>
      <c r="U1190" s="16" t="n">
        <v>146</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718</v>
      </c>
      <c r="U1192" s="16" t="n">
        <v>146</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359</v>
      </c>
      <c r="U1194" s="16" t="n">
        <v>120</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359</v>
      </c>
      <c r="U1196" s="16" t="n">
        <v>120</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1233</v>
      </c>
      <c r="U1198" s="16" t="n">
        <v>210</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1233</v>
      </c>
      <c r="U1200" s="16" t="n">
        <v>210</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Duct bank</t>
        </is>
      </c>
      <c r="T1202" s="16" t="n">
        <v>1229</v>
      </c>
      <c r="U1202" s="16" t="n">
        <v>198</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Duct bank</t>
        </is>
      </c>
      <c r="T1204" s="16" t="n">
        <v>1229</v>
      </c>
      <c r="U1204" s="16" t="n">
        <v>198</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392</v>
      </c>
      <c r="U1206" s="16" t="n">
        <v>105</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392</v>
      </c>
      <c r="U1208" s="16" t="n">
        <v>105</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667</v>
      </c>
      <c r="U1211" s="16" t="n">
        <v>144</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359</v>
      </c>
      <c r="U1225" s="16" t="n">
        <v>147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359</v>
      </c>
      <c r="U1227" s="16" t="n">
        <v>147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1233</v>
      </c>
      <c r="U1229" s="16" t="n">
        <v>237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1233</v>
      </c>
      <c r="U1231" s="16" t="n">
        <v>237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987</v>
      </c>
      <c r="U1233" s="16" t="n">
        <v>184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987</v>
      </c>
      <c r="U1235" s="16" t="n">
        <v>184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403</v>
      </c>
      <c r="U1237" s="16" t="n">
        <v>138</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403</v>
      </c>
      <c r="U1239" s="16" t="n">
        <v>138</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1277</v>
      </c>
      <c r="U1241" s="16" t="n">
        <v>228</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1277</v>
      </c>
      <c r="U1243" s="16" t="n">
        <v>228</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Duct bank</t>
        </is>
      </c>
      <c r="T1245" s="16" t="n">
        <v>1214</v>
      </c>
      <c r="U1245" s="16" t="n">
        <v>126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Duct bank</t>
        </is>
      </c>
      <c r="T1247" s="16" t="n">
        <v>1214</v>
      </c>
      <c r="U1247" s="16" t="n">
        <v>126</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395</v>
      </c>
      <c r="U1249" s="16" t="n">
        <v>124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395</v>
      </c>
      <c r="U1251" s="16" t="n">
        <v>124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1269</v>
      </c>
      <c r="U1253" s="16" t="n">
        <v>214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1269</v>
      </c>
      <c r="U1255" s="16" t="n">
        <v>214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1193</v>
      </c>
      <c r="U1257" s="16" t="n">
        <v>114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Duct bank</t>
        </is>
      </c>
      <c r="T1259" s="16" t="n">
        <v>1193</v>
      </c>
      <c r="U1259" s="16" t="n">
        <v>114</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67</v>
      </c>
      <c r="U1261" s="16" t="n">
        <v>84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67</v>
      </c>
      <c r="U1263" s="16" t="n">
        <v>84</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67</v>
      </c>
      <c r="U1265" s="16" t="n">
        <v>84</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67</v>
      </c>
      <c r="U1267" s="16" t="n">
        <v>84</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Duct bank</t>
        </is>
      </c>
      <c r="T1269" s="16" t="n">
        <v>12</v>
      </c>
      <c r="U1269" s="16" t="n">
        <v>50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v>
      </c>
      <c r="U1271" s="16" t="n">
        <v>50</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v>
      </c>
      <c r="U1273" s="16" t="n">
        <v>50</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Duct bank</t>
        </is>
      </c>
      <c r="T1275" s="16" t="n">
        <v>12</v>
      </c>
      <c r="U1275" s="16" t="n">
        <v>50</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Duct bank</t>
        </is>
      </c>
      <c r="T1277" s="16" t="n">
        <v>12</v>
      </c>
      <c r="U1277" s="16" t="n">
        <v>50</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Duct bank</t>
        </is>
      </c>
      <c r="T1279" s="16" t="n">
        <v>12</v>
      </c>
      <c r="U1279" s="16" t="n">
        <v>50</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Duct bank</t>
        </is>
      </c>
      <c r="T1281" s="16" t="n">
        <v>12</v>
      </c>
      <c r="U1281" s="16" t="n">
        <v>50</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Duct bank</t>
        </is>
      </c>
      <c r="T1283" s="16" t="n">
        <v>12</v>
      </c>
      <c r="U1283" s="16" t="n">
        <v>50</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Duct bank</t>
        </is>
      </c>
      <c r="T1285" s="16" t="n">
        <v>12</v>
      </c>
      <c r="U1285" s="16" t="n">
        <v>50</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Duct bank</t>
        </is>
      </c>
      <c r="T1287" s="16" t="n">
        <v>12</v>
      </c>
      <c r="U1287" s="16" t="n">
        <v>50</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Duct bank</t>
        </is>
      </c>
      <c r="T1289" s="16" t="n">
        <v>12</v>
      </c>
      <c r="U1289" s="16" t="n">
        <v>50</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Duct bank</t>
        </is>
      </c>
      <c r="T1291" s="16" t="n">
        <v>12</v>
      </c>
      <c r="U1291" s="16" t="n">
        <v>50</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Duct bank</t>
        </is>
      </c>
      <c r="T1293" s="16" t="n">
        <v>12</v>
      </c>
      <c r="U1293" s="16" t="n">
        <v>50</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Duct bank</t>
        </is>
      </c>
      <c r="T1295" s="16" t="n">
        <v>12</v>
      </c>
      <c r="U1295" s="16" t="n">
        <v>50</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Duct bank</t>
        </is>
      </c>
      <c r="T1297" s="16" t="n">
        <v>12</v>
      </c>
      <c r="U1297" s="16" t="n">
        <v>50</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Duct bank</t>
        </is>
      </c>
      <c r="T1300" s="16" t="n">
        <v>517</v>
      </c>
      <c r="U1300" s="16" t="n">
        <v>35</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Duct bank</t>
        </is>
      </c>
      <c r="T1302" s="16" t="n">
        <v>517</v>
      </c>
      <c r="U1302" s="16" t="n">
        <v>35</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Duct bank</t>
        </is>
      </c>
      <c r="T1304" s="16" t="n">
        <v>517</v>
      </c>
      <c r="U1304" s="16" t="n">
        <v>35</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Duct bank</t>
        </is>
      </c>
      <c r="T1306" s="16" t="n">
        <v>517</v>
      </c>
      <c r="U1306" s="16" t="n">
        <v>35</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Duct bank</t>
        </is>
      </c>
      <c r="T1308" s="16" t="n">
        <v>517</v>
      </c>
      <c r="U1308" s="16" t="n">
        <v>35</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258</v>
      </c>
      <c r="U1311" s="16" t="n">
        <v>32</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258</v>
      </c>
      <c r="U1313" s="16" t="n">
        <v>32</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258</v>
      </c>
      <c r="U1315" s="16" t="n">
        <v>32</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Duct bank</t>
        </is>
      </c>
      <c r="T1329" s="16" t="n">
        <v>0</v>
      </c>
      <c r="U1329" s="16" t="n">
        <v>71</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Duct bank</t>
        </is>
      </c>
      <c r="T1331" s="16" t="n">
        <v>0</v>
      </c>
      <c r="U1331" s="16" t="n">
        <v>71</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730</v>
      </c>
      <c r="U1333" s="16" t="n">
        <v>124</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730</v>
      </c>
      <c r="U1335" s="16" t="n">
        <v>124</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752</v>
      </c>
      <c r="U1337" s="16" t="n">
        <v>124</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752</v>
      </c>
      <c r="U1339" s="16" t="n">
        <v>124</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1069</v>
      </c>
      <c r="U1341" s="16" t="n">
        <v>184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1024</v>
      </c>
      <c r="U1342" s="16" t="n">
        <v>240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408</v>
      </c>
      <c r="U1343" s="16" t="n">
        <v>183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566</v>
      </c>
      <c r="U1345" s="16" t="n">
        <v>158</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566</v>
      </c>
      <c r="U1347" s="16" t="n">
        <v>158</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1423</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1423</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1103</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1103</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1075</v>
      </c>
      <c r="U1361" s="16" t="n">
        <v>188</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1075</v>
      </c>
      <c r="U1363" s="16" t="n">
        <v>188</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1024</v>
      </c>
      <c r="U1365" s="16" t="n">
        <v>267</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1024</v>
      </c>
      <c r="U1367" s="16" t="n">
        <v>267</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88</v>
      </c>
      <c r="U1368" s="16" t="n">
        <v>84</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361</v>
      </c>
      <c r="U1383" s="16" t="n">
        <v>160</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258</v>
      </c>
      <c r="U1390" s="16" t="n">
        <v>35</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1069</v>
      </c>
      <c r="U1396" s="16" t="n">
        <v>184</v>
      </c>
      <c r="V1396" s="16">
        <f>ROUNDUP((T1396+U1396+2*'Read Me'!$B$13)*(1+'Read Me'!$B$12),-1)</f>
        <v/>
      </c>
      <c r="W1396" s="16">
        <f>V1396*N1396*O1396</f>
        <v/>
      </c>
      <c r="X1396" s="12">
        <f>IF(LEFT(I1396,2)="MV",2*N1396*IF(L1396="1/C",O1396,1),0)</f>
        <v/>
      </c>
      <c r="Y1396" s="12">
        <f>IF(OR(LEFT(K1396,4)="LVAX",LEFT(K1396,6)="MV15AX",LEFT(K1396,4)="CTAX",LEFT(K1396,2)="W|"),2*N1396*O1396,0)</f>
        <v/>
      </c>
      <c r="Z1396" s="12" t="inlineStr">
        <is>
          <t>VD 2.0 %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67</v>
      </c>
      <c r="U1397" s="16" t="n">
        <v>89</v>
      </c>
      <c r="V1397" s="16">
        <f>ROUNDUP((T1397+U1397+2*'Read Me'!$B$13)*(1+'Read Me'!$B$12),-1)</f>
        <v/>
      </c>
      <c r="W1397" s="16">
        <f>V1397*N1397*O1397</f>
        <v/>
      </c>
      <c r="X1397" s="12">
        <f>IF(LEFT(I1397,2)="MV",2*N1397*IF(L1397="1/C",O1397,1),0)</f>
        <v/>
      </c>
      <c r="Y1397" s="12">
        <f>IF(OR(LEFT(K1397,4)="LVAX",LEFT(K1397,6)="MV15AX",LEFT(K1397,4)="CTAX",LEFT(K1397,2)="W|"),2*N1397*O1397,0)</f>
        <v/>
      </c>
      <c r="Z1397" s="12" t="inlineStr">
        <is>
          <t>VD 1.0 %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907</v>
      </c>
      <c r="U1399" s="16" t="n">
        <v>98</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451</v>
      </c>
      <c r="U1400" s="16" t="n">
        <v>157</v>
      </c>
      <c r="V1400" s="16">
        <f>ROUNDUP((T1400+U1400+2*'Read Me'!$B$13)*(1+'Read Me'!$B$12),-1)</f>
        <v/>
      </c>
      <c r="W1400" s="16">
        <f>V1400*N1400*O1400</f>
        <v/>
      </c>
      <c r="X1400" s="12">
        <f>IF(LEFT(I1400,2)="MV",2*N1400*IF(L1400="1/C",O1400,1),0)</f>
        <v/>
      </c>
      <c r="Y1400" s="12">
        <f>IF(OR(LEFT(K1400,4)="LVAX",LEFT(K1400,6)="MV15AX",LEFT(K1400,4)="CTAX",LEFT(K1400,2)="W|"),2*N1400*O1400,0)</f>
        <v/>
      </c>
      <c r="Z1400" s="12" t="inlineStr">
        <is>
          <t>VD 2.5 %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751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Duct bank</t>
        </is>
      </c>
      <c r="T1403" s="16" t="n">
        <v>1071</v>
      </c>
      <c r="U1403" s="16" t="n">
        <v>110</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631</v>
      </c>
      <c r="U1404" s="16" t="n">
        <v>137</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1179</v>
      </c>
      <c r="U1407" s="16" t="n">
        <v>172</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799</v>
      </c>
      <c r="U1408" s="16" t="n">
        <v>145</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1099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288</v>
      </c>
      <c r="U1411" s="16" t="n">
        <v>155</v>
      </c>
      <c r="V1411" s="16">
        <f>ROUNDUP((T1411+U1411+2*'Read Me'!$B$13)*(1+'Read Me'!$B$12),-1)</f>
        <v/>
      </c>
      <c r="W1411" s="16">
        <f>V1411*N1411*O1411</f>
        <v/>
      </c>
      <c r="X1411" s="12">
        <f>IF(LEFT(I1411,2)="MV",2*N1411*IF(L1411="1/C",O1411,1),0)</f>
        <v/>
      </c>
      <c r="Y1411" s="12">
        <f>IF(OR(LEFT(K1411,4)="LVAX",LEFT(K1411,6)="MV15AX",LEFT(K1411,4)="CTAX",LEFT(K1411,2)="W|"),2*N1411*O1411,0)</f>
        <v/>
      </c>
      <c r="Z1411" s="12" t="inlineStr">
        <is>
          <t>VD 1.4 %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468</v>
      </c>
      <c r="U1412" s="16" t="n">
        <v>135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LVAX|3/C+G|8</t>
        </is>
      </c>
      <c r="L1414" s="12" t="inlineStr">
        <is>
          <t>3/C+G</t>
        </is>
      </c>
      <c r="M1414" s="12" t="inlineStr">
        <is>
          <t>8</t>
        </is>
      </c>
      <c r="N1414" s="12" t="n">
        <v>1</v>
      </c>
      <c r="O1414" s="12" t="n">
        <v>1</v>
      </c>
      <c r="P1414" s="12" t="n">
        <v>480</v>
      </c>
      <c r="Q1414" s="12" t="n">
        <v>15</v>
      </c>
      <c r="R1414" s="12" t="n">
        <v>21.2</v>
      </c>
      <c r="S1414" s="12" t="inlineStr">
        <is>
          <t>Tray</t>
        </is>
      </c>
      <c r="T1414" s="16" t="n">
        <v>298</v>
      </c>
      <c r="U1414" s="16" t="n">
        <v>145</v>
      </c>
      <c r="V1414" s="16">
        <f>ROUNDUP((T1414+U1414+2*'Read Me'!$B$13)*(1+'Read Me'!$B$12),-1)</f>
        <v/>
      </c>
      <c r="W1414" s="16">
        <f>V1414*N1414*O1414</f>
        <v/>
      </c>
      <c r="X1414" s="12">
        <f>IF(LEFT(I1414,2)="MV",2*N1414*IF(L1414="1/C",O1414,1),0)</f>
        <v/>
      </c>
      <c r="Y1414" s="12">
        <f>IF(OR(LEFT(K1414,4)="LVAX",LEFT(K1414,6)="MV15AX",LEFT(K1414,4)="CTAX",LEFT(K1414,2)="W|"),2*N1414*O1414,0)</f>
        <v/>
      </c>
      <c r="Z1414" s="12" t="inlineStr">
        <is>
          <t>VD 2.9 %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478</v>
      </c>
      <c r="U1415" s="16" t="n">
        <v>125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72</v>
      </c>
      <c r="U1417" s="16" t="n">
        <v>139</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416</v>
      </c>
      <c r="U1419" s="16" t="n">
        <v>181</v>
      </c>
      <c r="V1419" s="16">
        <f>ROUNDUP((T1419+U1419+2*'Read Me'!$B$13)*(1+'Read Me'!$B$12),-1)</f>
        <v/>
      </c>
      <c r="W1419" s="16">
        <f>V1419*N1419*O1419</f>
        <v/>
      </c>
      <c r="X1419" s="12">
        <f>IF(LEFT(I1419,2)="MV",2*N1419*IF(L1419="1/C",O1419,1),0)</f>
        <v/>
      </c>
      <c r="Y1419" s="12">
        <f>IF(OR(LEFT(K1419,4)="LVAX",LEFT(K1419,6)="MV15AX",LEFT(K1419,4)="CTAX",LEFT(K1419,2)="W|"),2*N1419*O1419,0)</f>
        <v/>
      </c>
      <c r="Z1419" s="12" t="inlineStr">
        <is>
          <t>VD 0.8 %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419</v>
      </c>
      <c r="U1425" s="16" t="n">
        <v>179</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1290</v>
      </c>
      <c r="U1431" s="16" t="n">
        <v>271</v>
      </c>
      <c r="V1431" s="16">
        <f>ROUNDUP((T1431+U1431+2*'Read Me'!$B$13)*(1+'Read Me'!$B$12),-1)</f>
        <v/>
      </c>
      <c r="W1431" s="16">
        <f>V1431*N1431*O1431</f>
        <v/>
      </c>
      <c r="X1431" s="12">
        <f>IF(LEFT(I1431,2)="MV",2*N1431*IF(L1431="1/C",O1431,1),0)</f>
        <v/>
      </c>
      <c r="Y1431" s="12">
        <f>IF(OR(LEFT(K1431,4)="LVAX",LEFT(K1431,6)="MV15AX",LEFT(K1431,4)="CTAX",LEFT(K1431,2)="W|"),2*N1431*O1431,0)</f>
        <v/>
      </c>
      <c r="Z1431" s="12" t="inlineStr">
        <is>
          <t>VD 2.1 %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Duct bank</t>
        </is>
      </c>
      <c r="T1437" s="16" t="n">
        <v>1423</v>
      </c>
      <c r="U1437" s="16" t="n">
        <v>113</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1140</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1103</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463</v>
      </c>
      <c r="U1455" s="16" t="n">
        <v>35</v>
      </c>
      <c r="V1455" s="16">
        <f>ROUNDUP((T1455+U1455+2*'Read Me'!$B$13)*(1+'Read Me'!$B$12),-1)</f>
        <v/>
      </c>
      <c r="W1455" s="16">
        <f>V1455*N1455*O1455</f>
        <v/>
      </c>
      <c r="X1455" s="12">
        <f>IF(LEFT(I1455,2)="MV",2*N1455*IF(L1455="1/C",O1455,1),0)</f>
        <v/>
      </c>
      <c r="Y1455" s="12">
        <f>IF(OR(LEFT(K1455,4)="LVAX",LEFT(K1455,6)="MV15AX",LEFT(K1455,4)="CTAX",LEFT(K1455,2)="W|"),2*N1455*O1455,0)</f>
        <v/>
      </c>
      <c r="Z1455" s="12" t="inlineStr">
        <is>
          <t>VD 0.7 %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408</v>
      </c>
      <c r="U1461" s="16" t="n">
        <v>32</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302</v>
      </c>
      <c r="U1467" s="16" t="n">
        <v>170</v>
      </c>
      <c r="V1467" s="16">
        <f>ROUNDUP((T1467+U1467+2*'Read Me'!$B$13)*(1+'Read Me'!$B$12),-1)</f>
        <v/>
      </c>
      <c r="W1467" s="16">
        <f>V1467*N1467*O1467</f>
        <v/>
      </c>
      <c r="X1467" s="12">
        <f>IF(LEFT(I1467,2)="MV",2*N1467*IF(L1467="1/C",O1467,1),0)</f>
        <v/>
      </c>
      <c r="Y1467" s="12">
        <f>IF(OR(LEFT(K1467,4)="LVAX",LEFT(K1467,6)="MV15AX",LEFT(K1467,4)="CTAX",LEFT(K1467,2)="W|"),2*N1467*O1467,0)</f>
        <v/>
      </c>
      <c r="Z1467" s="12" t="inlineStr">
        <is>
          <t>VD 2.3 %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232</v>
      </c>
      <c r="U1479" s="16" t="n">
        <v>154</v>
      </c>
      <c r="V1479" s="16">
        <f>ROUNDUP((T1479+U1479+2*'Read Me'!$B$13)*(1+'Read Me'!$B$12),-1)</f>
        <v/>
      </c>
      <c r="W1479" s="16">
        <f>V1479*N1479*O1479</f>
        <v/>
      </c>
      <c r="X1479" s="12">
        <f>IF(LEFT(I1479,2)="MV",2*N1479*IF(L1479="1/C",O1479,1),0)</f>
        <v/>
      </c>
      <c r="Y1479" s="12">
        <f>IF(OR(LEFT(K1479,4)="LVAX",LEFT(K1479,6)="MV15AX",LEFT(K1479,4)="CTAX",LEFT(K1479,2)="W|"),2*N1479*O1479,0)</f>
        <v/>
      </c>
      <c r="Z1479" s="12" t="inlineStr">
        <is>
          <t>VD 1.2 %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2.3 %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482</v>
      </c>
      <c r="U1484" s="16" t="n">
        <v>150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412</v>
      </c>
      <c r="U1496" s="16" t="n">
        <v>134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445</v>
      </c>
      <c r="U1518" s="16" t="n">
        <v>178</v>
      </c>
      <c r="V1518" s="16">
        <f>ROUNDUP((T1518+U1518+2*'Read Me'!$B$13)*(1+'Read Me'!$B$12),-1)</f>
        <v/>
      </c>
      <c r="W1518" s="16">
        <f>V1518*N1518*O1518</f>
        <v/>
      </c>
      <c r="X1518" s="12">
        <f>IF(LEFT(I1518,2)="MV",2*N1518*IF(L1518="1/C",O1518,1),0)</f>
        <v/>
      </c>
      <c r="Y1518" s="12">
        <f>IF(OR(LEFT(K1518,4)="LVAX",LEFT(K1518,6)="MV15AX",LEFT(K1518,4)="CTAX",LEFT(K1518,2)="W|"),2*N1518*O1518,0)</f>
        <v/>
      </c>
      <c r="Z1518" s="12" t="inlineStr">
        <is>
          <t>VD 0.8 %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625</v>
      </c>
      <c r="U1522" s="16" t="n">
        <v>158</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793</v>
      </c>
      <c r="U1526" s="16" t="n">
        <v>166</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890</v>
      </c>
      <c r="U1774" s="16" t="n">
        <v>194</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972</v>
      </c>
      <c r="U1775" s="16" t="n">
        <v>192</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627</v>
      </c>
      <c r="U1777" s="16" t="n">
        <v>152</v>
      </c>
      <c r="V1777" s="16">
        <f>ROUNDUP((T1777+U1777+2*'Read Me'!$B$13)*(1+'Read Me'!$B$12),-1)</f>
        <v/>
      </c>
      <c r="W1777" s="16">
        <f>V1777*N1777*O1777</f>
        <v/>
      </c>
      <c r="X1777" s="12">
        <f>IF(LEFT(I1777,2)="MV",2*N1777*IF(L1777="1/C",O1777,1),0)</f>
        <v/>
      </c>
      <c r="Y1777" s="12">
        <f>IF(OR(LEFT(K1777,4)="LVAX",LEFT(K1777,6)="MV15AX",LEFT(K1777,4)="CTAX",LEFT(K1777,2)="W|"),2*N1777*O1777,0)</f>
        <v/>
      </c>
      <c r="Z1777" s="12" t="inlineStr">
        <is>
          <t>VD 2.2 %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32</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481</v>
      </c>
      <c r="U1788" s="16" t="n">
        <v>189</v>
      </c>
      <c r="V1788" s="16">
        <f>ROUNDUP((T1788+U1788+2*'Read Me'!$B$13)*(1+'Read Me'!$B$12),-1)</f>
        <v/>
      </c>
      <c r="W1788" s="16">
        <f>V1788*N1788*O1788</f>
        <v/>
      </c>
      <c r="X1788" s="12">
        <f>IF(LEFT(I1788,2)="MV",2*N1788*IF(L1788="1/C",O1788,1),0)</f>
        <v/>
      </c>
      <c r="Y1788" s="12">
        <f>IF(OR(LEFT(K1788,4)="LVAX",LEFT(K1788,6)="MV15AX",LEFT(K1788,4)="CTAX",LEFT(K1788,2)="W|"),2*N1788*O1788,0)</f>
        <v/>
      </c>
      <c r="Z1788" s="12" t="inlineStr">
        <is>
          <t>VD 2.8 %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LVAX|3/C+G|4</t>
        </is>
      </c>
      <c r="L1791" s="12" t="inlineStr">
        <is>
          <t>3/C+G</t>
        </is>
      </c>
      <c r="M1791" s="12" t="inlineStr">
        <is>
          <t>4</t>
        </is>
      </c>
      <c r="N1791" s="12" t="n">
        <v>1</v>
      </c>
      <c r="O1791" s="12" t="n">
        <v>1</v>
      </c>
      <c r="P1791" s="12" t="n">
        <v>480</v>
      </c>
      <c r="Q1791" s="12" t="n">
        <v>15</v>
      </c>
      <c r="R1791" s="12" t="n">
        <v>21.2</v>
      </c>
      <c r="S1791" s="12" t="inlineStr">
        <is>
          <t>Tray</t>
        </is>
      </c>
      <c r="T1791" s="16" t="n">
        <v>661</v>
      </c>
      <c r="U1791" s="16" t="n">
        <v>169</v>
      </c>
      <c r="V1791" s="16">
        <f>ROUNDUP((T1791+U1791+2*'Read Me'!$B$13)*(1+'Read Me'!$B$12),-1)</f>
        <v/>
      </c>
      <c r="W1791" s="16">
        <f>V1791*N1791*O1791</f>
        <v/>
      </c>
      <c r="X1791" s="12">
        <f>IF(LEFT(I1791,2)="MV",2*N1791*IF(L1791="1/C",O1791,1),0)</f>
        <v/>
      </c>
      <c r="Y1791" s="12">
        <f>IF(OR(LEFT(K1791,4)="LVAX",LEFT(K1791,6)="MV15AX",LEFT(K1791,4)="CTAX",LEFT(K1791,2)="W|"),2*N1791*O1791,0)</f>
        <v/>
      </c>
      <c r="Z1791" s="12" t="inlineStr">
        <is>
          <t>VD 2.2 %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829</v>
      </c>
      <c r="U1794" s="16" t="n">
        <v>177</v>
      </c>
      <c r="V1794" s="16">
        <f>ROUNDUP((T1794+U1794+2*'Read Me'!$B$13)*(1+'Read Me'!$B$12),-1)</f>
        <v/>
      </c>
      <c r="W1794" s="16">
        <f>V1794*N1794*O1794</f>
        <v/>
      </c>
      <c r="X1794" s="12">
        <f>IF(LEFT(I1794,2)="MV",2*N1794*IF(L1794="1/C",O1794,1),0)</f>
        <v/>
      </c>
      <c r="Y1794" s="12">
        <f>IF(OR(LEFT(K1794,4)="LVAX",LEFT(K1794,6)="MV15AX",LEFT(K1794,4)="CTAX",LEFT(K1794,2)="W|"),2*N1794*O1794,0)</f>
        <v/>
      </c>
      <c r="Z1794" s="12" t="inlineStr">
        <is>
          <t>VD 2.6 %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67</v>
      </c>
      <c r="U1797" s="16" t="n">
        <v>84</v>
      </c>
      <c r="V1797" s="16">
        <f>ROUNDUP((T1797+U1797+2*'Read Me'!$B$13)*(1+'Read Me'!$B$12),-1)</f>
        <v/>
      </c>
      <c r="W1797" s="16">
        <f>V1797*N1797*O1797</f>
        <v/>
      </c>
      <c r="X1797" s="12">
        <f>IF(LEFT(I1797,2)="MV",2*N1797*IF(L1797="1/C",O1797,1),0)</f>
        <v/>
      </c>
      <c r="Y1797" s="12">
        <f>IF(OR(LEFT(K1797,4)="LVAX",LEFT(K1797,6)="MV15AX",LEFT(K1797,4)="CTAX",LEFT(K1797,2)="W|"),2*N1797*O1797,0)</f>
        <v/>
      </c>
      <c r="Z1797" s="12" t="inlineStr">
        <is>
          <t>VD 1.0 %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Duct bank</t>
        </is>
      </c>
      <c r="T1807" s="16" t="n">
        <v>12</v>
      </c>
      <c r="U1807" s="16" t="n">
        <v>50</v>
      </c>
      <c r="V1807" s="16">
        <f>ROUNDUP((T1807+U1807+2*'Read Me'!$B$13)*(1+'Read Me'!$B$12),-1)</f>
        <v/>
      </c>
      <c r="W1807" s="16">
        <f>V1807*N1807*O1807</f>
        <v/>
      </c>
      <c r="X1807" s="12">
        <f>IF(LEFT(I1807,2)="MV",2*N1807*IF(L1807="1/C",O1807,1),0)</f>
        <v/>
      </c>
      <c r="Y1807" s="12">
        <f>IF(OR(LEFT(K1807,4)="LVAX",LEFT(K1807,6)="MV15AX",LEFT(K1807,4)="CTAX",LEFT(K1807,2)="W|"),2*N1807*O1807,0)</f>
        <v/>
      </c>
      <c r="Z1807" s="12" t="inlineStr">
        <is>
          <t>VD 0.1 %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0.6 %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0.4 %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517</v>
      </c>
      <c r="U1832" s="16" t="n">
        <v>35</v>
      </c>
      <c r="V1832" s="16">
        <f>ROUNDUP((T1832+U1832+2*'Read Me'!$B$13)*(1+'Read Me'!$B$12),-1)</f>
        <v/>
      </c>
      <c r="W1832" s="16">
        <f>V1832*N1832*O1832</f>
        <v/>
      </c>
      <c r="X1832" s="12">
        <f>IF(LEFT(I1832,2)="MV",2*N1832*IF(L1832="1/C",O1832,1),0)</f>
        <v/>
      </c>
      <c r="Y1832" s="12">
        <f>IF(OR(LEFT(K1832,4)="LVAX",LEFT(K1832,6)="MV15AX",LEFT(K1832,4)="CTAX",LEFT(K1832,2)="W|"),2*N1832*O1832,0)</f>
        <v/>
      </c>
      <c r="Z1832" s="12" t="inlineStr">
        <is>
          <t>VD 0.8 %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258</v>
      </c>
      <c r="U1836" s="16" t="n">
        <v>32</v>
      </c>
      <c r="V1836" s="16">
        <f>ROUNDUP((T1836+U1836+2*'Read Me'!$B$13)*(1+'Read Me'!$B$12),-1)</f>
        <v/>
      </c>
      <c r="W1836" s="16">
        <f>V1836*N1836*O1836</f>
        <v/>
      </c>
      <c r="X1836" s="12">
        <f>IF(LEFT(I1836,2)="MV",2*N1836*IF(L1836="1/C",O1836,1),0)</f>
        <v/>
      </c>
      <c r="Y1836" s="12">
        <f>IF(OR(LEFT(K1836,4)="LVAX",LEFT(K1836,6)="MV15AX",LEFT(K1836,4)="CTAX",LEFT(K1836,2)="W|"),2*N1836*O1836,0)</f>
        <v/>
      </c>
      <c r="Z1836" s="12" t="inlineStr">
        <is>
          <t>VD 3.0 %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0</v>
      </c>
      <c r="U1855" s="16" t="n">
        <v>71</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LV|3/C+G|8</t>
        </is>
      </c>
      <c r="L1873" s="12" t="inlineStr">
        <is>
          <t>3/C+G</t>
        </is>
      </c>
      <c r="M1873" s="12" t="inlineStr">
        <is>
          <t>8</t>
        </is>
      </c>
      <c r="N1873" s="12" t="n">
        <v>1</v>
      </c>
      <c r="O1873" s="12" t="n">
        <v>1</v>
      </c>
      <c r="P1873" s="12" t="n">
        <v>480</v>
      </c>
      <c r="Q1873" s="12" t="n">
        <v>15</v>
      </c>
      <c r="R1873" s="12" t="n">
        <v>21.2</v>
      </c>
      <c r="S1873" s="12" t="inlineStr">
        <is>
          <t>Tray</t>
        </is>
      </c>
      <c r="T1873" s="16" t="n">
        <v>256</v>
      </c>
      <c r="U1873" s="16" t="n">
        <v>145</v>
      </c>
      <c r="V1873" s="16">
        <f>ROUNDUP((T1873+U1873+2*'Read Me'!$B$13)*(1+'Read Me'!$B$12),-1)</f>
        <v/>
      </c>
      <c r="W1873" s="16">
        <f>V1873*N1873*O1873</f>
        <v/>
      </c>
      <c r="X1873" s="12">
        <f>IF(LEFT(I1873,2)="MV",2*N1873*IF(L1873="1/C",O1873,1),0)</f>
        <v/>
      </c>
      <c r="Y1873" s="12">
        <f>IF(OR(LEFT(K1873,4)="LVAX",LEFT(K1873,6)="MV15AX",LEFT(K1873,4)="CTAX",LEFT(K1873,2)="W|"),2*N1873*O1873,0)</f>
        <v/>
      </c>
      <c r="Z1873" s="12" t="inlineStr">
        <is>
          <t>VD 2.6 %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436</v>
      </c>
      <c r="U1874" s="16" t="n">
        <v>125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408</v>
      </c>
      <c r="U1876" s="16" t="n">
        <v>183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506</v>
      </c>
      <c r="U1877" s="16" t="n">
        <v>136</v>
      </c>
      <c r="V1877" s="16">
        <f>ROUNDUP((T1877+U1877+2*'Read Me'!$B$13)*(1+'Read Me'!$B$12),-1)</f>
        <v/>
      </c>
      <c r="W1877" s="16">
        <f>V1877*N1877*O1877</f>
        <v/>
      </c>
      <c r="X1877" s="12">
        <f>IF(LEFT(I1877,2)="MV",2*N1877*IF(L1877="1/C",O1877,1),0)</f>
        <v/>
      </c>
      <c r="Y1877" s="12">
        <f>IF(OR(LEFT(K1877,4)="LVAX",LEFT(K1877,6)="MV15AX",LEFT(K1877,4)="CTAX",LEFT(K1877,2)="W|"),2*N1877*O1877,0)</f>
        <v/>
      </c>
      <c r="Z1877" s="12" t="inlineStr">
        <is>
          <t>VD 3.0 %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566</v>
      </c>
      <c r="U1878" s="16" t="n">
        <v>158</v>
      </c>
      <c r="V1878" s="16">
        <f>ROUNDUP((T1878+U1878+2*'Read Me'!$B$13)*(1+'Read Me'!$B$12),-1)</f>
        <v/>
      </c>
      <c r="W1878" s="16">
        <f>V1878*N1878*O1878</f>
        <v/>
      </c>
      <c r="X1878" s="12">
        <f>IF(LEFT(I1878,2)="MV",2*N1878*IF(L1878="1/C",O1878,1),0)</f>
        <v/>
      </c>
      <c r="Y1878" s="12">
        <f>IF(OR(LEFT(K1878,4)="LVAX",LEFT(K1878,6)="MV15AX",LEFT(K1878,4)="CTAX",LEFT(K1878,2)="W|"),2*N1878*O1878,0)</f>
        <v/>
      </c>
      <c r="Z1878" s="12" t="inlineStr">
        <is>
          <t>VD 1.0 %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566</v>
      </c>
      <c r="U1879" s="16" t="n">
        <v>158</v>
      </c>
      <c r="V1879" s="16">
        <f>ROUNDUP((T1879+U1879+2*'Read Me'!$B$13)*(1+'Read Me'!$B$12),-1)</f>
        <v/>
      </c>
      <c r="W1879" s="16">
        <f>V1879*N1879*O1879</f>
        <v/>
      </c>
      <c r="X1879" s="12">
        <f>IF(LEFT(I1879,2)="MV",2*N1879*IF(L1879="1/C",O1879,1),0)</f>
        <v/>
      </c>
      <c r="Y1879" s="12">
        <f>IF(OR(LEFT(K1879,4)="LVAX",LEFT(K1879,6)="MV15AX",LEFT(K1879,4)="CTAX",LEFT(K1879,2)="W|"),2*N1879*O1879,0)</f>
        <v/>
      </c>
      <c r="Z1879" s="12" t="inlineStr">
        <is>
          <t>VD 1.0 %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1423</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1423</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1103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1.6 %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1103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1.6 %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LVAX|3/C+G|6</t>
        </is>
      </c>
      <c r="L1896" s="12" t="inlineStr">
        <is>
          <t>3/C+G</t>
        </is>
      </c>
      <c r="M1896" s="12" t="inlineStr">
        <is>
          <t>6</t>
        </is>
      </c>
      <c r="N1896" s="12" t="n">
        <v>1</v>
      </c>
      <c r="O1896" s="12" t="n">
        <v>1</v>
      </c>
      <c r="P1896" s="12" t="n">
        <v>480</v>
      </c>
      <c r="Q1896" s="12" t="n">
        <v>22</v>
      </c>
      <c r="R1896" s="12" t="n">
        <v>31.1</v>
      </c>
      <c r="S1896" s="12" t="inlineStr">
        <is>
          <t>Tray</t>
        </is>
      </c>
      <c r="T1896" s="16" t="n">
        <v>261</v>
      </c>
      <c r="U1896" s="16" t="n">
        <v>145</v>
      </c>
      <c r="V1896" s="16">
        <f>ROUNDUP((T1896+U1896+2*'Read Me'!$B$13)*(1+'Read Me'!$B$12),-1)</f>
        <v/>
      </c>
      <c r="W1896" s="16">
        <f>V1896*N1896*O1896</f>
        <v/>
      </c>
      <c r="X1896" s="12">
        <f>IF(LEFT(I1896,2)="MV",2*N1896*IF(L1896="1/C",O1896,1),0)</f>
        <v/>
      </c>
      <c r="Y1896" s="12">
        <f>IF(OR(LEFT(K1896,4)="LVAX",LEFT(K1896,6)="MV15AX",LEFT(K1896,4)="CTAX",LEFT(K1896,2)="W|"),2*N1896*O1896,0)</f>
        <v/>
      </c>
      <c r="Z1896" s="12" t="inlineStr">
        <is>
          <t>VD 2.5 %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LVAX|3/C+G|6</t>
        </is>
      </c>
      <c r="L1897" s="12" t="inlineStr">
        <is>
          <t>3/C+G</t>
        </is>
      </c>
      <c r="M1897" s="12" t="inlineStr">
        <is>
          <t>6</t>
        </is>
      </c>
      <c r="N1897" s="12" t="n">
        <v>1</v>
      </c>
      <c r="O1897" s="12" t="n">
        <v>1</v>
      </c>
      <c r="P1897" s="12" t="n">
        <v>480</v>
      </c>
      <c r="Q1897" s="12" t="n">
        <v>22</v>
      </c>
      <c r="R1897" s="12" t="n">
        <v>31.1</v>
      </c>
      <c r="S1897" s="12" t="inlineStr">
        <is>
          <t>Tray</t>
        </is>
      </c>
      <c r="T1897" s="16" t="n">
        <v>261</v>
      </c>
      <c r="U1897" s="16" t="n">
        <v>145</v>
      </c>
      <c r="V1897" s="16">
        <f>ROUNDUP((T1897+U1897+2*'Read Me'!$B$13)*(1+'Read Me'!$B$12),-1)</f>
        <v/>
      </c>
      <c r="W1897" s="16">
        <f>V1897*N1897*O1897</f>
        <v/>
      </c>
      <c r="X1897" s="12">
        <f>IF(LEFT(I1897,2)="MV",2*N1897*IF(L1897="1/C",O1897,1),0)</f>
        <v/>
      </c>
      <c r="Y1897" s="12">
        <f>IF(OR(LEFT(K1897,4)="LVAX",LEFT(K1897,6)="MV15AX",LEFT(K1897,4)="CTAX",LEFT(K1897,2)="W|"),2*N1897*O1897,0)</f>
        <v/>
      </c>
      <c r="Z1897" s="12" t="inlineStr">
        <is>
          <t>VD 2.5 %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441</v>
      </c>
      <c r="U1898" s="16" t="n">
        <v>125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441</v>
      </c>
      <c r="U1899" s="16" t="n">
        <v>125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1041</v>
      </c>
      <c r="U1902" s="16" t="n">
        <v>206</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1041</v>
      </c>
      <c r="U1903" s="16" t="n">
        <v>206</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673</v>
      </c>
      <c r="U1904" s="16" t="n">
        <v>130</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673</v>
      </c>
      <c r="U1905" s="16" t="n">
        <v>130</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823</v>
      </c>
      <c r="U1906" s="16" t="n">
        <v>112</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823</v>
      </c>
      <c r="U1907" s="16" t="n">
        <v>112</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620</v>
      </c>
      <c r="U1908" s="16" t="n">
        <v>130</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644</v>
      </c>
      <c r="U1910" s="16" t="n">
        <v>170</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804</v>
      </c>
      <c r="U1911" s="16" t="n">
        <v>215</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976</v>
      </c>
      <c r="U1912" s="16" t="n">
        <v>124</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Duct bank</t>
        </is>
      </c>
      <c r="T1913" s="16" t="n">
        <v>82</v>
      </c>
      <c r="U1913" s="16" t="n">
        <v>79</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Tray</t>
        </is>
      </c>
      <c r="T1914" s="16" t="n">
        <v>0</v>
      </c>
      <c r="U1914" s="16" t="n">
        <v>126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104</v>
      </c>
      <c r="U1916" s="16" t="n">
        <v>72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523</v>
      </c>
      <c r="U1917" s="16" t="n">
        <v>130</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671</v>
      </c>
      <c r="U1918" s="16" t="n">
        <v>112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897</v>
      </c>
      <c r="U1919" s="16" t="n">
        <v>249</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632</v>
      </c>
      <c r="U1920" s="16" t="n">
        <v>130</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Duct bank</t>
        </is>
      </c>
      <c r="T1922" s="16" t="n">
        <v>21</v>
      </c>
      <c r="U1922" s="16" t="n">
        <v>38</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Duct bank</t>
        </is>
      </c>
      <c r="T1923" s="16" t="n">
        <v>21</v>
      </c>
      <c r="U1923" s="16" t="n">
        <v>38</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644</v>
      </c>
      <c r="U1925" s="16" t="n">
        <v>134</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389</v>
      </c>
      <c r="U1928" s="16" t="n">
        <v>44</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357</v>
      </c>
      <c r="U1929" s="16" t="n">
        <v>44</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325</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293</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261</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261</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293</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325</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357</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389</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339</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307</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275</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243</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211</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211</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243</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275</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307</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339</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289</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257</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225</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193</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161</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161</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193</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225</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257</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289</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239</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207</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175</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143</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111</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111</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143</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175</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207</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239</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239</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207</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175</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143</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111</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111</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143</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175</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207</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239</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289</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257</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225</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193</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161</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161</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193</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225</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257</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289</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339</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307</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275</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243</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211</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211</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243</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275</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307</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339</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389</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357</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325</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293</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261</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261</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293</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325</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357</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389</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0</v>
      </c>
      <c r="U2008" s="16" t="n">
        <v>52</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0</v>
      </c>
      <c r="U2009" s="16" t="n">
        <v>52</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655</v>
      </c>
      <c r="U2038" s="16" t="n">
        <v>211</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655</v>
      </c>
      <c r="U2039" s="16" t="n">
        <v>211</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664</v>
      </c>
      <c r="U2050" s="16" t="n">
        <v>175</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664</v>
      </c>
      <c r="U2051" s="16" t="n">
        <v>175</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18</v>
      </c>
      <c r="U2052" s="16" t="n">
        <v>81</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18</v>
      </c>
      <c r="U2053" s="16" t="n">
        <v>81</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0</v>
      </c>
      <c r="U2056" s="16" t="n">
        <v>91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0</v>
      </c>
      <c r="U2057" s="16" t="n">
        <v>91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73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73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61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61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46</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46</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160</v>
      </c>
      <c r="U2076" s="16" t="n">
        <v>64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160</v>
      </c>
      <c r="U2077" s="16" t="n">
        <v>64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186</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186</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215</v>
      </c>
      <c r="U2088" s="16" t="n">
        <v>51</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215</v>
      </c>
      <c r="U2089" s="16" t="n">
        <v>51</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209</v>
      </c>
      <c r="U2094" s="16" t="n">
        <v>77</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209</v>
      </c>
      <c r="U2095" s="16" t="n">
        <v>77</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520</v>
      </c>
      <c r="U2100" s="16" t="n">
        <v>99</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520</v>
      </c>
      <c r="U2101" s="16" t="n">
        <v>99</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1408</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0</v>
      </c>
      <c r="U2103" s="16" t="n">
        <v>54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46</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0</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667</v>
      </c>
      <c r="U2132" s="16" t="n">
        <v>203</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676</v>
      </c>
      <c r="U2138" s="16" t="n">
        <v>167</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532</v>
      </c>
      <c r="U2142" s="16" t="n">
        <v>135</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410</v>
      </c>
      <c r="U2150" s="16" t="n">
        <v>105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18</v>
      </c>
      <c r="U2153" s="16" t="n">
        <v>81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0</v>
      </c>
      <c r="U2154" s="16" t="n">
        <v>91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73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61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159</v>
      </c>
      <c r="U2158" s="16" t="n">
        <v>56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185</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214</v>
      </c>
      <c r="U2166" s="16" t="n">
        <v>43</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208</v>
      </c>
      <c r="U2170" s="16" t="n">
        <v>69</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532</v>
      </c>
      <c r="U2174" s="16" t="n">
        <v>91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389</v>
      </c>
      <c r="U2177" s="16" t="n">
        <v>44</v>
      </c>
      <c r="V2177" s="16">
        <f>ROUNDUP((T2177+U2177+2*'Read Me'!$B$13)*(1+'Read Me'!$B$12),-1)</f>
        <v/>
      </c>
      <c r="W2177" s="16">
        <f>V2177*N2177*O2177</f>
        <v/>
      </c>
      <c r="X2177" s="12">
        <f>IF(LEFT(I2177,2)="MV",2*N2177*IF(L2177="1/C",O2177,1),0)</f>
        <v/>
      </c>
      <c r="Y2177" s="12">
        <f>IF(OR(LEFT(K2177,4)="LVAX",LEFT(K2177,6)="MV15AX",LEFT(K2177,4)="CTAX",LEFT(K2177,2)="W|"),2*N2177*O2177,0)</f>
        <v/>
      </c>
      <c r="Z2177" s="12" t="inlineStr">
        <is>
          <t>VD 1.3 %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357</v>
      </c>
      <c r="U2178" s="16" t="n">
        <v>44</v>
      </c>
      <c r="V2178" s="16">
        <f>ROUNDUP((T2178+U2178+2*'Read Me'!$B$13)*(1+'Read Me'!$B$12),-1)</f>
        <v/>
      </c>
      <c r="W2178" s="16">
        <f>V2178*N2178*O2178</f>
        <v/>
      </c>
      <c r="X2178" s="12">
        <f>IF(LEFT(I2178,2)="MV",2*N2178*IF(L2178="1/C",O2178,1),0)</f>
        <v/>
      </c>
      <c r="Y2178" s="12">
        <f>IF(OR(LEFT(K2178,4)="LVAX",LEFT(K2178,6)="MV15AX",LEFT(K2178,4)="CTAX",LEFT(K2178,2)="W|"),2*N2178*O2178,0)</f>
        <v/>
      </c>
      <c r="Z2178" s="12" t="inlineStr">
        <is>
          <t>VD 1.2 %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325</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1.1 %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293</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1.0 %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261</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0.9 %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261</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0.9 %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293</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1.0 %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325</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1.1 %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357</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1.2 %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389</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1.3 %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339</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307</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1.1 %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275</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1.0 %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243</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0.9 %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211</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0.8 %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211</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0.8 %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243</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0.9 %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275</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1.0 %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307</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1.1 %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339</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1.2 %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289</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1.0 %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257</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0.9 %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225</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0.8 %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193</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0.7 %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161</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0.6 %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161</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0.6 %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193</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0.7 %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225</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0.8 %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257</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0.9 %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289</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1.0 %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239</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207</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0.8 %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175</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0.7 %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143</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0.6 %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111</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0.5 %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111</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0.5 %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143</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0.6 %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175</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0.7 %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207</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0.8 %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239</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0.9 %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239</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0.9 %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207</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0.8 %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175</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0.7 %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143</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0.6 %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111</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0.5 %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111</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0.5 %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143</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0.6 %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175</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0.7 %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207</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0.8 %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239</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0.9 %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289</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1.0 %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257</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225</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0.8 %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193</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0.7 %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161</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0.6 %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161</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0.6 %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193</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0.7 %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225</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0.8 %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257</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0.9 %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289</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1.0 %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339</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1.2 %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307</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1.1 %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275</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1.0 %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243</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0.9 %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211</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0.8 %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211</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0.8 %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243</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0.9 %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275</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1.0 %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307</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1.1 %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339</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1.2 %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389</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1.3 %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357</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325</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1.1 %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293</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1.0 %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261</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0.9 %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261</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0.9 %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293</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1.0 %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325</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1.1 %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357</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1.2 %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389</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1.3 %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0</v>
      </c>
      <c r="U2257" s="16" t="n">
        <v>52</v>
      </c>
      <c r="V2257" s="16">
        <f>ROUNDUP((T2257+U2257+2*'Read Me'!$B$13)*(1+'Read Me'!$B$12),-1)</f>
        <v/>
      </c>
      <c r="W2257" s="16">
        <f>V2257*N2257*O2257</f>
        <v/>
      </c>
      <c r="X2257" s="12">
        <f>IF(LEFT(I2257,2)="MV",2*N2257*IF(L2257="1/C",O2257,1),0)</f>
        <v/>
      </c>
      <c r="Y2257" s="12">
        <f>IF(OR(LEFT(K2257,4)="LVAX",LEFT(K2257,6)="MV15AX",LEFT(K2257,4)="CTAX",LEFT(K2257,2)="W|"),2*N2257*O2257,0)</f>
        <v/>
      </c>
      <c r="Z2257" s="12" t="inlineStr">
        <is>
          <t>VD 0.1 %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0</v>
      </c>
      <c r="U2258" s="16" t="n">
        <v>52</v>
      </c>
      <c r="V2258" s="16">
        <f>ROUNDUP((T2258+U2258+2*'Read Me'!$B$13)*(1+'Read Me'!$B$12),-1)</f>
        <v/>
      </c>
      <c r="W2258" s="16">
        <f>V2258*N2258*O2258</f>
        <v/>
      </c>
      <c r="X2258" s="12">
        <f>IF(LEFT(I2258,2)="MV",2*N2258*IF(L2258="1/C",O2258,1),0)</f>
        <v/>
      </c>
      <c r="Y2258" s="12">
        <f>IF(OR(LEFT(K2258,4)="LVAX",LEFT(K2258,6)="MV15AX",LEFT(K2258,4)="CTAX",LEFT(K2258,2)="W|"),2*N2258*O2258,0)</f>
        <v/>
      </c>
      <c r="Z2258" s="12" t="inlineStr">
        <is>
          <t>VD 0.1 %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300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300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VD 0.3 %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VD 0.3 %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765</v>
      </c>
      <c r="U2298" s="16" t="n">
        <v>211</v>
      </c>
      <c r="V2298" s="16">
        <f>ROUNDUP((T2298+U2298+2*'Read Me'!$B$13)*(1+'Read Me'!$B$12),-1)</f>
        <v/>
      </c>
      <c r="W2298" s="16">
        <f>V2298*N2298*O2298</f>
        <v/>
      </c>
      <c r="X2298" s="12">
        <f>IF(LEFT(I2298,2)="MV",2*N2298*IF(L2298="1/C",O2298,1),0)</f>
        <v/>
      </c>
      <c r="Y2298" s="12">
        <f>IF(OR(LEFT(K2298,4)="LVAX",LEFT(K2298,6)="MV15AX",LEFT(K2298,4)="CTAX",LEFT(K2298,2)="W|"),2*N2298*O2298,0)</f>
        <v/>
      </c>
      <c r="Z2298" s="12" t="inlineStr">
        <is>
          <t>VD 2.3 %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765</v>
      </c>
      <c r="U2299" s="16" t="n">
        <v>211</v>
      </c>
      <c r="V2299" s="16">
        <f>ROUNDUP((T2299+U2299+2*'Read Me'!$B$13)*(1+'Read Me'!$B$12),-1)</f>
        <v/>
      </c>
      <c r="W2299" s="16">
        <f>V2299*N2299*O2299</f>
        <v/>
      </c>
      <c r="X2299" s="12">
        <f>IF(LEFT(I2299,2)="MV",2*N2299*IF(L2299="1/C",O2299,1),0)</f>
        <v/>
      </c>
      <c r="Y2299" s="12">
        <f>IF(OR(LEFT(K2299,4)="LVAX",LEFT(K2299,6)="MV15AX",LEFT(K2299,4)="CTAX",LEFT(K2299,2)="W|"),2*N2299*O2299,0)</f>
        <v/>
      </c>
      <c r="Z2299" s="12" t="inlineStr">
        <is>
          <t>VD 2.3 %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664</v>
      </c>
      <c r="U2310" s="16" t="n">
        <v>175</v>
      </c>
      <c r="V2310" s="16">
        <f>ROUNDUP((T2310+U2310+2*'Read Me'!$B$13)*(1+'Read Me'!$B$12),-1)</f>
        <v/>
      </c>
      <c r="W2310" s="16">
        <f>V2310*N2310*O2310</f>
        <v/>
      </c>
      <c r="X2310" s="12">
        <f>IF(LEFT(I2310,2)="MV",2*N2310*IF(L2310="1/C",O2310,1),0)</f>
        <v/>
      </c>
      <c r="Y2310" s="12">
        <f>IF(OR(LEFT(K2310,4)="LVAX",LEFT(K2310,6)="MV15AX",LEFT(K2310,4)="CTAX",LEFT(K2310,2)="W|"),2*N2310*O2310,0)</f>
        <v/>
      </c>
      <c r="Z2310" s="12" t="inlineStr">
        <is>
          <t>VD 2.6 %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664</v>
      </c>
      <c r="U2311" s="16" t="n">
        <v>175</v>
      </c>
      <c r="V2311" s="16">
        <f>ROUNDUP((T2311+U2311+2*'Read Me'!$B$13)*(1+'Read Me'!$B$12),-1)</f>
        <v/>
      </c>
      <c r="W2311" s="16">
        <f>V2311*N2311*O2311</f>
        <v/>
      </c>
      <c r="X2311" s="12">
        <f>IF(LEFT(I2311,2)="MV",2*N2311*IF(L2311="1/C",O2311,1),0)</f>
        <v/>
      </c>
      <c r="Y2311" s="12">
        <f>IF(OR(LEFT(K2311,4)="LVAX",LEFT(K2311,6)="MV15AX",LEFT(K2311,4)="CTAX",LEFT(K2311,2)="W|"),2*N2311*O2311,0)</f>
        <v/>
      </c>
      <c r="Z2311" s="12" t="inlineStr">
        <is>
          <t>VD 2.6 %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398</v>
      </c>
      <c r="U2312" s="16" t="n">
        <v>113</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54</v>
      </c>
      <c r="V2313" s="16">
        <f>ROUNDUP((T2313+U2313+2*'Read Me'!$B$13)*(1+'Read Me'!$B$12),-1)</f>
        <v/>
      </c>
      <c r="W2313" s="16">
        <f>V2313*N2313*O2313</f>
        <v/>
      </c>
      <c r="X2313" s="12">
        <f>IF(LEFT(I2313,2)="MV",2*N2313*IF(L2313="1/C",O2313,1),0)</f>
        <v/>
      </c>
      <c r="Y2313" s="12">
        <f>IF(OR(LEFT(K2313,4)="LVAX",LEFT(K2313,6)="MV15AX",LEFT(K2313,4)="CTAX",LEFT(K2313,2)="W|"),2*N2313*O2313,0)</f>
        <v/>
      </c>
      <c r="Z2313" s="12" t="inlineStr">
        <is>
          <t>VD 0.3 %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160</v>
      </c>
      <c r="U2314" s="16" t="n">
        <v>64</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160</v>
      </c>
      <c r="U2315" s="16" t="n">
        <v>64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186</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186</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215</v>
      </c>
      <c r="U2326" s="16" t="n">
        <v>51</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215</v>
      </c>
      <c r="U2327" s="16" t="n">
        <v>51</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209</v>
      </c>
      <c r="U2332" s="16" t="n">
        <v>77</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209</v>
      </c>
      <c r="U2333" s="16" t="n">
        <v>77</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520</v>
      </c>
      <c r="U2338" s="16" t="n">
        <v>99</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520</v>
      </c>
      <c r="U2339" s="16" t="n">
        <v>99</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1173</v>
      </c>
      <c r="U2340" s="16" t="n">
        <v>147</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1228</v>
      </c>
      <c r="U2341" s="16" t="n">
        <v>163</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1310</v>
      </c>
      <c r="U2342" s="16" t="n">
        <v>128</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1222</v>
      </c>
      <c r="U2343" s="16" t="n">
        <v>160</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1215</v>
      </c>
      <c r="U2344" s="16" t="n">
        <v>274</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274</v>
      </c>
      <c r="U2348" s="16" t="n">
        <v>40</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274</v>
      </c>
      <c r="U2349" s="16" t="n">
        <v>40</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Trench</t>
        </is>
      </c>
      <c r="T2355" s="16" t="n">
        <v>274</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Trench</t>
        </is>
      </c>
      <c r="T2356" s="16" t="n">
        <v>274</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Trench</t>
        </is>
      </c>
      <c r="T2362" s="16" t="n">
        <v>274</v>
      </c>
      <c r="U2362" s="16" t="n">
        <v>92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Trench</t>
        </is>
      </c>
      <c r="T2363" s="16" t="n">
        <v>274</v>
      </c>
      <c r="U2363" s="16" t="n">
        <v>92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Trench</t>
        </is>
      </c>
      <c r="T2369" s="16" t="n">
        <v>474</v>
      </c>
      <c r="U2369" s="16" t="n">
        <v>40</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Trench</t>
        </is>
      </c>
      <c r="T2370" s="16" t="n">
        <v>474</v>
      </c>
      <c r="U2370" s="16" t="n">
        <v>40</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Trench</t>
        </is>
      </c>
      <c r="T2376" s="16" t="n">
        <v>474</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Trench</t>
        </is>
      </c>
      <c r="T2377" s="16" t="n">
        <v>474</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Trench</t>
        </is>
      </c>
      <c r="T2383" s="16" t="n">
        <v>474</v>
      </c>
      <c r="U2383" s="16" t="n">
        <v>92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Trench</t>
        </is>
      </c>
      <c r="T2384" s="16" t="n">
        <v>474</v>
      </c>
      <c r="U2384" s="16" t="n">
        <v>92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674</v>
      </c>
      <c r="U2390" s="16" t="n">
        <v>40</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674</v>
      </c>
      <c r="U2391" s="16" t="n">
        <v>40</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674</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674</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Trench</t>
        </is>
      </c>
      <c r="T2404" s="16" t="n">
        <v>674</v>
      </c>
      <c r="U2404" s="16" t="n">
        <v>92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Trench</t>
        </is>
      </c>
      <c r="T2405" s="16" t="n">
        <v>674</v>
      </c>
      <c r="U2405" s="16" t="n">
        <v>92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Trench</t>
        </is>
      </c>
      <c r="T2411" s="16" t="n">
        <v>1294</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Trench</t>
        </is>
      </c>
      <c r="T2412" s="16" t="n">
        <v>1294</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Trench</t>
        </is>
      </c>
      <c r="T2418" s="16" t="n">
        <v>1294</v>
      </c>
      <c r="U2418" s="16" t="n">
        <v>52</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Trench</t>
        </is>
      </c>
      <c r="T2419" s="16" t="n">
        <v>1294</v>
      </c>
      <c r="U2419" s="16" t="n">
        <v>52</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Trench</t>
        </is>
      </c>
      <c r="T2425" s="16" t="n">
        <v>1340</v>
      </c>
      <c r="U2425" s="16" t="n">
        <v>46</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Trench</t>
        </is>
      </c>
      <c r="T2426" s="16" t="n">
        <v>1340</v>
      </c>
      <c r="U2426" s="16" t="n">
        <v>46</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1434</v>
      </c>
      <c r="U2432" s="16" t="n">
        <v>40</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1434</v>
      </c>
      <c r="U2433" s="16" t="n">
        <v>40</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1434</v>
      </c>
      <c r="U2439" s="16" t="n">
        <v>52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6" t="n">
        <v>1434</v>
      </c>
      <c r="U2440" s="16" t="n">
        <v>52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1434</v>
      </c>
      <c r="U2446" s="16" t="n">
        <v>92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6" t="n">
        <v>1434</v>
      </c>
      <c r="U2447" s="16" t="n">
        <v>92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809</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1138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68280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274</v>
      </c>
      <c r="U2486" s="16" t="n">
        <v>40</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474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52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92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674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52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1340</v>
      </c>
      <c r="U2530" s="16" t="n">
        <v>46</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1434</v>
      </c>
      <c r="U2534" s="16" t="n">
        <v>40</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52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92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526</v>
      </c>
      <c r="U2562" s="16" t="n">
        <v>86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474</v>
      </c>
      <c r="U2564" s="16" t="n">
        <v>78</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2412</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2412</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Duct bank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4</v>
      </c>
      <c r="U2631" s="16" t="n">
        <v>114</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2412</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2412</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2002</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1942</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1868</v>
      </c>
      <c r="U2659" s="16" t="n">
        <v>157</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2380</v>
      </c>
      <c r="U2684" s="16" t="n">
        <v>124</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2380</v>
      </c>
      <c r="U2685" s="16" t="n">
        <v>124</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Duct bank</t>
        </is>
      </c>
      <c r="T2689" s="16" t="n">
        <v>2010</v>
      </c>
      <c r="U2689" s="16" t="n">
        <v>145</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Duct bank</t>
        </is>
      </c>
      <c r="T2690" s="16" t="n">
        <v>2010</v>
      </c>
      <c r="U2690" s="16" t="n">
        <v>145</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2089</v>
      </c>
      <c r="U2691" s="16" t="n">
        <v>165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2089</v>
      </c>
      <c r="U2692" s="16" t="n">
        <v>165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115</v>
      </c>
      <c r="U2694" s="16" t="n">
        <v>96</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2004</v>
      </c>
      <c r="U2695" s="16" t="n">
        <v>209</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2004</v>
      </c>
      <c r="U2696" s="16" t="n">
        <v>209</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1859</v>
      </c>
      <c r="U2700" s="16" t="n">
        <v>212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1859</v>
      </c>
      <c r="U2701" s="16" t="n">
        <v>212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1629</v>
      </c>
      <c r="U2708" s="16" t="n">
        <v>145</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1629</v>
      </c>
      <c r="U2709" s="16" t="n">
        <v>145</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1251</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Duct bank</t>
        </is>
      </c>
      <c r="T2730" s="16" t="n">
        <v>160</v>
      </c>
      <c r="U2730" s="16" t="n">
        <v>96</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Duct bank</t>
        </is>
      </c>
      <c r="T2744" s="16" t="n">
        <v>115</v>
      </c>
      <c r="U2744" s="16" t="n">
        <v>96</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Duct bank</t>
        </is>
      </c>
      <c r="T2746" s="16" t="n">
        <v>28</v>
      </c>
      <c r="U2746" s="16" t="n">
        <v>123</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0</v>
      </c>
      <c r="U2750" s="16" t="n">
        <v>100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160</v>
      </c>
      <c r="U2754" s="16" t="n">
        <v>96</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Duct bank</t>
        </is>
      </c>
      <c r="T2764" s="16" t="n">
        <v>0</v>
      </c>
      <c r="U2764" s="16" t="n">
        <v>58</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15</v>
      </c>
      <c r="U2776" s="16" t="n">
        <v>99</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LV|3/C+G|4</t>
        </is>
      </c>
      <c r="L2795" s="12" t="inlineStr">
        <is>
          <t>3/C+G</t>
        </is>
      </c>
      <c r="M2795" s="12" t="inlineStr">
        <is>
          <t>4</t>
        </is>
      </c>
      <c r="N2795" s="12" t="n">
        <v>1</v>
      </c>
      <c r="O2795" s="12" t="n">
        <v>1</v>
      </c>
      <c r="P2795" s="12" t="n">
        <v>480</v>
      </c>
      <c r="Q2795" s="12" t="n">
        <v>7</v>
      </c>
      <c r="R2795" s="12" t="n">
        <v>9.9</v>
      </c>
      <c r="S2795" s="12" t="inlineStr">
        <is>
          <t>Duct bank</t>
        </is>
      </c>
      <c r="T2795" s="16" t="n">
        <v>2010</v>
      </c>
      <c r="U2795" s="16" t="n">
        <v>145</v>
      </c>
      <c r="V2795" s="16">
        <f>ROUNDUP((T2795+U2795+2*'Read Me'!$B$13)*(1+'Read Me'!$B$12),-1)</f>
        <v/>
      </c>
      <c r="W2795" s="16">
        <f>V2795*N2795*O2795</f>
        <v/>
      </c>
      <c r="X2795" s="12">
        <f>IF(LEFT(I2795,2)="MV",2*N2795*IF(L2795="1/C",O2795,1),0)</f>
        <v/>
      </c>
      <c r="Y2795" s="12">
        <f>IF(OR(LEFT(K2795,4)="LVAX",LEFT(K2795,6)="MV15AX",LEFT(K2795,4)="CTAX",LEFT(K2795,2)="W|"),2*N2795*O2795,0)</f>
        <v/>
      </c>
      <c r="Z2795" s="12" t="inlineStr">
        <is>
          <t>VD 2.6 %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LV|3/C+G|4</t>
        </is>
      </c>
      <c r="L2796" s="12" t="inlineStr">
        <is>
          <t>3/C+G</t>
        </is>
      </c>
      <c r="M2796" s="12" t="inlineStr">
        <is>
          <t>4</t>
        </is>
      </c>
      <c r="N2796" s="12" t="n">
        <v>1</v>
      </c>
      <c r="O2796" s="12" t="n">
        <v>1</v>
      </c>
      <c r="P2796" s="12" t="n">
        <v>480</v>
      </c>
      <c r="Q2796" s="12" t="n">
        <v>7</v>
      </c>
      <c r="R2796" s="12" t="n">
        <v>9.9</v>
      </c>
      <c r="S2796" s="12" t="inlineStr">
        <is>
          <t>Duct bank</t>
        </is>
      </c>
      <c r="T2796" s="16" t="n">
        <v>2010</v>
      </c>
      <c r="U2796" s="16" t="n">
        <v>145</v>
      </c>
      <c r="V2796" s="16">
        <f>ROUNDUP((T2796+U2796+2*'Read Me'!$B$13)*(1+'Read Me'!$B$12),-1)</f>
        <v/>
      </c>
      <c r="W2796" s="16">
        <f>V2796*N2796*O2796</f>
        <v/>
      </c>
      <c r="X2796" s="12">
        <f>IF(LEFT(I2796,2)="MV",2*N2796*IF(L2796="1/C",O2796,1),0)</f>
        <v/>
      </c>
      <c r="Y2796" s="12">
        <f>IF(OR(LEFT(K2796,4)="LVAX",LEFT(K2796,6)="MV15AX",LEFT(K2796,4)="CTAX",LEFT(K2796,2)="W|"),2*N2796*O2796,0)</f>
        <v/>
      </c>
      <c r="Z2796" s="12" t="inlineStr">
        <is>
          <t>VD 2.6 %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LV|3/C+G|3/0</t>
        </is>
      </c>
      <c r="L2797" s="12" t="inlineStr">
        <is>
          <t>3/C+G</t>
        </is>
      </c>
      <c r="M2797" s="12" t="inlineStr">
        <is>
          <t>3/0</t>
        </is>
      </c>
      <c r="N2797" s="12" t="n">
        <v>1</v>
      </c>
      <c r="O2797" s="12" t="n">
        <v>1</v>
      </c>
      <c r="P2797" s="12" t="n">
        <v>480</v>
      </c>
      <c r="Q2797" s="12" t="n">
        <v>30</v>
      </c>
      <c r="R2797" s="12" t="n">
        <v>42.5</v>
      </c>
      <c r="S2797" s="12" t="inlineStr">
        <is>
          <t>Duct bank</t>
        </is>
      </c>
      <c r="T2797" s="16" t="n">
        <v>2089</v>
      </c>
      <c r="U2797" s="16" t="n">
        <v>165</v>
      </c>
      <c r="V2797" s="16">
        <f>ROUNDUP((T2797+U2797+2*'Read Me'!$B$13)*(1+'Read Me'!$B$12),-1)</f>
        <v/>
      </c>
      <c r="W2797" s="16">
        <f>V2797*N2797*O2797</f>
        <v/>
      </c>
      <c r="X2797" s="12">
        <f>IF(LEFT(I2797,2)="MV",2*N2797*IF(L2797="1/C",O2797,1),0)</f>
        <v/>
      </c>
      <c r="Y2797" s="12">
        <f>IF(OR(LEFT(K2797,4)="LVAX",LEFT(K2797,6)="MV15AX",LEFT(K2797,4)="CTAX",LEFT(K2797,2)="W|"),2*N2797*O2797,0)</f>
        <v/>
      </c>
      <c r="Z2797" s="12" t="inlineStr">
        <is>
          <t>VD 2.9 %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LV|3/C+G|3/0</t>
        </is>
      </c>
      <c r="L2798" s="12" t="inlineStr">
        <is>
          <t>3/C+G</t>
        </is>
      </c>
      <c r="M2798" s="12" t="inlineStr">
        <is>
          <t>3/0</t>
        </is>
      </c>
      <c r="N2798" s="12" t="n">
        <v>1</v>
      </c>
      <c r="O2798" s="12" t="n">
        <v>1</v>
      </c>
      <c r="P2798" s="12" t="n">
        <v>480</v>
      </c>
      <c r="Q2798" s="12" t="n">
        <v>30</v>
      </c>
      <c r="R2798" s="12" t="n">
        <v>42.5</v>
      </c>
      <c r="S2798" s="12" t="inlineStr">
        <is>
          <t>Duct bank</t>
        </is>
      </c>
      <c r="T2798" s="16" t="n">
        <v>2089</v>
      </c>
      <c r="U2798" s="16" t="n">
        <v>165</v>
      </c>
      <c r="V2798" s="16">
        <f>ROUNDUP((T2798+U2798+2*'Read Me'!$B$13)*(1+'Read Me'!$B$12),-1)</f>
        <v/>
      </c>
      <c r="W2798" s="16">
        <f>V2798*N2798*O2798</f>
        <v/>
      </c>
      <c r="X2798" s="12">
        <f>IF(LEFT(I2798,2)="MV",2*N2798*IF(L2798="1/C",O2798,1),0)</f>
        <v/>
      </c>
      <c r="Y2798" s="12">
        <f>IF(OR(LEFT(K2798,4)="LVAX",LEFT(K2798,6)="MV15AX",LEFT(K2798,4)="CTAX",LEFT(K2798,2)="W|"),2*N2798*O2798,0)</f>
        <v/>
      </c>
      <c r="Z2798" s="12" t="inlineStr">
        <is>
          <t>VD 2.9 %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LV|3/C+G|2</t>
        </is>
      </c>
      <c r="L2800" s="12" t="inlineStr">
        <is>
          <t>3/C+G</t>
        </is>
      </c>
      <c r="M2800" s="12" t="inlineStr">
        <is>
          <t>2</t>
        </is>
      </c>
      <c r="N2800" s="12" t="n">
        <v>1</v>
      </c>
      <c r="O2800" s="12" t="n">
        <v>1</v>
      </c>
      <c r="P2800" s="12" t="n">
        <v>480</v>
      </c>
      <c r="Q2800" s="12" t="n">
        <v>10</v>
      </c>
      <c r="R2800" s="12" t="n">
        <v>12.7</v>
      </c>
      <c r="S2800" s="12" t="inlineStr">
        <is>
          <t>Duct bank</t>
        </is>
      </c>
      <c r="T2800" s="16" t="n">
        <v>1959</v>
      </c>
      <c r="U2800" s="16" t="n">
        <v>209</v>
      </c>
      <c r="V2800" s="16">
        <f>ROUNDUP((T2800+U2800+2*'Read Me'!$B$13)*(1+'Read Me'!$B$12),-1)</f>
        <v/>
      </c>
      <c r="W2800" s="16">
        <f>V2800*N2800*O2800</f>
        <v/>
      </c>
      <c r="X2800" s="12">
        <f>IF(LEFT(I2800,2)="MV",2*N2800*IF(L2800="1/C",O2800,1),0)</f>
        <v/>
      </c>
      <c r="Y2800" s="12">
        <f>IF(OR(LEFT(K2800,4)="LVAX",LEFT(K2800,6)="MV15AX",LEFT(K2800,4)="CTAX",LEFT(K2800,2)="W|"),2*N2800*O2800,0)</f>
        <v/>
      </c>
      <c r="Z2800" s="12" t="inlineStr">
        <is>
          <t>VD 2.1 %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14.2</v>
      </c>
      <c r="S2802" s="12" t="inlineStr">
        <is>
          <t>Duct bank</t>
        </is>
      </c>
      <c r="T2802" s="16" t="n">
        <v>1872</v>
      </c>
      <c r="U2802" s="16" t="n">
        <v>236</v>
      </c>
      <c r="V2802" s="16">
        <f>ROUNDUP((T2802+U2802+2*'Read Me'!$B$13)*(1+'Read Me'!$B$12),-1)</f>
        <v/>
      </c>
      <c r="W2802" s="16">
        <f>V2802*N2802*O2802</f>
        <v/>
      </c>
      <c r="X2802" s="12">
        <f>IF(LEFT(I2802,2)="MV",2*N2802*IF(L2802="1/C",O2802,1),0)</f>
        <v/>
      </c>
      <c r="Y2802" s="12">
        <f>IF(OR(LEFT(K2802,4)="LVAX",LEFT(K2802,6)="MV15AX",LEFT(K2802,4)="CTAX",LEFT(K2802,2)="W|"),2*N2802*O2802,0)</f>
        <v/>
      </c>
      <c r="Z2802" s="12" t="inlineStr">
        <is>
          <t>VD 2.3 %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1798</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is>
          <t>VD 2.1 %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3</v>
      </c>
      <c r="O2804" s="12" t="n">
        <v>1</v>
      </c>
      <c r="P2804" s="12" t="n">
        <v>480</v>
      </c>
      <c r="Q2804" s="12" t="n">
        <v>250</v>
      </c>
      <c r="R2804" s="12" t="n">
        <v>353.8</v>
      </c>
      <c r="S2804" s="12" t="inlineStr">
        <is>
          <t>Duct bank</t>
        </is>
      </c>
      <c r="T2804" s="16" t="n">
        <v>2004</v>
      </c>
      <c r="U2804" s="16" t="n">
        <v>209</v>
      </c>
      <c r="V2804" s="16">
        <f>ROUNDUP((T2804+U2804+2*'Read Me'!$B$13)*(1+'Read Me'!$B$12),-1)</f>
        <v/>
      </c>
      <c r="W2804" s="16">
        <f>V2804*N2804*O2804</f>
        <v/>
      </c>
      <c r="X2804" s="12">
        <f>IF(LEFT(I2804,2)="MV",2*N2804*IF(L2804="1/C",O2804,1),0)</f>
        <v/>
      </c>
      <c r="Y2804" s="12">
        <f>IF(OR(LEFT(K2804,4)="LVAX",LEFT(K2804,6)="MV15AX",LEFT(K2804,4)="CTAX",LEFT(K2804,2)="W|"),2*N2804*O2804,0)</f>
        <v/>
      </c>
      <c r="Z2804" s="12" t="inlineStr">
        <is>
          <t>VD 2.7 %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LV|3/C+G|1</t>
        </is>
      </c>
      <c r="L2805" s="12" t="inlineStr">
        <is>
          <t>3/C+G</t>
        </is>
      </c>
      <c r="M2805" s="12" t="inlineStr">
        <is>
          <t>1</t>
        </is>
      </c>
      <c r="N2805" s="12" t="n">
        <v>1</v>
      </c>
      <c r="O2805" s="12" t="n">
        <v>1</v>
      </c>
      <c r="P2805" s="12" t="n">
        <v>480</v>
      </c>
      <c r="Q2805" s="12" t="n">
        <v>15</v>
      </c>
      <c r="R2805" s="12" t="n">
        <v>21.2</v>
      </c>
      <c r="S2805" s="12" t="inlineStr">
        <is>
          <t>Duct bank</t>
        </is>
      </c>
      <c r="T2805" s="16" t="n">
        <v>2004</v>
      </c>
      <c r="U2805" s="16" t="n">
        <v>209</v>
      </c>
      <c r="V2805" s="16">
        <f>ROUNDUP((T2805+U2805+2*'Read Me'!$B$13)*(1+'Read Me'!$B$12),-1)</f>
        <v/>
      </c>
      <c r="W2805" s="16">
        <f>V2805*N2805*O2805</f>
        <v/>
      </c>
      <c r="X2805" s="12">
        <f>IF(LEFT(I2805,2)="MV",2*N2805*IF(L2805="1/C",O2805,1),0)</f>
        <v/>
      </c>
      <c r="Y2805" s="12">
        <f>IF(OR(LEFT(K2805,4)="LVAX",LEFT(K2805,6)="MV15AX",LEFT(K2805,4)="CTAX",LEFT(K2805,2)="W|"),2*N2805*O2805,0)</f>
        <v/>
      </c>
      <c r="Z2805" s="12" t="inlineStr">
        <is>
          <t>VD 2.9 %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LVAX|3/C+G|1/0</t>
        </is>
      </c>
      <c r="L2806" s="12" t="inlineStr">
        <is>
          <t>3/C+G</t>
        </is>
      </c>
      <c r="M2806" s="12" t="inlineStr">
        <is>
          <t>1/0</t>
        </is>
      </c>
      <c r="N2806" s="12" t="n">
        <v>1</v>
      </c>
      <c r="O2806" s="12" t="n">
        <v>1</v>
      </c>
      <c r="P2806" s="12" t="n">
        <v>480</v>
      </c>
      <c r="Q2806" s="12" t="n">
        <v>15</v>
      </c>
      <c r="R2806" s="12" t="n">
        <v>21.2</v>
      </c>
      <c r="S2806" s="12" t="inlineStr">
        <is>
          <t>Duct bank</t>
        </is>
      </c>
      <c r="T2806" s="16" t="n">
        <v>2254</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is>
          <t>VD 2.5 %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LV|3/C+G|350</t>
        </is>
      </c>
      <c r="L2807" s="12" t="inlineStr">
        <is>
          <t>3/C+G</t>
        </is>
      </c>
      <c r="M2807" s="12" t="inlineStr">
        <is>
          <t>350 kcmil</t>
        </is>
      </c>
      <c r="N2807" s="12" t="n">
        <v>2</v>
      </c>
      <c r="O2807" s="12" t="n">
        <v>1</v>
      </c>
      <c r="P2807" s="12" t="n">
        <v>480</v>
      </c>
      <c r="Q2807" s="12" t="n">
        <v>120</v>
      </c>
      <c r="R2807" s="12" t="n">
        <v>169.8</v>
      </c>
      <c r="S2807" s="12" t="inlineStr">
        <is>
          <t>Duct bank</t>
        </is>
      </c>
      <c r="T2807" s="16" t="n">
        <v>2010</v>
      </c>
      <c r="U2807" s="16" t="n">
        <v>220</v>
      </c>
      <c r="V2807" s="16">
        <f>ROUNDUP((T2807+U2807+2*'Read Me'!$B$13)*(1+'Read Me'!$B$12),-1)</f>
        <v/>
      </c>
      <c r="W2807" s="16">
        <f>V2807*N2807*O2807</f>
        <v/>
      </c>
      <c r="X2807" s="12">
        <f>IF(LEFT(I2807,2)="MV",2*N2807*IF(L2807="1/C",O2807,1),0)</f>
        <v/>
      </c>
      <c r="Y2807" s="12">
        <f>IF(OR(LEFT(K2807,4)="LVAX",LEFT(K2807,6)="MV15AX",LEFT(K2807,4)="CTAX",LEFT(K2807,2)="W|"),2*N2807*O2807,0)</f>
        <v/>
      </c>
      <c r="Z2807" s="12" t="inlineStr">
        <is>
          <t>VD 2.8 %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LV|3/C+G|2</t>
        </is>
      </c>
      <c r="L2832" s="12" t="inlineStr">
        <is>
          <t>3/C+G</t>
        </is>
      </c>
      <c r="M2832" s="12" t="inlineStr">
        <is>
          <t>2</t>
        </is>
      </c>
      <c r="N2832" s="12" t="n">
        <v>1</v>
      </c>
      <c r="O2832" s="12" t="n">
        <v>1</v>
      </c>
      <c r="P2832" s="12" t="n">
        <v>480</v>
      </c>
      <c r="Q2832" s="12" t="n">
        <v>10</v>
      </c>
      <c r="R2832" s="12" t="n">
        <v>14.2</v>
      </c>
      <c r="S2832" s="12" t="inlineStr">
        <is>
          <t>Duct bank</t>
        </is>
      </c>
      <c r="T2832" s="16" t="n">
        <v>1844</v>
      </c>
      <c r="U2832" s="16" t="n">
        <v>171</v>
      </c>
      <c r="V2832" s="16">
        <f>ROUNDUP((T2832+U2832+2*'Read Me'!$B$13)*(1+'Read Me'!$B$12),-1)</f>
        <v/>
      </c>
      <c r="W2832" s="16">
        <f>V2832*N2832*O2832</f>
        <v/>
      </c>
      <c r="X2832" s="12">
        <f>IF(LEFT(I2832,2)="MV",2*N2832*IF(L2832="1/C",O2832,1),0)</f>
        <v/>
      </c>
      <c r="Y2832" s="12">
        <f>IF(OR(LEFT(K2832,4)="LVAX",LEFT(K2832,6)="MV15AX",LEFT(K2832,4)="CTAX",LEFT(K2832,2)="W|"),2*N2832*O2832,0)</f>
        <v/>
      </c>
      <c r="Z2832" s="12" t="inlineStr">
        <is>
          <t>VD 2.2 %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1754</v>
      </c>
      <c r="U2859" s="16" t="n">
        <v>145</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LV|3/C+G|1</t>
        </is>
      </c>
      <c r="L2860" s="12" t="inlineStr">
        <is>
          <t>3/C+G</t>
        </is>
      </c>
      <c r="M2860" s="12" t="inlineStr">
        <is>
          <t>1</t>
        </is>
      </c>
      <c r="N2860" s="12" t="n">
        <v>1</v>
      </c>
      <c r="O2860" s="12" t="n">
        <v>1</v>
      </c>
      <c r="P2860" s="12" t="n">
        <v>480</v>
      </c>
      <c r="Q2860" s="12" t="n">
        <v>15</v>
      </c>
      <c r="R2860" s="12" t="n">
        <v>21.2</v>
      </c>
      <c r="S2860" s="12" t="inlineStr">
        <is>
          <t>Duct bank</t>
        </is>
      </c>
      <c r="T2860" s="16" t="n">
        <v>1859</v>
      </c>
      <c r="U2860" s="16" t="n">
        <v>212</v>
      </c>
      <c r="V2860" s="16">
        <f>ROUNDUP((T2860+U2860+2*'Read Me'!$B$13)*(1+'Read Me'!$B$12),-1)</f>
        <v/>
      </c>
      <c r="W2860" s="16">
        <f>V2860*N2860*O2860</f>
        <v/>
      </c>
      <c r="X2860" s="12">
        <f>IF(LEFT(I2860,2)="MV",2*N2860*IF(L2860="1/C",O2860,1),0)</f>
        <v/>
      </c>
      <c r="Y2860" s="12">
        <f>IF(OR(LEFT(K2860,4)="LVAX",LEFT(K2860,6)="MV15AX",LEFT(K2860,4)="CTAX",LEFT(K2860,2)="W|"),2*N2860*O2860,0)</f>
        <v/>
      </c>
      <c r="Z2860" s="12" t="inlineStr">
        <is>
          <t>VD 2.7 %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LV|3/C+G|1</t>
        </is>
      </c>
      <c r="L2861" s="12" t="inlineStr">
        <is>
          <t>3/C+G</t>
        </is>
      </c>
      <c r="M2861" s="12" t="inlineStr">
        <is>
          <t>1</t>
        </is>
      </c>
      <c r="N2861" s="12" t="n">
        <v>1</v>
      </c>
      <c r="O2861" s="12" t="n">
        <v>1</v>
      </c>
      <c r="P2861" s="12" t="n">
        <v>480</v>
      </c>
      <c r="Q2861" s="12" t="n">
        <v>15</v>
      </c>
      <c r="R2861" s="12" t="n">
        <v>21.2</v>
      </c>
      <c r="S2861" s="12" t="inlineStr">
        <is>
          <t>Duct bank</t>
        </is>
      </c>
      <c r="T2861" s="16" t="n">
        <v>1859</v>
      </c>
      <c r="U2861" s="16" t="n">
        <v>212</v>
      </c>
      <c r="V2861" s="16">
        <f>ROUNDUP((T2861+U2861+2*'Read Me'!$B$13)*(1+'Read Me'!$B$12),-1)</f>
        <v/>
      </c>
      <c r="W2861" s="16">
        <f>V2861*N2861*O2861</f>
        <v/>
      </c>
      <c r="X2861" s="12">
        <f>IF(LEFT(I2861,2)="MV",2*N2861*IF(L2861="1/C",O2861,1),0)</f>
        <v/>
      </c>
      <c r="Y2861" s="12">
        <f>IF(OR(LEFT(K2861,4)="LVAX",LEFT(K2861,6)="MV15AX",LEFT(K2861,4)="CTAX",LEFT(K2861,2)="W|"),2*N2861*O2861,0)</f>
        <v/>
      </c>
      <c r="Z2861" s="12" t="inlineStr">
        <is>
          <t>VD 2.7 %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1629</v>
      </c>
      <c r="U2868" s="16" t="n">
        <v>145</v>
      </c>
      <c r="V2868" s="16">
        <f>ROUNDUP((T2868+U2868+2*'Read Me'!$B$13)*(1+'Read Me'!$B$12),-1)</f>
        <v/>
      </c>
      <c r="W2868" s="16">
        <f>V2868*N2868*O2868</f>
        <v/>
      </c>
      <c r="X2868" s="12">
        <f>IF(LEFT(I2868,2)="MV",2*N2868*IF(L2868="1/C",O2868,1),0)</f>
        <v/>
      </c>
      <c r="Y2868" s="12">
        <f>IF(OR(LEFT(K2868,4)="LVAX",LEFT(K2868,6)="MV15AX",LEFT(K2868,4)="CTAX",LEFT(K2868,2)="W|"),2*N2868*O2868,0)</f>
        <v/>
      </c>
      <c r="Z2868" s="12" t="inlineStr">
        <is>
          <t>VD 2.9 %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1629</v>
      </c>
      <c r="U2869" s="16" t="n">
        <v>145</v>
      </c>
      <c r="V2869" s="16">
        <f>ROUNDUP((T2869+U2869+2*'Read Me'!$B$13)*(1+'Read Me'!$B$12),-1)</f>
        <v/>
      </c>
      <c r="W2869" s="16">
        <f>V2869*N2869*O2869</f>
        <v/>
      </c>
      <c r="X2869" s="12">
        <f>IF(LEFT(I2869,2)="MV",2*N2869*IF(L2869="1/C",O2869,1),0)</f>
        <v/>
      </c>
      <c r="Y2869" s="12">
        <f>IF(OR(LEFT(K2869,4)="LVAX",LEFT(K2869,6)="MV15AX",LEFT(K2869,4)="CTAX",LEFT(K2869,2)="W|"),2*N2869*O2869,0)</f>
        <v/>
      </c>
      <c r="Z2869" s="12" t="inlineStr">
        <is>
          <t>VD 2.9 %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626</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661</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33</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744</v>
      </c>
      <c r="U2896" s="16" t="n">
        <v>173</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744</v>
      </c>
      <c r="U2897" s="16" t="n">
        <v>173</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875</v>
      </c>
      <c r="U2898" s="16" t="n">
        <v>248</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356</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Tray</t>
        </is>
      </c>
      <c r="T2900" s="16" t="n">
        <v>2486</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1832</v>
      </c>
      <c r="U2901" s="16" t="n">
        <v>145</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1832</v>
      </c>
      <c r="U2902" s="16" t="n">
        <v>145</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6" t="n">
        <v>37</v>
      </c>
      <c r="U2903" s="16" t="n">
        <v>109</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33</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356</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37</v>
      </c>
      <c r="U2907" s="16" t="n">
        <v>109</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626</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661</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33</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356</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37</v>
      </c>
      <c r="U2913" s="16" t="n">
        <v>109</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626</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626</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661</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661</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366</v>
      </c>
      <c r="U2921" s="16" t="n">
        <v>60</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1454</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1024</v>
      </c>
      <c r="U2928" s="16" t="n">
        <v>194</v>
      </c>
      <c r="V2928" s="16">
        <f>ROUNDUP((T2928+U2928+2*'Read Me'!$B$13)*(1+'Read Me'!$B$12),-1)</f>
        <v/>
      </c>
      <c r="W2928" s="16">
        <f>V2928*N2928*O2928</f>
        <v/>
      </c>
      <c r="X2928" s="12">
        <f>IF(LEFT(I2928,2)="MV",2*N2928*IF(L2928="1/C",O2928,1),0)</f>
        <v/>
      </c>
      <c r="Y2928" s="12">
        <f>IF(OR(LEFT(K2928,4)="LVAX",LEFT(K2928,6)="MV15AX",LEFT(K2928,4)="CTAX",LEFT(K2928,2)="W|"),2*N2928*O2928,0)</f>
        <v/>
      </c>
      <c r="Z2928" s="12" t="inlineStr">
        <is>
          <t>VD 2.1 %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1020</v>
      </c>
      <c r="U2929" s="16" t="n">
        <v>145</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875</v>
      </c>
      <c r="U2930" s="16" t="n">
        <v>219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LV|3/C+G|2</t>
        </is>
      </c>
      <c r="L2931" s="12" t="inlineStr">
        <is>
          <t>3/C+G</t>
        </is>
      </c>
      <c r="M2931" s="12" t="inlineStr">
        <is>
          <t>2</t>
        </is>
      </c>
      <c r="N2931" s="12" t="n">
        <v>1</v>
      </c>
      <c r="O2931" s="12" t="n">
        <v>1</v>
      </c>
      <c r="P2931" s="12" t="n">
        <v>480</v>
      </c>
      <c r="Q2931" s="12" t="n">
        <v>15</v>
      </c>
      <c r="R2931" s="12" t="n">
        <v>21.2</v>
      </c>
      <c r="S2931" s="12" t="inlineStr">
        <is>
          <t>Tray</t>
        </is>
      </c>
      <c r="T2931" s="16" t="n">
        <v>981</v>
      </c>
      <c r="U2931" s="16" t="n">
        <v>193</v>
      </c>
      <c r="V2931" s="16">
        <f>ROUNDUP((T2931+U2931+2*'Read Me'!$B$13)*(1+'Read Me'!$B$12),-1)</f>
        <v/>
      </c>
      <c r="W2931" s="16">
        <f>V2931*N2931*O2931</f>
        <v/>
      </c>
      <c r="X2931" s="12">
        <f>IF(LEFT(I2931,2)="MV",2*N2931*IF(L2931="1/C",O2931,1),0)</f>
        <v/>
      </c>
      <c r="Y2931" s="12">
        <f>IF(OR(LEFT(K2931,4)="LVAX",LEFT(K2931,6)="MV15AX",LEFT(K2931,4)="CTAX",LEFT(K2931,2)="W|"),2*N2931*O2931,0)</f>
        <v/>
      </c>
      <c r="Z2931" s="12" t="inlineStr">
        <is>
          <t>VD 1.9 %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1049</v>
      </c>
      <c r="U2932" s="16" t="n">
        <v>145</v>
      </c>
      <c r="V2932" s="16">
        <f>ROUNDUP((T2932+U2932+2*'Read Me'!$B$13)*(1+'Read Me'!$B$12),-1)</f>
        <v/>
      </c>
      <c r="W2932" s="16">
        <f>V2932*N2932*O2932</f>
        <v/>
      </c>
      <c r="X2932" s="12">
        <f>IF(LEFT(I2932,2)="MV",2*N2932*IF(L2932="1/C",O2932,1),0)</f>
        <v/>
      </c>
      <c r="Y2932" s="12">
        <f>IF(OR(LEFT(K2932,4)="LVAX",LEFT(K2932,6)="MV15AX",LEFT(K2932,4)="CTAX",LEFT(K2932,2)="W|"),2*N2932*O2932,0)</f>
        <v/>
      </c>
      <c r="Z2932" s="12" t="inlineStr">
        <is>
          <t>VD 2.5 %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744</v>
      </c>
      <c r="U2933" s="16" t="n">
        <v>173</v>
      </c>
      <c r="V2933" s="16">
        <f>ROUNDUP((T2933+U2933+2*'Read Me'!$B$13)*(1+'Read Me'!$B$12),-1)</f>
        <v/>
      </c>
      <c r="W2933" s="16">
        <f>V2933*N2933*O2933</f>
        <v/>
      </c>
      <c r="X2933" s="12">
        <f>IF(LEFT(I2933,2)="MV",2*N2933*IF(L2933="1/C",O2933,1),0)</f>
        <v/>
      </c>
      <c r="Y2933" s="12">
        <f>IF(OR(LEFT(K2933,4)="LVAX",LEFT(K2933,6)="MV15AX",LEFT(K2933,4)="CTAX",LEFT(K2933,2)="W|"),2*N2933*O2933,0)</f>
        <v/>
      </c>
      <c r="Z2933" s="12" t="inlineStr">
        <is>
          <t>VD 2.8 %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744</v>
      </c>
      <c r="U2934" s="16" t="n">
        <v>173</v>
      </c>
      <c r="V2934" s="16">
        <f>ROUNDUP((T2934+U2934+2*'Read Me'!$B$13)*(1+'Read Me'!$B$12),-1)</f>
        <v/>
      </c>
      <c r="W2934" s="16">
        <f>V2934*N2934*O2934</f>
        <v/>
      </c>
      <c r="X2934" s="12">
        <f>IF(LEFT(I2934,2)="MV",2*N2934*IF(L2934="1/C",O2934,1),0)</f>
        <v/>
      </c>
      <c r="Y2934" s="12">
        <f>IF(OR(LEFT(K2934,4)="LVAX",LEFT(K2934,6)="MV15AX",LEFT(K2934,4)="CTAX",LEFT(K2934,2)="W|"),2*N2934*O2934,0)</f>
        <v/>
      </c>
      <c r="Z2934" s="12" t="inlineStr">
        <is>
          <t>VD 2.8 %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LV|3/C+G|2/0</t>
        </is>
      </c>
      <c r="L2935" s="12" t="inlineStr">
        <is>
          <t>3/C+G</t>
        </is>
      </c>
      <c r="M2935" s="12" t="inlineStr">
        <is>
          <t>2/0</t>
        </is>
      </c>
      <c r="N2935" s="12" t="n">
        <v>1</v>
      </c>
      <c r="O2935" s="12" t="n">
        <v>1</v>
      </c>
      <c r="P2935" s="12" t="n">
        <v>480</v>
      </c>
      <c r="Q2935" s="12" t="n">
        <v>60</v>
      </c>
      <c r="R2935" s="12" t="n">
        <v>84.90000000000001</v>
      </c>
      <c r="S2935" s="12" t="inlineStr">
        <is>
          <t>Tray</t>
        </is>
      </c>
      <c r="T2935" s="16" t="n">
        <v>734</v>
      </c>
      <c r="U2935" s="16" t="n">
        <v>145</v>
      </c>
      <c r="V2935" s="16">
        <f>ROUNDUP((T2935+U2935+2*'Read Me'!$B$13)*(1+'Read Me'!$B$12),-1)</f>
        <v/>
      </c>
      <c r="W2935" s="16">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1832</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2.1 %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1832</v>
      </c>
      <c r="U2938" s="16" t="n">
        <v>145</v>
      </c>
      <c r="V2938" s="16">
        <f>ROUNDUP((T2938+U2938+2*'Read Me'!$B$13)*(1+'Read Me'!$B$12),-1)</f>
        <v/>
      </c>
      <c r="W2938" s="16">
        <f>V2938*N2938*O2938</f>
        <v/>
      </c>
      <c r="X2938" s="12">
        <f>IF(LEFT(I2938,2)="MV",2*N2938*IF(L2938="1/C",O2938,1),0)</f>
        <v/>
      </c>
      <c r="Y2938" s="12">
        <f>IF(OR(LEFT(K2938,4)="LVAX",LEFT(K2938,6)="MV15AX",LEFT(K2938,4)="CTAX",LEFT(K2938,2)="W|"),2*N2938*O2938,0)</f>
        <v/>
      </c>
      <c r="Z2938" s="12" t="inlineStr">
        <is>
          <t>VD 2.1 %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734</v>
      </c>
      <c r="U2939" s="16" t="n">
        <v>204</v>
      </c>
      <c r="V2939" s="16">
        <f>ROUNDUP((T2939+U2939+2*'Read Me'!$B$13)*(1+'Read Me'!$B$12),-1)</f>
        <v/>
      </c>
      <c r="W2939" s="16">
        <f>V2939*N2939*O2939</f>
        <v/>
      </c>
      <c r="X2939" s="12">
        <f>IF(LEFT(I2939,2)="MV",2*N2939*IF(L2939="1/C",O2939,1),0)</f>
        <v/>
      </c>
      <c r="Y2939" s="12">
        <f>IF(OR(LEFT(K2939,4)="LVAX",LEFT(K2939,6)="MV15AX",LEFT(K2939,4)="CTAX",LEFT(K2939,2)="W|"),2*N2939*O2939,0)</f>
        <v/>
      </c>
      <c r="Z2939" s="12" t="inlineStr">
        <is>
          <t>VD 2.8 %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570</v>
      </c>
      <c r="U2943" s="16" t="n">
        <v>80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570</v>
      </c>
      <c r="U2944" s="16" t="n">
        <v>80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552</v>
      </c>
      <c r="U2953" s="16" t="n">
        <v>81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552</v>
      </c>
      <c r="U2954" s="16" t="n">
        <v>81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410</v>
      </c>
      <c r="U2955" s="16" t="n">
        <v>80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410</v>
      </c>
      <c r="U2956" s="16" t="n">
        <v>80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392</v>
      </c>
      <c r="U2965" s="16" t="n">
        <v>81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392</v>
      </c>
      <c r="U2966" s="16" t="n">
        <v>81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250</v>
      </c>
      <c r="U2967" s="16" t="n">
        <v>80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250</v>
      </c>
      <c r="U2968" s="16" t="n">
        <v>80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232</v>
      </c>
      <c r="U2977" s="16" t="n">
        <v>81</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232</v>
      </c>
      <c r="U2978" s="16" t="n">
        <v>81</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6" t="n">
        <v>16</v>
      </c>
      <c r="U2987" s="16" t="n">
        <v>150</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6" t="n">
        <v>16</v>
      </c>
      <c r="U2988" s="16" t="n">
        <v>150</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361</v>
      </c>
      <c r="U2993" s="16" t="n">
        <v>32</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361</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409</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409</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515</v>
      </c>
      <c r="U3072" s="16" t="n">
        <v>164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515</v>
      </c>
      <c r="U3073" s="16" t="n">
        <v>164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415</v>
      </c>
      <c r="U3074" s="16" t="n">
        <v>122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415</v>
      </c>
      <c r="U3075" s="16" t="n">
        <v>122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195</v>
      </c>
      <c r="U3076" s="16" t="n">
        <v>164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195</v>
      </c>
      <c r="U3077" s="16" t="n">
        <v>164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Duct bank</t>
        </is>
      </c>
      <c r="T3078" s="16" t="n">
        <v>1436</v>
      </c>
      <c r="U3078" s="16" t="n">
        <v>124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Duct bank</t>
        </is>
      </c>
      <c r="T3079" s="16" t="n">
        <v>1436</v>
      </c>
      <c r="U3079" s="16" t="n">
        <v>124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1280</v>
      </c>
      <c r="U3080" s="16" t="n">
        <v>120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1280</v>
      </c>
      <c r="U3081" s="16" t="n">
        <v>120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1116</v>
      </c>
      <c r="U3082" s="16" t="n">
        <v>124</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1116</v>
      </c>
      <c r="U3083" s="16" t="n">
        <v>124</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465</v>
      </c>
      <c r="U3120" s="16" t="n">
        <v>96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465</v>
      </c>
      <c r="U3121" s="16" t="n">
        <v>96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305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305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145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145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Tray</t>
        </is>
      </c>
      <c r="T3126" s="16" t="n">
        <v>2379</v>
      </c>
      <c r="U3126" s="16" t="n">
        <v>333</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Duct bank</t>
        </is>
      </c>
      <c r="T3127" s="16" t="n">
        <v>2585</v>
      </c>
      <c r="U3127" s="16" t="n">
        <v>264</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Duct bank</t>
        </is>
      </c>
      <c r="T3128" s="16" t="n">
        <v>3200</v>
      </c>
      <c r="U3128" s="16" t="n">
        <v>264</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821</v>
      </c>
      <c r="U3131" s="16" t="n">
        <v>101</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939</v>
      </c>
      <c r="U3133" s="16" t="n">
        <v>149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921</v>
      </c>
      <c r="U3143" s="16" t="n">
        <v>150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779</v>
      </c>
      <c r="U3147" s="16" t="n">
        <v>149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761</v>
      </c>
      <c r="U3157" s="16" t="n">
        <v>150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619</v>
      </c>
      <c r="U3161" s="16" t="n">
        <v>149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601</v>
      </c>
      <c r="U3171" s="16" t="n">
        <v>150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861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701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385</v>
      </c>
      <c r="U3199" s="16" t="n">
        <v>219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821</v>
      </c>
      <c r="U3217" s="16" t="n">
        <v>141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911</v>
      </c>
      <c r="U3221" s="16" t="n">
        <v>111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884</v>
      </c>
      <c r="U3295" s="16" t="n">
        <v>233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121</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129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784</v>
      </c>
      <c r="U3303" s="16" t="n">
        <v>191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121</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129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564</v>
      </c>
      <c r="U3311" s="16" t="n">
        <v>233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121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541</v>
      </c>
      <c r="U3315" s="16" t="n">
        <v>129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Tray</t>
        </is>
      </c>
      <c r="T3319" s="16" t="n">
        <v>1230</v>
      </c>
      <c r="U3319" s="16" t="n">
        <v>193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1074</v>
      </c>
      <c r="U3323" s="16" t="n">
        <v>189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910</v>
      </c>
      <c r="U3327" s="16" t="n">
        <v>193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834</v>
      </c>
      <c r="U3347" s="16" t="n">
        <v>181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674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834</v>
      </c>
      <c r="U3405" s="16" t="n">
        <v>165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674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514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570</v>
      </c>
      <c r="U3416" s="16" t="n">
        <v>80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570</v>
      </c>
      <c r="U3417" s="16" t="n">
        <v>80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2.8 %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870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870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570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VD 2.4 %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570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VD 2.4 %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552</v>
      </c>
      <c r="U3434" s="16" t="n">
        <v>81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552</v>
      </c>
      <c r="U3435" s="16" t="n">
        <v>81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410</v>
      </c>
      <c r="U3436" s="16" t="n">
        <v>80</v>
      </c>
      <c r="V3436" s="16">
        <f>ROUNDUP((T3436+U3436+2*'Read Me'!$B$13)*(1+'Read Me'!$B$12),-1)</f>
        <v/>
      </c>
      <c r="W3436" s="16">
        <f>V3436*N3436*O3436</f>
        <v/>
      </c>
      <c r="X3436" s="12">
        <f>IF(LEFT(I3436,2)="MV",2*N3436*IF(L3436="1/C",O3436,1),0)</f>
        <v/>
      </c>
      <c r="Y3436" s="12">
        <f>IF(OR(LEFT(K3436,4)="LVAX",LEFT(K3436,6)="MV15AX",LEFT(K3436,4)="CTAX",LEFT(K3436,2)="W|"),2*N3436*O3436,0)</f>
        <v/>
      </c>
      <c r="Z3436" s="12" t="inlineStr">
        <is>
          <t>VD 0.8 %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410</v>
      </c>
      <c r="U3437" s="16" t="n">
        <v>80</v>
      </c>
      <c r="V3437" s="16">
        <f>ROUNDUP((T3437+U3437+2*'Read Me'!$B$13)*(1+'Read Me'!$B$12),-1)</f>
        <v/>
      </c>
      <c r="W3437" s="16">
        <f>V3437*N3437*O3437</f>
        <v/>
      </c>
      <c r="X3437" s="12">
        <f>IF(LEFT(I3437,2)="MV",2*N3437*IF(L3437="1/C",O3437,1),0)</f>
        <v/>
      </c>
      <c r="Y3437" s="12">
        <f>IF(OR(LEFT(K3437,4)="LVAX",LEFT(K3437,6)="MV15AX",LEFT(K3437,4)="CTAX",LEFT(K3437,2)="W|"),2*N3437*O3437,0)</f>
        <v/>
      </c>
      <c r="Z3437" s="12" t="inlineStr">
        <is>
          <t>VD 0.8 %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2.1 %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LV|3/C+G|2</t>
        </is>
      </c>
      <c r="L3450" s="12" t="inlineStr">
        <is>
          <t>3/C+G</t>
        </is>
      </c>
      <c r="M3450" s="12" t="inlineStr">
        <is>
          <t>2</t>
        </is>
      </c>
      <c r="N3450" s="12" t="n">
        <v>1</v>
      </c>
      <c r="O3450" s="12" t="n">
        <v>1</v>
      </c>
      <c r="P3450" s="12" t="n">
        <v>480</v>
      </c>
      <c r="Q3450" s="12" t="n">
        <v>60</v>
      </c>
      <c r="R3450" s="12" t="n">
        <v>76</v>
      </c>
      <c r="S3450" s="12" t="inlineStr">
        <is>
          <t>Tray</t>
        </is>
      </c>
      <c r="T3450" s="16" t="n">
        <v>410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VD 2.9 %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LV|3/C+G|2</t>
        </is>
      </c>
      <c r="L3451" s="12" t="inlineStr">
        <is>
          <t>3/C+G</t>
        </is>
      </c>
      <c r="M3451" s="12" t="inlineStr">
        <is>
          <t>2</t>
        </is>
      </c>
      <c r="N3451" s="12" t="n">
        <v>1</v>
      </c>
      <c r="O3451" s="12" t="n">
        <v>1</v>
      </c>
      <c r="P3451" s="12" t="n">
        <v>480</v>
      </c>
      <c r="Q3451" s="12" t="n">
        <v>60</v>
      </c>
      <c r="R3451" s="12" t="n">
        <v>76</v>
      </c>
      <c r="S3451" s="12" t="inlineStr">
        <is>
          <t>Tray</t>
        </is>
      </c>
      <c r="T3451" s="16" t="n">
        <v>410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VD 2.9 %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392</v>
      </c>
      <c r="U3454" s="16" t="n">
        <v>81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392</v>
      </c>
      <c r="U3455" s="16" t="n">
        <v>81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250</v>
      </c>
      <c r="U3456" s="16" t="n">
        <v>80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250</v>
      </c>
      <c r="U3457" s="16" t="n">
        <v>80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2.3 %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550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550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250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VD 1.9 %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250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VD 1.9 %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232</v>
      </c>
      <c r="U3474" s="16" t="n">
        <v>81</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232</v>
      </c>
      <c r="U3475" s="16" t="n">
        <v>81</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Tray</t>
        </is>
      </c>
      <c r="T3493" s="16" t="n">
        <v>16</v>
      </c>
      <c r="U3493" s="16" t="n">
        <v>150</v>
      </c>
      <c r="V3493" s="16">
        <f>ROUNDUP((T3493+U3493+2*'Read Me'!$B$13)*(1+'Read Me'!$B$12),-1)</f>
        <v/>
      </c>
      <c r="W3493" s="16">
        <f>V3493*N3493*O3493</f>
        <v/>
      </c>
      <c r="X3493" s="12">
        <f>IF(LEFT(I3493,2)="MV",2*N3493*IF(L3493="1/C",O3493,1),0)</f>
        <v/>
      </c>
      <c r="Y3493" s="12">
        <f>IF(OR(LEFT(K3493,4)="LVAX",LEFT(K3493,6)="MV15AX",LEFT(K3493,4)="CTAX",LEFT(K3493,2)="W|"),2*N3493*O3493,0)</f>
        <v/>
      </c>
      <c r="Z3493" s="12" t="inlineStr">
        <is>
          <t>VD 1.7 %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Tray</t>
        </is>
      </c>
      <c r="T3494" s="16" t="n">
        <v>16</v>
      </c>
      <c r="U3494" s="16" t="n">
        <v>150</v>
      </c>
      <c r="V3494" s="16">
        <f>ROUNDUP((T3494+U3494+2*'Read Me'!$B$13)*(1+'Read Me'!$B$12),-1)</f>
        <v/>
      </c>
      <c r="W3494" s="16">
        <f>V3494*N3494*O3494</f>
        <v/>
      </c>
      <c r="X3494" s="12">
        <f>IF(LEFT(I3494,2)="MV",2*N3494*IF(L3494="1/C",O3494,1),0)</f>
        <v/>
      </c>
      <c r="Y3494" s="12">
        <f>IF(OR(LEFT(K3494,4)="LVAX",LEFT(K3494,6)="MV15AX",LEFT(K3494,4)="CTAX",LEFT(K3494,2)="W|"),2*N3494*O3494,0)</f>
        <v/>
      </c>
      <c r="Z3494" s="12" t="inlineStr">
        <is>
          <t>VD 1.7 %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361</v>
      </c>
      <c r="U3503" s="16" t="n">
        <v>32</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361</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409</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409</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42</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42</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Duct bank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Duct bank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515</v>
      </c>
      <c r="U3589" s="16" t="n">
        <v>164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515</v>
      </c>
      <c r="U3590" s="16" t="n">
        <v>164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60</v>
      </c>
      <c r="V3591" s="16">
        <f>ROUNDUP((T3591+U3591+2*'Read Me'!$B$13)*(1+'Read Me'!$B$12),-1)</f>
        <v/>
      </c>
      <c r="W3591" s="16">
        <f>V3591*N3591*O3591</f>
        <v/>
      </c>
      <c r="X3591" s="12">
        <f>IF(LEFT(I3591,2)="MV",2*N3591*IF(L3591="1/C",O3591,1),0)</f>
        <v/>
      </c>
      <c r="Y3591" s="12">
        <f>IF(OR(LEFT(K3591,4)="LVAX",LEFT(K3591,6)="MV15AX",LEFT(K3591,4)="CTAX",LEFT(K3591,2)="W|"),2*N3591*O3591,0)</f>
        <v/>
      </c>
      <c r="Z3591" s="12" t="inlineStr">
        <is>
          <t>VD 2.2 %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60</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415</v>
      </c>
      <c r="U3593" s="16" t="n">
        <v>122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415</v>
      </c>
      <c r="U3594" s="16" t="n">
        <v>122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60</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60</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195</v>
      </c>
      <c r="U3597" s="16" t="n">
        <v>164</v>
      </c>
      <c r="V3597" s="16">
        <f>ROUNDUP((T3597+U3597+2*'Read Me'!$B$13)*(1+'Read Me'!$B$12),-1)</f>
        <v/>
      </c>
      <c r="W3597" s="16">
        <f>V3597*N3597*O3597</f>
        <v/>
      </c>
      <c r="X3597" s="12">
        <f>IF(LEFT(I3597,2)="MV",2*N3597*IF(L3597="1/C",O3597,1),0)</f>
        <v/>
      </c>
      <c r="Y3597" s="12">
        <f>IF(OR(LEFT(K3597,4)="LVAX",LEFT(K3597,6)="MV15AX",LEFT(K3597,4)="CTAX",LEFT(K3597,2)="W|"),2*N3597*O3597,0)</f>
        <v/>
      </c>
      <c r="Z3597" s="12" t="inlineStr">
        <is>
          <t>VD 1.0 %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195</v>
      </c>
      <c r="U3598" s="16" t="n">
        <v>164</v>
      </c>
      <c r="V3598" s="16">
        <f>ROUNDUP((T3598+U3598+2*'Read Me'!$B$13)*(1+'Read Me'!$B$12),-1)</f>
        <v/>
      </c>
      <c r="W3598" s="16">
        <f>V3598*N3598*O3598</f>
        <v/>
      </c>
      <c r="X3598" s="12">
        <f>IF(LEFT(I3598,2)="MV",2*N3598*IF(L3598="1/C",O3598,1),0)</f>
        <v/>
      </c>
      <c r="Y3598" s="12">
        <f>IF(OR(LEFT(K3598,4)="LVAX",LEFT(K3598,6)="MV15AX",LEFT(K3598,4)="CTAX",LEFT(K3598,2)="W|"),2*N3598*O3598,0)</f>
        <v/>
      </c>
      <c r="Z3598" s="12" t="inlineStr">
        <is>
          <t>VD 1.0 %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60</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60</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15</v>
      </c>
      <c r="R3601" s="12" t="n">
        <v>21.2</v>
      </c>
      <c r="S3601" s="12" t="inlineStr">
        <is>
          <t>Duct bank</t>
        </is>
      </c>
      <c r="T3601" s="16" t="n">
        <v>1436</v>
      </c>
      <c r="U3601" s="16" t="n">
        <v>124</v>
      </c>
      <c r="V3601" s="16">
        <f>ROUNDUP((T3601+U3601+2*'Read Me'!$B$13)*(1+'Read Me'!$B$12),-1)</f>
        <v/>
      </c>
      <c r="W3601" s="16">
        <f>V3601*N3601*O3601</f>
        <v/>
      </c>
      <c r="X3601" s="12">
        <f>IF(LEFT(I3601,2)="MV",2*N3601*IF(L3601="1/C",O3601,1),0)</f>
        <v/>
      </c>
      <c r="Y3601" s="12">
        <f>IF(OR(LEFT(K3601,4)="LVAX",LEFT(K3601,6)="MV15AX",LEFT(K3601,4)="CTAX",LEFT(K3601,2)="W|"),2*N3601*O3601,0)</f>
        <v/>
      </c>
      <c r="Z3601" s="12" t="inlineStr">
        <is>
          <t>VD 2.5 %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15</v>
      </c>
      <c r="R3602" s="12" t="n">
        <v>21.2</v>
      </c>
      <c r="S3602" s="12" t="inlineStr">
        <is>
          <t>Duct bank</t>
        </is>
      </c>
      <c r="T3602" s="16" t="n">
        <v>1436</v>
      </c>
      <c r="U3602" s="16" t="n">
        <v>124</v>
      </c>
      <c r="V3602" s="16">
        <f>ROUNDUP((T3602+U3602+2*'Read Me'!$B$13)*(1+'Read Me'!$B$12),-1)</f>
        <v/>
      </c>
      <c r="W3602" s="16">
        <f>V3602*N3602*O3602</f>
        <v/>
      </c>
      <c r="X3602" s="12">
        <f>IF(LEFT(I3602,2)="MV",2*N3602*IF(L3602="1/C",O3602,1),0)</f>
        <v/>
      </c>
      <c r="Y3602" s="12">
        <f>IF(OR(LEFT(K3602,4)="LVAX",LEFT(K3602,6)="MV15AX",LEFT(K3602,4)="CTAX",LEFT(K3602,2)="W|"),2*N3602*O3602,0)</f>
        <v/>
      </c>
      <c r="Z3602" s="12" t="inlineStr">
        <is>
          <t>VD 2.5 %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1280</v>
      </c>
      <c r="U3603" s="16" t="n">
        <v>120</v>
      </c>
      <c r="V3603" s="16">
        <f>ROUNDUP((T3603+U3603+2*'Read Me'!$B$13)*(1+'Read Me'!$B$12),-1)</f>
        <v/>
      </c>
      <c r="W3603" s="16">
        <f>V3603*N3603*O3603</f>
        <v/>
      </c>
      <c r="X3603" s="12">
        <f>IF(LEFT(I3603,2)="MV",2*N3603*IF(L3603="1/C",O3603,1),0)</f>
        <v/>
      </c>
      <c r="Y3603" s="12">
        <f>IF(OR(LEFT(K3603,4)="LVAX",LEFT(K3603,6)="MV15AX",LEFT(K3603,4)="CTAX",LEFT(K3603,2)="W|"),2*N3603*O3603,0)</f>
        <v/>
      </c>
      <c r="Z3603" s="12" t="inlineStr">
        <is>
          <t>VD 2.3 %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1280</v>
      </c>
      <c r="U3604" s="16" t="n">
        <v>120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1116</v>
      </c>
      <c r="U3605" s="16" t="n">
        <v>124</v>
      </c>
      <c r="V3605" s="16">
        <f>ROUNDUP((T3605+U3605+2*'Read Me'!$B$13)*(1+'Read Me'!$B$12),-1)</f>
        <v/>
      </c>
      <c r="W3605" s="16">
        <f>V3605*N3605*O3605</f>
        <v/>
      </c>
      <c r="X3605" s="12">
        <f>IF(LEFT(I3605,2)="MV",2*N3605*IF(L3605="1/C",O3605,1),0)</f>
        <v/>
      </c>
      <c r="Y3605" s="12">
        <f>IF(OR(LEFT(K3605,4)="LVAX",LEFT(K3605,6)="MV15AX",LEFT(K3605,4)="CTAX",LEFT(K3605,2)="W|"),2*N3605*O3605,0)</f>
        <v/>
      </c>
      <c r="Z3605" s="12" t="inlineStr">
        <is>
          <t>VD 2.0 %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1116</v>
      </c>
      <c r="U3606" s="16" t="n">
        <v>124</v>
      </c>
      <c r="V3606" s="16">
        <f>ROUNDUP((T3606+U3606+2*'Read Me'!$B$13)*(1+'Read Me'!$B$12),-1)</f>
        <v/>
      </c>
      <c r="W3606" s="16">
        <f>V3606*N3606*O3606</f>
        <v/>
      </c>
      <c r="X3606" s="12">
        <f>IF(LEFT(I3606,2)="MV",2*N3606*IF(L3606="1/C",O3606,1),0)</f>
        <v/>
      </c>
      <c r="Y3606" s="12">
        <f>IF(OR(LEFT(K3606,4)="LVAX",LEFT(K3606,6)="MV15AX",LEFT(K3606,4)="CTAX",LEFT(K3606,2)="W|"),2*N3606*O3606,0)</f>
        <v/>
      </c>
      <c r="Z3606" s="12" t="inlineStr">
        <is>
          <t>VD 2.0 %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Duct bank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465</v>
      </c>
      <c r="U3667" s="16" t="n">
        <v>96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465</v>
      </c>
      <c r="U3668" s="16" t="n">
        <v>96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305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1.9 %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305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1.9 %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145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1.1 %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145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1.1 %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Tray</t>
        </is>
      </c>
      <c r="T3675" s="16" t="n">
        <v>16</v>
      </c>
      <c r="U3675" s="16" t="n">
        <v>150</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409</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925</v>
      </c>
      <c r="U3682" s="16" t="n">
        <v>32</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925</v>
      </c>
      <c r="U3683" s="16" t="n">
        <v>32</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925</v>
      </c>
      <c r="U3684" s="16" t="n">
        <v>72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925</v>
      </c>
      <c r="U3685" s="16" t="n">
        <v>72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465</v>
      </c>
      <c r="U3688" s="16" t="n">
        <v>112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465</v>
      </c>
      <c r="U3689" s="16" t="n">
        <v>112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305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305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Duct bank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Duct bank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180</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180</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162</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162</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Trench</t>
        </is>
      </c>
      <c r="T3807" s="16" t="n">
        <v>2496</v>
      </c>
      <c r="U3807" s="16" t="n">
        <v>36</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Trench</t>
        </is>
      </c>
      <c r="T3808" s="16" t="n">
        <v>2583</v>
      </c>
      <c r="U3808" s="16" t="n">
        <v>76</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162</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180</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180</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Duct bank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c r="F4093" s="12" t="inlineStr">
        <is>
          <t>Lube oil / starting air / oily water building</t>
        </is>
      </c>
      <c r="G4093" s="12" t="inlineStr"/>
      <c r="H4093" s="12" t="inlineStr">
        <is>
          <t>Lube oil / starting air / oily water building</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10560</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is>
          <t>MOD-EH</t>
        </is>
      </c>
      <c r="F4094" s="12" t="inlineStr">
        <is>
          <t>MOD-EH: 13.8 kV modular collector e-house</t>
        </is>
      </c>
      <c r="G4094" s="12" t="inlineStr">
        <is>
          <t>MOD-EH</t>
        </is>
      </c>
      <c r="H4094" s="12" t="inlineStr">
        <is>
          <t>MOD-EH: 13.8 kV modular collector e-house</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2560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c r="F4095" s="12" t="inlineStr">
        <is>
          <t>PCM: power control module</t>
        </is>
      </c>
      <c r="G4095" s="12" t="inlineStr"/>
      <c r="H4095" s="12" t="inlineStr">
        <is>
          <t>PCM: power control module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5120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RICE CEMS</t>
        </is>
      </c>
      <c r="G4096" s="12" t="inlineStr"/>
      <c r="H4096" s="12" t="inlineStr">
        <is>
          <t>RICE CEMS</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I-C-0001</t>
        </is>
      </c>
      <c r="B4097" s="12" t="inlineStr">
        <is>
          <t>I</t>
        </is>
      </c>
      <c r="C4097" s="12" t="inlineStr">
        <is>
          <t>Modular / portable power</t>
        </is>
      </c>
      <c r="D4097" s="12" t="inlineStr">
        <is>
          <t>Control</t>
        </is>
      </c>
      <c r="E4097" s="12" t="inlineStr"/>
      <c r="F4097" s="12" t="inlineStr">
        <is>
          <t>PCM: power control module</t>
        </is>
      </c>
      <c r="G4097" s="12" t="inlineStr"/>
      <c r="H4097" s="12" t="inlineStr">
        <is>
          <t>BS black-start switchgear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6" t="n">
        <v>562</v>
      </c>
      <c r="U4097" s="16" t="n">
        <v>64</v>
      </c>
      <c r="V4097" s="16">
        <f>ROUNDUP((T4097+U4097+2*'Read Me'!$B$13)*(1+'Read Me'!$B$12),-1)</f>
        <v/>
      </c>
      <c r="W4097" s="16">
        <f>V4097*N4097*O4097</f>
        <v/>
      </c>
      <c r="X4097" s="12">
        <f>IF(LEFT(I4097,2)="MV",2*N4097*IF(L4097="1/C",O4097,1),0)</f>
        <v/>
      </c>
      <c r="Y4097" s="12">
        <f>IF(OR(LEFT(K4097,4)="LVAX",LEFT(K4097,6)="MV15AX",LEFT(K4097,4)="CTAX",LEFT(K4097,2)="W|"),2*N4097*O4097,0)</f>
        <v/>
      </c>
      <c r="Z4097" s="12" t="inlineStr"/>
      <c r="AA4097" s="12">
        <f>N4097*O4097</f>
        <v/>
      </c>
    </row>
    <row r="4098">
      <c r="A4098" s="12" t="inlineStr">
        <is>
          <t>I-C-0002</t>
        </is>
      </c>
      <c r="B4098" s="12" t="inlineStr">
        <is>
          <t>I</t>
        </is>
      </c>
      <c r="C4098" s="12" t="inlineStr">
        <is>
          <t>Modular / portable power</t>
        </is>
      </c>
      <c r="D4098" s="12" t="inlineStr">
        <is>
          <t>Control</t>
        </is>
      </c>
      <c r="E4098" s="12" t="inlineStr"/>
      <c r="F4098" s="12" t="inlineStr">
        <is>
          <t>PCM: power control module</t>
        </is>
      </c>
      <c r="G4098" s="12" t="inlineStr"/>
      <c r="H4098" s="12" t="inlineStr">
        <is>
          <t>CONDITIONAL: BESS black-start alternative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I-C-0003</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SC-1 inlet chiller / evaporative cooler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40</v>
      </c>
      <c r="U4099" s="16" t="n">
        <v>52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I-C-0004</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SC-2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HV duct bank</t>
        </is>
      </c>
      <c r="T4100" s="16" t="n">
        <v>4528</v>
      </c>
      <c r="U4100" s="16" t="n">
        <v>38</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I-C-0005</t>
        </is>
      </c>
      <c r="B4101" s="12" t="inlineStr">
        <is>
          <t>I</t>
        </is>
      </c>
      <c r="C4101" s="12" t="inlineStr">
        <is>
          <t>Modular / portable power</t>
        </is>
      </c>
      <c r="D4101" s="12" t="inlineStr">
        <is>
          <t>Control</t>
        </is>
      </c>
      <c r="E4101" s="12" t="inlineStr">
        <is>
          <t>PAD-EH</t>
        </is>
      </c>
      <c r="F4101" s="12" t="inlineStr">
        <is>
          <t>PAD-EH 13.8 kV switchgear e-house</t>
        </is>
      </c>
      <c r="G4101" s="12" t="inlineStr"/>
      <c r="H4101" s="12" t="inlineStr">
        <is>
          <t>FC-5..12 inverter / AC cabinet / desulfurizer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Surface</t>
        </is>
      </c>
      <c r="T4101" s="16" t="n">
        <v>202</v>
      </c>
      <c r="U4101" s="16" t="n">
        <v>37</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I-C-0006</t>
        </is>
      </c>
      <c r="B4102" s="12" t="inlineStr">
        <is>
          <t>I</t>
        </is>
      </c>
      <c r="C4102" s="12" t="inlineStr">
        <is>
          <t>Modular / portable power</t>
        </is>
      </c>
      <c r="D4102" s="12" t="inlineStr">
        <is>
          <t>Control</t>
        </is>
      </c>
      <c r="E4102" s="12" t="inlineStr"/>
      <c r="F4102" s="12" t="inlineStr">
        <is>
          <t>PCM: power control module</t>
        </is>
      </c>
      <c r="G4102" s="12" t="inlineStr"/>
      <c r="H4102" s="12" t="inlineStr">
        <is>
          <t>Fuel-cell inverter / AC cabinet / desulfurizer</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6" t="n">
        <v>1032</v>
      </c>
      <c r="U4102" s="16" t="n">
        <v>34</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I-C-0007</t>
        </is>
      </c>
      <c r="B4103" s="12" t="inlineStr">
        <is>
          <t>I</t>
        </is>
      </c>
      <c r="C4103" s="12" t="inlineStr">
        <is>
          <t>Modular / portable power</t>
        </is>
      </c>
      <c r="D4103" s="12" t="inlineStr">
        <is>
          <t>Motor 1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HV duct bank</t>
        </is>
      </c>
      <c r="T4103" s="16" t="n">
        <v>4396</v>
      </c>
      <c r="U4103" s="16" t="n">
        <v>40</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I-C-0008</t>
        </is>
      </c>
      <c r="B4104" s="12" t="inlineStr">
        <is>
          <t>I</t>
        </is>
      </c>
      <c r="C4104" s="12" t="inlineStr">
        <is>
          <t>Modular / portable power</t>
        </is>
      </c>
      <c r="D4104" s="12" t="inlineStr">
        <is>
          <t>Motor 2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4396</v>
      </c>
      <c r="U4104" s="16" t="n">
        <v>40</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I-C-0009</t>
        </is>
      </c>
      <c r="B4105" s="12" t="inlineStr">
        <is>
          <t>I</t>
        </is>
      </c>
      <c r="C4105" s="12" t="inlineStr">
        <is>
          <t>Modular / portable power</t>
        </is>
      </c>
      <c r="D4105" s="12" t="inlineStr">
        <is>
          <t>Motor 3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4396</v>
      </c>
      <c r="U4105" s="16" t="n">
        <v>40</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I-C-0010</t>
        </is>
      </c>
      <c r="B4106" s="12" t="inlineStr">
        <is>
          <t>I</t>
        </is>
      </c>
      <c r="C4106" s="12" t="inlineStr">
        <is>
          <t>Modular / portable power</t>
        </is>
      </c>
      <c r="D4106" s="12" t="inlineStr">
        <is>
          <t>Motor 4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4396</v>
      </c>
      <c r="U4106" s="16" t="n">
        <v>40</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I-C-0011</t>
        </is>
      </c>
      <c r="B4107" s="12" t="inlineStr">
        <is>
          <t>I</t>
        </is>
      </c>
      <c r="C4107" s="12" t="inlineStr">
        <is>
          <t>Modular / portable power</t>
        </is>
      </c>
      <c r="D4107" s="12" t="inlineStr">
        <is>
          <t>Motor 5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4396</v>
      </c>
      <c r="U4107" s="16" t="n">
        <v>40</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I-C-0012</t>
        </is>
      </c>
      <c r="B4108" s="12" t="inlineStr">
        <is>
          <t>I</t>
        </is>
      </c>
      <c r="C4108" s="12" t="inlineStr">
        <is>
          <t>Modular / portable power</t>
        </is>
      </c>
      <c r="D4108" s="12" t="inlineStr">
        <is>
          <t>Motor 6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4396</v>
      </c>
      <c r="U4108" s="16" t="n">
        <v>40</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I-C-0013</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6" t="n">
        <v>269</v>
      </c>
      <c r="U4109" s="16" t="n">
        <v>66</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I-C-0014</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I-C-0015</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I-C-0016</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I-C-0017</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I-C-0018</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I-C-0019</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I-C-0020</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6" t="n">
        <v>269</v>
      </c>
      <c r="U4116" s="16" t="n">
        <v>37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I-C-0021</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I-C-0022</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I-C-0023</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I-C-0024</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I-C-0025</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I-C-0026</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I-C-0027</t>
        </is>
      </c>
      <c r="B4123" s="12" t="inlineStr">
        <is>
          <t>I</t>
        </is>
      </c>
      <c r="C4123" s="12" t="inlineStr">
        <is>
          <t>Modular / portable power</t>
        </is>
      </c>
      <c r="D4123" s="12" t="inlineStr">
        <is>
          <t>Control</t>
        </is>
      </c>
      <c r="E4123" s="12" t="inlineStr"/>
      <c r="F4123" s="12" t="inlineStr">
        <is>
          <t>PCM: power control module</t>
        </is>
      </c>
      <c r="G4123" s="12" t="inlineStr"/>
      <c r="H4123" s="12" t="inlineStr">
        <is>
          <t>Gas conditioning skid</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Tray</t>
        </is>
      </c>
      <c r="T4123" s="16" t="n">
        <v>32</v>
      </c>
      <c r="U4123" s="16" t="n">
        <v>94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I-C-0028</t>
        </is>
      </c>
      <c r="B4124" s="12" t="inlineStr">
        <is>
          <t>I</t>
        </is>
      </c>
      <c r="C4124" s="12" t="inlineStr">
        <is>
          <t>Modular / portable power</t>
        </is>
      </c>
      <c r="D4124" s="12" t="inlineStr">
        <is>
          <t>Control</t>
        </is>
      </c>
      <c r="E4124" s="12" t="inlineStr">
        <is>
          <t>PAD-EH</t>
        </is>
      </c>
      <c r="F4124" s="12" t="inlineStr">
        <is>
          <t>PAD-EH 13.8 kV switchgear e-house</t>
        </is>
      </c>
      <c r="G4124" s="12" t="inlineStr">
        <is>
          <t>LB</t>
        </is>
      </c>
      <c r="H4124" s="12" t="inlineStr">
        <is>
          <t>LB: commissioning load bank (trailer)</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Surface</t>
        </is>
      </c>
      <c r="T4124" s="16" t="n">
        <v>169</v>
      </c>
      <c r="U4124" s="16" t="n">
        <v>73</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I-C-0029</t>
        </is>
      </c>
      <c r="B4125" s="12" t="inlineStr">
        <is>
          <t>I</t>
        </is>
      </c>
      <c r="C4125" s="12" t="inlineStr">
        <is>
          <t>Modular / portable power</t>
        </is>
      </c>
      <c r="D4125" s="12" t="inlineStr">
        <is>
          <t>Control</t>
        </is>
      </c>
      <c r="E4125" s="12" t="inlineStr"/>
      <c r="F4125" s="12" t="inlineStr">
        <is>
          <t>PCM: power control module</t>
        </is>
      </c>
      <c r="G4125" s="12" t="inlineStr"/>
      <c r="H4125" s="12" t="inlineStr">
        <is>
          <t>Lube oil / starting air / oily water building</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Tray</t>
        </is>
      </c>
      <c r="T4125" s="16" t="n">
        <v>32</v>
      </c>
      <c r="U4125" s="16" t="n">
        <v>164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I-C-0030</t>
        </is>
      </c>
      <c r="B4126" s="12" t="inlineStr">
        <is>
          <t>I</t>
        </is>
      </c>
      <c r="C4126" s="12" t="inlineStr">
        <is>
          <t>Modular / portable power</t>
        </is>
      </c>
      <c r="D4126" s="12" t="inlineStr">
        <is>
          <t>Control</t>
        </is>
      </c>
      <c r="E4126" s="12" t="inlineStr"/>
      <c r="F4126" s="12" t="inlineStr">
        <is>
          <t>PCM: power control module</t>
        </is>
      </c>
      <c r="G4126" s="12" t="inlineStr">
        <is>
          <t>MOD-EH</t>
        </is>
      </c>
      <c r="H4126" s="12" t="inlineStr">
        <is>
          <t>MOD-EH: 13.8 kV modular collector e-house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Duct bank</t>
        </is>
      </c>
      <c r="T4126" s="16" t="n">
        <v>355</v>
      </c>
      <c r="U4126" s="16" t="n">
        <v>32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I-C-0031</t>
        </is>
      </c>
      <c r="B4127" s="12" t="inlineStr">
        <is>
          <t>I</t>
        </is>
      </c>
      <c r="C4127" s="12" t="inlineStr">
        <is>
          <t>Modular / portable power</t>
        </is>
      </c>
      <c r="D4127" s="12" t="inlineStr">
        <is>
          <t>Control</t>
        </is>
      </c>
      <c r="E4127" s="12" t="inlineStr"/>
      <c r="F4127" s="12" t="inlineStr">
        <is>
          <t>PCM: power control module</t>
        </is>
      </c>
      <c r="G4127" s="12" t="inlineStr"/>
      <c r="H4127" s="12" t="inlineStr">
        <is>
          <t>MOD-LV 480 V board + 480 V : 13.8 kV step-up</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773</v>
      </c>
      <c r="U4127" s="16" t="n">
        <v>34</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I-C-0032</t>
        </is>
      </c>
      <c r="B4128" s="12" t="inlineStr">
        <is>
          <t>I</t>
        </is>
      </c>
      <c r="C4128" s="12" t="inlineStr">
        <is>
          <t>Modular / portable power</t>
        </is>
      </c>
      <c r="D4128" s="12" t="inlineStr">
        <is>
          <t>Control</t>
        </is>
      </c>
      <c r="E4128" s="12" t="inlineStr"/>
      <c r="F4128" s="12" t="inlineStr">
        <is>
          <t>PCM: power control module</t>
        </is>
      </c>
      <c r="G4128" s="12" t="inlineStr"/>
      <c r="H4128" s="12" t="inlineStr">
        <is>
          <t>PCM: power control module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Tray</t>
        </is>
      </c>
      <c r="T4128" s="16" t="n">
        <v>0</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I-C-0033</t>
        </is>
      </c>
      <c r="B4129" s="12" t="inlineStr">
        <is>
          <t>I</t>
        </is>
      </c>
      <c r="C4129" s="12" t="inlineStr">
        <is>
          <t>Modular / portable power</t>
        </is>
      </c>
      <c r="D4129" s="12" t="inlineStr">
        <is>
          <t>Motor 1 of 1: control / local station</t>
        </is>
      </c>
      <c r="E4129" s="12" t="inlineStr"/>
      <c r="F4129" s="12" t="inlineStr">
        <is>
          <t>PCM: power control module</t>
        </is>
      </c>
      <c r="G4129" s="12" t="inlineStr"/>
      <c r="H4129" s="12" t="inlineStr">
        <is>
          <t>RICE 1 SCR + oxidation catalyst and stack</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470</v>
      </c>
      <c r="U4129" s="16" t="n">
        <v>160</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I-C-0034</t>
        </is>
      </c>
      <c r="B4130" s="12" t="inlineStr">
        <is>
          <t>I</t>
        </is>
      </c>
      <c r="C4130" s="12" t="inlineStr">
        <is>
          <t>Modular / portable power</t>
        </is>
      </c>
      <c r="D4130" s="12" t="inlineStr">
        <is>
          <t>Motor 1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745</v>
      </c>
      <c r="U4130" s="16" t="n">
        <v>139</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I-C-0035</t>
        </is>
      </c>
      <c r="B4131" s="12" t="inlineStr">
        <is>
          <t>I</t>
        </is>
      </c>
      <c r="C4131" s="12" t="inlineStr">
        <is>
          <t>Modular / portable power</t>
        </is>
      </c>
      <c r="D4131" s="12" t="inlineStr">
        <is>
          <t>Motor 2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I-C-0036</t>
        </is>
      </c>
      <c r="B4132" s="12" t="inlineStr">
        <is>
          <t>I</t>
        </is>
      </c>
      <c r="C4132" s="12" t="inlineStr">
        <is>
          <t>Modular / portable power</t>
        </is>
      </c>
      <c r="D4132" s="12" t="inlineStr">
        <is>
          <t>Motor 3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I-C-0037</t>
        </is>
      </c>
      <c r="B4133" s="12" t="inlineStr">
        <is>
          <t>I</t>
        </is>
      </c>
      <c r="C4133" s="12" t="inlineStr">
        <is>
          <t>Modular / portable power</t>
        </is>
      </c>
      <c r="D4133" s="12" t="inlineStr">
        <is>
          <t>Motor 4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I-C-0038</t>
        </is>
      </c>
      <c r="B4134" s="12" t="inlineStr">
        <is>
          <t>I</t>
        </is>
      </c>
      <c r="C4134" s="12" t="inlineStr">
        <is>
          <t>Modular / portable power</t>
        </is>
      </c>
      <c r="D4134" s="12" t="inlineStr">
        <is>
          <t>Motor 5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I-C-0039</t>
        </is>
      </c>
      <c r="B4135" s="12" t="inlineStr">
        <is>
          <t>I</t>
        </is>
      </c>
      <c r="C4135" s="12" t="inlineStr">
        <is>
          <t>Modular / portable power</t>
        </is>
      </c>
      <c r="D4135" s="12" t="inlineStr">
        <is>
          <t>Motor 1 of 1: control / local station</t>
        </is>
      </c>
      <c r="E4135" s="12" t="inlineStr"/>
      <c r="F4135" s="12" t="inlineStr">
        <is>
          <t>PCM: power control module</t>
        </is>
      </c>
      <c r="G4135" s="12" t="inlineStr"/>
      <c r="H4135" s="12" t="inlineStr">
        <is>
          <t>RICE 2 SCR + oxidation catalyst and stack</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470</v>
      </c>
      <c r="U4135" s="16" t="n">
        <v>132</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I-C-0040</t>
        </is>
      </c>
      <c r="B4136" s="12" t="inlineStr">
        <is>
          <t>I</t>
        </is>
      </c>
      <c r="C4136" s="12" t="inlineStr">
        <is>
          <t>Modular / portable power</t>
        </is>
      </c>
      <c r="D4136" s="12" t="inlineStr">
        <is>
          <t>Motor 1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550</v>
      </c>
      <c r="U4136" s="16" t="n">
        <v>192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I-C-0041</t>
        </is>
      </c>
      <c r="B4137" s="12" t="inlineStr">
        <is>
          <t>I</t>
        </is>
      </c>
      <c r="C4137" s="12" t="inlineStr">
        <is>
          <t>Modular / portable power</t>
        </is>
      </c>
      <c r="D4137" s="12" t="inlineStr">
        <is>
          <t>Motor 2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I-C-0042</t>
        </is>
      </c>
      <c r="B4138" s="12" t="inlineStr">
        <is>
          <t>I</t>
        </is>
      </c>
      <c r="C4138" s="12" t="inlineStr">
        <is>
          <t>Modular / portable power</t>
        </is>
      </c>
      <c r="D4138" s="12" t="inlineStr">
        <is>
          <t>Motor 3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I-C-0043</t>
        </is>
      </c>
      <c r="B4139" s="12" t="inlineStr">
        <is>
          <t>I</t>
        </is>
      </c>
      <c r="C4139" s="12" t="inlineStr">
        <is>
          <t>Modular / portable power</t>
        </is>
      </c>
      <c r="D4139" s="12" t="inlineStr">
        <is>
          <t>Motor 4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I-C-0044</t>
        </is>
      </c>
      <c r="B4140" s="12" t="inlineStr">
        <is>
          <t>I</t>
        </is>
      </c>
      <c r="C4140" s="12" t="inlineStr">
        <is>
          <t>Modular / portable power</t>
        </is>
      </c>
      <c r="D4140" s="12" t="inlineStr">
        <is>
          <t>Motor 5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I-C-0045</t>
        </is>
      </c>
      <c r="B4141" s="12" t="inlineStr">
        <is>
          <t>I</t>
        </is>
      </c>
      <c r="C4141" s="12" t="inlineStr">
        <is>
          <t>Modular / portable power</t>
        </is>
      </c>
      <c r="D4141" s="12" t="inlineStr">
        <is>
          <t>Motor 1 of 1: control / local station</t>
        </is>
      </c>
      <c r="E4141" s="12" t="inlineStr"/>
      <c r="F4141" s="12" t="inlineStr">
        <is>
          <t>PCM: power control module</t>
        </is>
      </c>
      <c r="G4141" s="12" t="inlineStr"/>
      <c r="H4141" s="12" t="inlineStr">
        <is>
          <t>RICE 3 SCR + oxidation catalyst and stack</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470</v>
      </c>
      <c r="U4141" s="16" t="n">
        <v>104</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I-C-0046</t>
        </is>
      </c>
      <c r="B4142" s="12" t="inlineStr">
        <is>
          <t>I</t>
        </is>
      </c>
      <c r="C4142" s="12" t="inlineStr">
        <is>
          <t>Modular / portable power</t>
        </is>
      </c>
      <c r="D4142" s="12" t="inlineStr">
        <is>
          <t>Motor 1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6" t="n">
        <v>32</v>
      </c>
      <c r="U4142" s="16" t="n">
        <v>232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I-C-0047</t>
        </is>
      </c>
      <c r="B4143" s="12" t="inlineStr">
        <is>
          <t>I</t>
        </is>
      </c>
      <c r="C4143" s="12" t="inlineStr">
        <is>
          <t>Modular / portable power</t>
        </is>
      </c>
      <c r="D4143" s="12" t="inlineStr">
        <is>
          <t>Motor 2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I-C-0048</t>
        </is>
      </c>
      <c r="B4144" s="12" t="inlineStr">
        <is>
          <t>I</t>
        </is>
      </c>
      <c r="C4144" s="12" t="inlineStr">
        <is>
          <t>Modular / portable power</t>
        </is>
      </c>
      <c r="D4144" s="12" t="inlineStr">
        <is>
          <t>Motor 3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I-C-0049</t>
        </is>
      </c>
      <c r="B4145" s="12" t="inlineStr">
        <is>
          <t>I</t>
        </is>
      </c>
      <c r="C4145" s="12" t="inlineStr">
        <is>
          <t>Modular / portable power</t>
        </is>
      </c>
      <c r="D4145" s="12" t="inlineStr">
        <is>
          <t>Motor 4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I-C-0050</t>
        </is>
      </c>
      <c r="B4146" s="12" t="inlineStr">
        <is>
          <t>I</t>
        </is>
      </c>
      <c r="C4146" s="12" t="inlineStr">
        <is>
          <t>Modular / portable power</t>
        </is>
      </c>
      <c r="D4146" s="12" t="inlineStr">
        <is>
          <t>Motor 5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I-C-0051</t>
        </is>
      </c>
      <c r="B4147" s="12" t="inlineStr">
        <is>
          <t>I</t>
        </is>
      </c>
      <c r="C4147" s="12" t="inlineStr">
        <is>
          <t>Modular / portable power</t>
        </is>
      </c>
      <c r="D4147" s="12" t="inlineStr">
        <is>
          <t>Motor 1 of 1: control / local station</t>
        </is>
      </c>
      <c r="E4147" s="12" t="inlineStr"/>
      <c r="F4147" s="12" t="inlineStr">
        <is>
          <t>PCM: power control module</t>
        </is>
      </c>
      <c r="G4147" s="12" t="inlineStr"/>
      <c r="H4147" s="12" t="inlineStr">
        <is>
          <t>RICE 4 SCR + oxidation catalyst and stack</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6" t="n">
        <v>470</v>
      </c>
      <c r="U4147" s="16" t="n">
        <v>76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I-C-0052</t>
        </is>
      </c>
      <c r="B4148" s="12" t="inlineStr">
        <is>
          <t>I</t>
        </is>
      </c>
      <c r="C4148" s="12" t="inlineStr">
        <is>
          <t>Modular / portable power</t>
        </is>
      </c>
      <c r="D4148" s="12" t="inlineStr">
        <is>
          <t>Motor 1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0</v>
      </c>
      <c r="U4148" s="16" t="n">
        <v>206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I-C-0053</t>
        </is>
      </c>
      <c r="B4149" s="12" t="inlineStr">
        <is>
          <t>I</t>
        </is>
      </c>
      <c r="C4149" s="12" t="inlineStr">
        <is>
          <t>Modular / portable power</t>
        </is>
      </c>
      <c r="D4149" s="12" t="inlineStr">
        <is>
          <t>Motor 2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I-C-0054</t>
        </is>
      </c>
      <c r="B4150" s="12" t="inlineStr">
        <is>
          <t>I</t>
        </is>
      </c>
      <c r="C4150" s="12" t="inlineStr">
        <is>
          <t>Modular / portable power</t>
        </is>
      </c>
      <c r="D4150" s="12" t="inlineStr">
        <is>
          <t>Motor 3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I-C-0055</t>
        </is>
      </c>
      <c r="B4151" s="12" t="inlineStr">
        <is>
          <t>I</t>
        </is>
      </c>
      <c r="C4151" s="12" t="inlineStr">
        <is>
          <t>Modular / portable power</t>
        </is>
      </c>
      <c r="D4151" s="12" t="inlineStr">
        <is>
          <t>Motor 4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I-C-0056</t>
        </is>
      </c>
      <c r="B4152" s="12" t="inlineStr">
        <is>
          <t>I</t>
        </is>
      </c>
      <c r="C4152" s="12" t="inlineStr">
        <is>
          <t>Modular / portable power</t>
        </is>
      </c>
      <c r="D4152" s="12" t="inlineStr">
        <is>
          <t>Motor 5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I-C-0057</t>
        </is>
      </c>
      <c r="B4153" s="12" t="inlineStr">
        <is>
          <t>I</t>
        </is>
      </c>
      <c r="C4153" s="12" t="inlineStr">
        <is>
          <t>Modular / portable power</t>
        </is>
      </c>
      <c r="D4153" s="12" t="inlineStr">
        <is>
          <t>Motor 1 of 1: control / local station</t>
        </is>
      </c>
      <c r="E4153" s="12" t="inlineStr"/>
      <c r="F4153" s="12" t="inlineStr">
        <is>
          <t>PCM: power control module</t>
        </is>
      </c>
      <c r="G4153" s="12" t="inlineStr"/>
      <c r="H4153" s="12" t="inlineStr">
        <is>
          <t>RICE 5 SCR + oxidation catalyst and stack</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6" t="n">
        <v>322</v>
      </c>
      <c r="U4153" s="16" t="n">
        <v>196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I-C-0058</t>
        </is>
      </c>
      <c r="B4154" s="12" t="inlineStr">
        <is>
          <t>I</t>
        </is>
      </c>
      <c r="C4154" s="12" t="inlineStr">
        <is>
          <t>Modular / portable power</t>
        </is>
      </c>
      <c r="D4154" s="12" t="inlineStr">
        <is>
          <t>Motor 1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178</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I-C-0059</t>
        </is>
      </c>
      <c r="B4155" s="12" t="inlineStr">
        <is>
          <t>I</t>
        </is>
      </c>
      <c r="C4155" s="12" t="inlineStr">
        <is>
          <t>Modular / portable power</t>
        </is>
      </c>
      <c r="D4155" s="12" t="inlineStr">
        <is>
          <t>Motor 2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I-C-0060</t>
        </is>
      </c>
      <c r="B4156" s="12" t="inlineStr">
        <is>
          <t>I</t>
        </is>
      </c>
      <c r="C4156" s="12" t="inlineStr">
        <is>
          <t>Modular / portable power</t>
        </is>
      </c>
      <c r="D4156" s="12" t="inlineStr">
        <is>
          <t>Motor 3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I-C-0061</t>
        </is>
      </c>
      <c r="B4157" s="12" t="inlineStr">
        <is>
          <t>I</t>
        </is>
      </c>
      <c r="C4157" s="12" t="inlineStr">
        <is>
          <t>Modular / portable power</t>
        </is>
      </c>
      <c r="D4157" s="12" t="inlineStr">
        <is>
          <t>Motor 4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I-C-0062</t>
        </is>
      </c>
      <c r="B4158" s="12" t="inlineStr">
        <is>
          <t>I</t>
        </is>
      </c>
      <c r="C4158" s="12" t="inlineStr">
        <is>
          <t>Modular / portable power</t>
        </is>
      </c>
      <c r="D4158" s="12" t="inlineStr">
        <is>
          <t>Motor 5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I-C-0063</t>
        </is>
      </c>
      <c r="B4159" s="12" t="inlineStr">
        <is>
          <t>I</t>
        </is>
      </c>
      <c r="C4159" s="12" t="inlineStr">
        <is>
          <t>Modular / portable power</t>
        </is>
      </c>
      <c r="D4159" s="12" t="inlineStr">
        <is>
          <t>Motor 1 of 1: control / local station</t>
        </is>
      </c>
      <c r="E4159" s="12" t="inlineStr"/>
      <c r="F4159" s="12" t="inlineStr">
        <is>
          <t>PCM: power control module</t>
        </is>
      </c>
      <c r="G4159" s="12" t="inlineStr"/>
      <c r="H4159" s="12" t="inlineStr">
        <is>
          <t>RICE 6 SCR + oxidation catalyst and stack</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6" t="n">
        <v>322</v>
      </c>
      <c r="U4159" s="16" t="n">
        <v>168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I-C-0064</t>
        </is>
      </c>
      <c r="B4160" s="12" t="inlineStr">
        <is>
          <t>I</t>
        </is>
      </c>
      <c r="C4160" s="12" t="inlineStr">
        <is>
          <t>Modular / portable power</t>
        </is>
      </c>
      <c r="D4160" s="12" t="inlineStr">
        <is>
          <t>Motor 1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150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I-C-0065</t>
        </is>
      </c>
      <c r="B4161" s="12" t="inlineStr">
        <is>
          <t>I</t>
        </is>
      </c>
      <c r="C4161" s="12" t="inlineStr">
        <is>
          <t>Modular / portable power</t>
        </is>
      </c>
      <c r="D4161" s="12" t="inlineStr">
        <is>
          <t>Motor 2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I-C-0066</t>
        </is>
      </c>
      <c r="B4162" s="12" t="inlineStr">
        <is>
          <t>I</t>
        </is>
      </c>
      <c r="C4162" s="12" t="inlineStr">
        <is>
          <t>Modular / portable power</t>
        </is>
      </c>
      <c r="D4162" s="12" t="inlineStr">
        <is>
          <t>Motor 3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I-C-0067</t>
        </is>
      </c>
      <c r="B4163" s="12" t="inlineStr">
        <is>
          <t>I</t>
        </is>
      </c>
      <c r="C4163" s="12" t="inlineStr">
        <is>
          <t>Modular / portable power</t>
        </is>
      </c>
      <c r="D4163" s="12" t="inlineStr">
        <is>
          <t>Motor 4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I-C-0068</t>
        </is>
      </c>
      <c r="B4164" s="12" t="inlineStr">
        <is>
          <t>I</t>
        </is>
      </c>
      <c r="C4164" s="12" t="inlineStr">
        <is>
          <t>Modular / portable power</t>
        </is>
      </c>
      <c r="D4164" s="12" t="inlineStr">
        <is>
          <t>Motor 5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I-C-0069</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7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6" t="n">
        <v>322</v>
      </c>
      <c r="U4165" s="16" t="n">
        <v>140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I-C-0070</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122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I-C-0071</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I-C-0072</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I-C-0073</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I-C-0074</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I-C-0075</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8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6" t="n">
        <v>322</v>
      </c>
      <c r="U4171" s="16" t="n">
        <v>112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I-C-0076</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94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I-C-0077</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I-C-0078</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I-C-0079</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I-C-0080</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I-C-0081</t>
        </is>
      </c>
      <c r="B4177" s="12" t="inlineStr">
        <is>
          <t>I</t>
        </is>
      </c>
      <c r="C4177" s="12" t="inlineStr">
        <is>
          <t>Modular / portable power</t>
        </is>
      </c>
      <c r="D4177" s="12" t="inlineStr">
        <is>
          <t>Control</t>
        </is>
      </c>
      <c r="E4177" s="12" t="inlineStr"/>
      <c r="F4177" s="12" t="inlineStr">
        <is>
          <t>PCM: power control module</t>
        </is>
      </c>
      <c r="G4177" s="12" t="inlineStr"/>
      <c r="H4177" s="12" t="inlineStr">
        <is>
          <t>RICE CEMS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6" t="n">
        <v>260</v>
      </c>
      <c r="U4177" s="16" t="n">
        <v>131</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I-C-0082</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367</v>
      </c>
      <c r="U4178" s="16" t="n">
        <v>95</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I-C-0083</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I-C-0084</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I-C-0085</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I-C-0086</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I-C-0087</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I-C-0088</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I-C-0089</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I-C-0090</t>
        </is>
      </c>
      <c r="B4186" s="12" t="inlineStr">
        <is>
          <t>I</t>
        </is>
      </c>
      <c r="C4186" s="12" t="inlineStr">
        <is>
          <t>Modular / portable power</t>
        </is>
      </c>
      <c r="D4186" s="12" t="inlineStr">
        <is>
          <t>Motor 1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6" t="n">
        <v>550</v>
      </c>
      <c r="U4186" s="16" t="n">
        <v>137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I-C-0091</t>
        </is>
      </c>
      <c r="B4187" s="12" t="inlineStr">
        <is>
          <t>I</t>
        </is>
      </c>
      <c r="C4187" s="12" t="inlineStr">
        <is>
          <t>Modular / portable power</t>
        </is>
      </c>
      <c r="D4187" s="12" t="inlineStr">
        <is>
          <t>Motor 2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I-C-0092</t>
        </is>
      </c>
      <c r="B4188" s="12" t="inlineStr">
        <is>
          <t>I</t>
        </is>
      </c>
      <c r="C4188" s="12" t="inlineStr">
        <is>
          <t>Modular / portable power</t>
        </is>
      </c>
      <c r="D4188" s="12" t="inlineStr">
        <is>
          <t>Motor 3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I-C-0093</t>
        </is>
      </c>
      <c r="B4189" s="12" t="inlineStr">
        <is>
          <t>I</t>
        </is>
      </c>
      <c r="C4189" s="12" t="inlineStr">
        <is>
          <t>Modular / portable power</t>
        </is>
      </c>
      <c r="D4189" s="12" t="inlineStr">
        <is>
          <t>Motor 4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I-C-0094</t>
        </is>
      </c>
      <c r="B4190" s="12" t="inlineStr">
        <is>
          <t>I</t>
        </is>
      </c>
      <c r="C4190" s="12" t="inlineStr">
        <is>
          <t>Modular / portable power</t>
        </is>
      </c>
      <c r="D4190" s="12" t="inlineStr">
        <is>
          <t>Motor 5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I-C-0095</t>
        </is>
      </c>
      <c r="B4191" s="12" t="inlineStr">
        <is>
          <t>I</t>
        </is>
      </c>
      <c r="C4191" s="12" t="inlineStr">
        <is>
          <t>Modular / portable power</t>
        </is>
      </c>
      <c r="D4191" s="12" t="inlineStr">
        <is>
          <t>Motor 6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I-C-0096</t>
        </is>
      </c>
      <c r="B4192" s="12" t="inlineStr">
        <is>
          <t>I</t>
        </is>
      </c>
      <c r="C4192" s="12" t="inlineStr">
        <is>
          <t>Modular / portable power</t>
        </is>
      </c>
      <c r="D4192" s="12" t="inlineStr">
        <is>
          <t>Motor 1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109</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I-C-0097</t>
        </is>
      </c>
      <c r="B4193" s="12" t="inlineStr">
        <is>
          <t>I</t>
        </is>
      </c>
      <c r="C4193" s="12" t="inlineStr">
        <is>
          <t>Modular / portable power</t>
        </is>
      </c>
      <c r="D4193" s="12" t="inlineStr">
        <is>
          <t>Motor 2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I-C-0098</t>
        </is>
      </c>
      <c r="B4194" s="12" t="inlineStr">
        <is>
          <t>I</t>
        </is>
      </c>
      <c r="C4194" s="12" t="inlineStr">
        <is>
          <t>Modular / portable power</t>
        </is>
      </c>
      <c r="D4194" s="12" t="inlineStr">
        <is>
          <t>Motor 3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I-C-0099</t>
        </is>
      </c>
      <c r="B4195" s="12" t="inlineStr">
        <is>
          <t>I</t>
        </is>
      </c>
      <c r="C4195" s="12" t="inlineStr">
        <is>
          <t>Modular / portable power</t>
        </is>
      </c>
      <c r="D4195" s="12" t="inlineStr">
        <is>
          <t>Motor 4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I-C-0100</t>
        </is>
      </c>
      <c r="B4196" s="12" t="inlineStr">
        <is>
          <t>I</t>
        </is>
      </c>
      <c r="C4196" s="12" t="inlineStr">
        <is>
          <t>Modular / portable power</t>
        </is>
      </c>
      <c r="D4196" s="12" t="inlineStr">
        <is>
          <t>Motor 5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I-C-0101</t>
        </is>
      </c>
      <c r="B4197" s="12" t="inlineStr">
        <is>
          <t>I</t>
        </is>
      </c>
      <c r="C4197" s="12" t="inlineStr">
        <is>
          <t>Modular / portable power</t>
        </is>
      </c>
      <c r="D4197" s="12" t="inlineStr">
        <is>
          <t>Motor 6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I-C-0102</t>
        </is>
      </c>
      <c r="B4198" s="12" t="inlineStr">
        <is>
          <t>I</t>
        </is>
      </c>
      <c r="C4198" s="12" t="inlineStr">
        <is>
          <t>Modular / portable power</t>
        </is>
      </c>
      <c r="D4198" s="12" t="inlineStr">
        <is>
          <t>Motor 1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81</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I-C-0103</t>
        </is>
      </c>
      <c r="B4199" s="12" t="inlineStr">
        <is>
          <t>I</t>
        </is>
      </c>
      <c r="C4199" s="12" t="inlineStr">
        <is>
          <t>Modular / portable power</t>
        </is>
      </c>
      <c r="D4199" s="12" t="inlineStr">
        <is>
          <t>Motor 2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I-C-0104</t>
        </is>
      </c>
      <c r="B4200" s="12" t="inlineStr">
        <is>
          <t>I</t>
        </is>
      </c>
      <c r="C4200" s="12" t="inlineStr">
        <is>
          <t>Modular / portable power</t>
        </is>
      </c>
      <c r="D4200" s="12" t="inlineStr">
        <is>
          <t>Motor 3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I-C-0105</t>
        </is>
      </c>
      <c r="B4201" s="12" t="inlineStr">
        <is>
          <t>I</t>
        </is>
      </c>
      <c r="C4201" s="12" t="inlineStr">
        <is>
          <t>Modular / portable power</t>
        </is>
      </c>
      <c r="D4201" s="12" t="inlineStr">
        <is>
          <t>Motor 4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I-C-0106</t>
        </is>
      </c>
      <c r="B4202" s="12" t="inlineStr">
        <is>
          <t>I</t>
        </is>
      </c>
      <c r="C4202" s="12" t="inlineStr">
        <is>
          <t>Modular / portable power</t>
        </is>
      </c>
      <c r="D4202" s="12" t="inlineStr">
        <is>
          <t>Motor 5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I-C-0107</t>
        </is>
      </c>
      <c r="B4203" s="12" t="inlineStr">
        <is>
          <t>I</t>
        </is>
      </c>
      <c r="C4203" s="12" t="inlineStr">
        <is>
          <t>Modular / portable power</t>
        </is>
      </c>
      <c r="D4203" s="12" t="inlineStr">
        <is>
          <t>Motor 6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I-C-0108</t>
        </is>
      </c>
      <c r="B4204" s="12" t="inlineStr">
        <is>
          <t>I</t>
        </is>
      </c>
      <c r="C4204" s="12" t="inlineStr">
        <is>
          <t>Modular / portable power</t>
        </is>
      </c>
      <c r="D4204" s="12" t="inlineStr">
        <is>
          <t>Motor 1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53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I-C-0109</t>
        </is>
      </c>
      <c r="B4205" s="12" t="inlineStr">
        <is>
          <t>I</t>
        </is>
      </c>
      <c r="C4205" s="12" t="inlineStr">
        <is>
          <t>Modular / portable power</t>
        </is>
      </c>
      <c r="D4205" s="12" t="inlineStr">
        <is>
          <t>Motor 2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I-C-0110</t>
        </is>
      </c>
      <c r="B4206" s="12" t="inlineStr">
        <is>
          <t>I</t>
        </is>
      </c>
      <c r="C4206" s="12" t="inlineStr">
        <is>
          <t>Modular / portable power</t>
        </is>
      </c>
      <c r="D4206" s="12" t="inlineStr">
        <is>
          <t>Motor 3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I-C-0111</t>
        </is>
      </c>
      <c r="B4207" s="12" t="inlineStr">
        <is>
          <t>I</t>
        </is>
      </c>
      <c r="C4207" s="12" t="inlineStr">
        <is>
          <t>Modular / portable power</t>
        </is>
      </c>
      <c r="D4207" s="12" t="inlineStr">
        <is>
          <t>Motor 4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I-C-0112</t>
        </is>
      </c>
      <c r="B4208" s="12" t="inlineStr">
        <is>
          <t>I</t>
        </is>
      </c>
      <c r="C4208" s="12" t="inlineStr">
        <is>
          <t>Modular / portable power</t>
        </is>
      </c>
      <c r="D4208" s="12" t="inlineStr">
        <is>
          <t>Motor 5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I-C-0113</t>
        </is>
      </c>
      <c r="B4209" s="12" t="inlineStr">
        <is>
          <t>I</t>
        </is>
      </c>
      <c r="C4209" s="12" t="inlineStr">
        <is>
          <t>Modular / portable power</t>
        </is>
      </c>
      <c r="D4209" s="12" t="inlineStr">
        <is>
          <t>Motor 6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I-C-0114</t>
        </is>
      </c>
      <c r="B4210" s="12" t="inlineStr">
        <is>
          <t>I</t>
        </is>
      </c>
      <c r="C4210" s="12" t="inlineStr">
        <is>
          <t>Modular / portable power</t>
        </is>
      </c>
      <c r="D4210" s="12" t="inlineStr">
        <is>
          <t>Motor 1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367</v>
      </c>
      <c r="U4210" s="16" t="n">
        <v>208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I-C-0115</t>
        </is>
      </c>
      <c r="B4211" s="12" t="inlineStr">
        <is>
          <t>I</t>
        </is>
      </c>
      <c r="C4211" s="12" t="inlineStr">
        <is>
          <t>Modular / portable power</t>
        </is>
      </c>
      <c r="D4211" s="12" t="inlineStr">
        <is>
          <t>Motor 2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I-C-0116</t>
        </is>
      </c>
      <c r="B4212" s="12" t="inlineStr">
        <is>
          <t>I</t>
        </is>
      </c>
      <c r="C4212" s="12" t="inlineStr">
        <is>
          <t>Modular / portable power</t>
        </is>
      </c>
      <c r="D4212" s="12" t="inlineStr">
        <is>
          <t>Motor 3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I-C-0117</t>
        </is>
      </c>
      <c r="B4213" s="12" t="inlineStr">
        <is>
          <t>I</t>
        </is>
      </c>
      <c r="C4213" s="12" t="inlineStr">
        <is>
          <t>Modular / portable power</t>
        </is>
      </c>
      <c r="D4213" s="12" t="inlineStr">
        <is>
          <t>Motor 4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I-C-0118</t>
        </is>
      </c>
      <c r="B4214" s="12" t="inlineStr">
        <is>
          <t>I</t>
        </is>
      </c>
      <c r="C4214" s="12" t="inlineStr">
        <is>
          <t>Modular / portable power</t>
        </is>
      </c>
      <c r="D4214" s="12" t="inlineStr">
        <is>
          <t>Motor 5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I-C-0119</t>
        </is>
      </c>
      <c r="B4215" s="12" t="inlineStr">
        <is>
          <t>I</t>
        </is>
      </c>
      <c r="C4215" s="12" t="inlineStr">
        <is>
          <t>Modular / portable power</t>
        </is>
      </c>
      <c r="D4215" s="12" t="inlineStr">
        <is>
          <t>Motor 6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I-C-0120</t>
        </is>
      </c>
      <c r="B4216" s="12" t="inlineStr">
        <is>
          <t>I</t>
        </is>
      </c>
      <c r="C4216" s="12" t="inlineStr">
        <is>
          <t>Modular / portable power</t>
        </is>
      </c>
      <c r="D4216" s="12" t="inlineStr">
        <is>
          <t>Motor 1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180</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I-C-0121</t>
        </is>
      </c>
      <c r="B4217" s="12" t="inlineStr">
        <is>
          <t>I</t>
        </is>
      </c>
      <c r="C4217" s="12" t="inlineStr">
        <is>
          <t>Modular / portable power</t>
        </is>
      </c>
      <c r="D4217" s="12" t="inlineStr">
        <is>
          <t>Motor 2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I-C-0122</t>
        </is>
      </c>
      <c r="B4218" s="12" t="inlineStr">
        <is>
          <t>I</t>
        </is>
      </c>
      <c r="C4218" s="12" t="inlineStr">
        <is>
          <t>Modular / portable power</t>
        </is>
      </c>
      <c r="D4218" s="12" t="inlineStr">
        <is>
          <t>Motor 3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I-C-0123</t>
        </is>
      </c>
      <c r="B4219" s="12" t="inlineStr">
        <is>
          <t>I</t>
        </is>
      </c>
      <c r="C4219" s="12" t="inlineStr">
        <is>
          <t>Modular / portable power</t>
        </is>
      </c>
      <c r="D4219" s="12" t="inlineStr">
        <is>
          <t>Motor 4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I-C-0124</t>
        </is>
      </c>
      <c r="B4220" s="12" t="inlineStr">
        <is>
          <t>I</t>
        </is>
      </c>
      <c r="C4220" s="12" t="inlineStr">
        <is>
          <t>Modular / portable power</t>
        </is>
      </c>
      <c r="D4220" s="12" t="inlineStr">
        <is>
          <t>Motor 5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I-C-0125</t>
        </is>
      </c>
      <c r="B4221" s="12" t="inlineStr">
        <is>
          <t>I</t>
        </is>
      </c>
      <c r="C4221" s="12" t="inlineStr">
        <is>
          <t>Modular / portable power</t>
        </is>
      </c>
      <c r="D4221" s="12" t="inlineStr">
        <is>
          <t>Motor 6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I-C-0126</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6" t="n">
        <v>0</v>
      </c>
      <c r="U4222" s="16" t="n">
        <v>189</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I-C-0127</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I-C-0128</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I-C-0129</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I-C-0130</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I-C-0131</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I-C-0132</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161</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I-C-0133</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I-C-0134</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I-C-0135</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I-C-0136</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I-C-0137</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I-C-0138</t>
        </is>
      </c>
      <c r="B4234" s="12" t="inlineStr">
        <is>
          <t>I</t>
        </is>
      </c>
      <c r="C4234" s="12" t="inlineStr">
        <is>
          <t>Modular / portable power</t>
        </is>
      </c>
      <c r="D4234" s="12" t="inlineStr">
        <is>
          <t>Control</t>
        </is>
      </c>
      <c r="E4234" s="12" t="inlineStr"/>
      <c r="F4234" s="12" t="inlineStr">
        <is>
          <t>PCM: power control module</t>
        </is>
      </c>
      <c r="G4234" s="12" t="inlineStr"/>
      <c r="H4234" s="12" t="inlineStr">
        <is>
          <t>Reagent storage</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32</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I-C-0139</t>
        </is>
      </c>
      <c r="B4235" s="12" t="inlineStr">
        <is>
          <t>I</t>
        </is>
      </c>
      <c r="C4235" s="12" t="inlineStr">
        <is>
          <t>Modular / portable power</t>
        </is>
      </c>
      <c r="D4235" s="12" t="inlineStr">
        <is>
          <t>Motor 1 of 2: control / local station</t>
        </is>
      </c>
      <c r="E4235" s="12" t="inlineStr"/>
      <c r="F4235" s="12" t="inlineStr">
        <is>
          <t>PCM: power control module</t>
        </is>
      </c>
      <c r="G4235" s="12" t="inlineStr"/>
      <c r="H4235" s="12" t="inlineStr">
        <is>
          <t>SC-1 SCR / CO catalyst</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40</v>
      </c>
      <c r="U4235" s="16" t="n">
        <v>142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I-C-0140</t>
        </is>
      </c>
      <c r="B4236" s="12" t="inlineStr">
        <is>
          <t>I</t>
        </is>
      </c>
      <c r="C4236" s="12" t="inlineStr">
        <is>
          <t>Modular / portable power</t>
        </is>
      </c>
      <c r="D4236" s="12" t="inlineStr">
        <is>
          <t>Motor 2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I-C-0141</t>
        </is>
      </c>
      <c r="B4237" s="12" t="inlineStr">
        <is>
          <t>I</t>
        </is>
      </c>
      <c r="C4237" s="12" t="inlineStr">
        <is>
          <t>Modular / portable power</t>
        </is>
      </c>
      <c r="D4237" s="12" t="inlineStr">
        <is>
          <t>Motor 1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82</v>
      </c>
      <c r="U4237" s="16" t="n">
        <v>82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I-C-0142</t>
        </is>
      </c>
      <c r="B4238" s="12" t="inlineStr">
        <is>
          <t>I</t>
        </is>
      </c>
      <c r="C4238" s="12" t="inlineStr">
        <is>
          <t>Modular / portable power</t>
        </is>
      </c>
      <c r="D4238" s="12" t="inlineStr">
        <is>
          <t>Motor 2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I-C-0143</t>
        </is>
      </c>
      <c r="B4239" s="12" t="inlineStr">
        <is>
          <t>I</t>
        </is>
      </c>
      <c r="C4239" s="12" t="inlineStr">
        <is>
          <t>Modular / portable power</t>
        </is>
      </c>
      <c r="D4239" s="12" t="inlineStr">
        <is>
          <t>Motor 3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I-C-0144</t>
        </is>
      </c>
      <c r="B4240" s="12" t="inlineStr">
        <is>
          <t>I</t>
        </is>
      </c>
      <c r="C4240" s="12" t="inlineStr">
        <is>
          <t>Modular / portable power</t>
        </is>
      </c>
      <c r="D4240" s="12" t="inlineStr">
        <is>
          <t>Motor 4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I-C-0145</t>
        </is>
      </c>
      <c r="B4241" s="12" t="inlineStr">
        <is>
          <t>I</t>
        </is>
      </c>
      <c r="C4241" s="12" t="inlineStr">
        <is>
          <t>Modular / portable power</t>
        </is>
      </c>
      <c r="D4241" s="12" t="inlineStr">
        <is>
          <t>Motor 1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40</v>
      </c>
      <c r="U4241" s="16" t="n">
        <v>52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I-C-0146</t>
        </is>
      </c>
      <c r="B4242" s="12" t="inlineStr">
        <is>
          <t>I</t>
        </is>
      </c>
      <c r="C4242" s="12" t="inlineStr">
        <is>
          <t>Modular / portable power</t>
        </is>
      </c>
      <c r="D4242" s="12" t="inlineStr">
        <is>
          <t>Motor 2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I-C-0147</t>
        </is>
      </c>
      <c r="B4243" s="12" t="inlineStr">
        <is>
          <t>I</t>
        </is>
      </c>
      <c r="C4243" s="12" t="inlineStr">
        <is>
          <t>Modular / portable power</t>
        </is>
      </c>
      <c r="D4243" s="12" t="inlineStr">
        <is>
          <t>Motor 3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I-C-0148</t>
        </is>
      </c>
      <c r="B4244" s="12" t="inlineStr">
        <is>
          <t>I</t>
        </is>
      </c>
      <c r="C4244" s="12" t="inlineStr">
        <is>
          <t>Modular / portable power</t>
        </is>
      </c>
      <c r="D4244" s="12" t="inlineStr">
        <is>
          <t>Motor 4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I-C-0149</t>
        </is>
      </c>
      <c r="B4245" s="12" t="inlineStr">
        <is>
          <t>I</t>
        </is>
      </c>
      <c r="C4245" s="12" t="inlineStr">
        <is>
          <t>Modular / portable power</t>
        </is>
      </c>
      <c r="D4245" s="12" t="inlineStr">
        <is>
          <t>Motor 5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I-C-0150</t>
        </is>
      </c>
      <c r="B4246" s="12" t="inlineStr">
        <is>
          <t>I</t>
        </is>
      </c>
      <c r="C4246" s="12" t="inlineStr">
        <is>
          <t>Modular / portable power</t>
        </is>
      </c>
      <c r="D4246" s="12" t="inlineStr">
        <is>
          <t>Motor 6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I-C-0151</t>
        </is>
      </c>
      <c r="B4247" s="12" t="inlineStr">
        <is>
          <t>I</t>
        </is>
      </c>
      <c r="C4247" s="12" t="inlineStr">
        <is>
          <t>Modular / portable power</t>
        </is>
      </c>
      <c r="D4247" s="12" t="inlineStr">
        <is>
          <t>Motor 7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I-C-0152</t>
        </is>
      </c>
      <c r="B4248" s="12" t="inlineStr">
        <is>
          <t>I</t>
        </is>
      </c>
      <c r="C4248" s="12" t="inlineStr">
        <is>
          <t>Modular / portable power</t>
        </is>
      </c>
      <c r="D4248" s="12" t="inlineStr">
        <is>
          <t>Motor 8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I-C-0153</t>
        </is>
      </c>
      <c r="B4249" s="12" t="inlineStr">
        <is>
          <t>I</t>
        </is>
      </c>
      <c r="C4249" s="12" t="inlineStr">
        <is>
          <t>Modular / portable power</t>
        </is>
      </c>
      <c r="D4249" s="12" t="inlineStr">
        <is>
          <t>Motor 9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I-C-0154</t>
        </is>
      </c>
      <c r="B4250" s="12" t="inlineStr">
        <is>
          <t>I</t>
        </is>
      </c>
      <c r="C4250" s="12" t="inlineStr">
        <is>
          <t>Modular / portable power</t>
        </is>
      </c>
      <c r="D4250" s="12" t="inlineStr">
        <is>
          <t>Motor 10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I-C-0155</t>
        </is>
      </c>
      <c r="B4251" s="12" t="inlineStr">
        <is>
          <t>I</t>
        </is>
      </c>
      <c r="C4251" s="12" t="inlineStr">
        <is>
          <t>Modular / portable power</t>
        </is>
      </c>
      <c r="D4251" s="12" t="inlineStr">
        <is>
          <t>Motor 1 of 2: control / local station</t>
        </is>
      </c>
      <c r="E4251" s="12" t="inlineStr"/>
      <c r="F4251" s="12" t="inlineStr">
        <is>
          <t>MOD-LV 480 V board + 480 V : 13.8 kV step-up</t>
        </is>
      </c>
      <c r="G4251" s="12" t="inlineStr"/>
      <c r="H4251" s="12" t="inlineStr">
        <is>
          <t>SC-2 SCR / CO catalyst</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HV duct bank</t>
        </is>
      </c>
      <c r="T4251" s="16" t="n">
        <v>4341</v>
      </c>
      <c r="U4251" s="16" t="n">
        <v>60</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I-C-0156</t>
        </is>
      </c>
      <c r="B4252" s="12" t="inlineStr">
        <is>
          <t>I</t>
        </is>
      </c>
      <c r="C4252" s="12" t="inlineStr">
        <is>
          <t>Modular / portable power</t>
        </is>
      </c>
      <c r="D4252" s="12" t="inlineStr">
        <is>
          <t>Motor 2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4341</v>
      </c>
      <c r="U4252" s="16" t="n">
        <v>60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I-C-0157</t>
        </is>
      </c>
      <c r="B4253" s="12" t="inlineStr">
        <is>
          <t>I</t>
        </is>
      </c>
      <c r="C4253" s="12" t="inlineStr">
        <is>
          <t>Modular / portable power</t>
        </is>
      </c>
      <c r="D4253" s="12" t="inlineStr">
        <is>
          <t>Motor 1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4329</v>
      </c>
      <c r="U4253" s="16" t="n">
        <v>95</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I-C-0158</t>
        </is>
      </c>
      <c r="B4254" s="12" t="inlineStr">
        <is>
          <t>I</t>
        </is>
      </c>
      <c r="C4254" s="12" t="inlineStr">
        <is>
          <t>Modular / portable power</t>
        </is>
      </c>
      <c r="D4254" s="12" t="inlineStr">
        <is>
          <t>Motor 2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4329</v>
      </c>
      <c r="U4254" s="16" t="n">
        <v>95</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I-C-0159</t>
        </is>
      </c>
      <c r="B4255" s="12" t="inlineStr">
        <is>
          <t>I</t>
        </is>
      </c>
      <c r="C4255" s="12" t="inlineStr">
        <is>
          <t>Modular / portable power</t>
        </is>
      </c>
      <c r="D4255" s="12" t="inlineStr">
        <is>
          <t>Motor 3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4329</v>
      </c>
      <c r="U4255" s="16" t="n">
        <v>95</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I-C-0160</t>
        </is>
      </c>
      <c r="B4256" s="12" t="inlineStr">
        <is>
          <t>I</t>
        </is>
      </c>
      <c r="C4256" s="12" t="inlineStr">
        <is>
          <t>Modular / portable power</t>
        </is>
      </c>
      <c r="D4256" s="12" t="inlineStr">
        <is>
          <t>Motor 4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4329</v>
      </c>
      <c r="U4256" s="16" t="n">
        <v>95</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I-C-0161</t>
        </is>
      </c>
      <c r="B4257" s="12" t="inlineStr">
        <is>
          <t>I</t>
        </is>
      </c>
      <c r="C4257" s="12" t="inlineStr">
        <is>
          <t>Modular / portable power</t>
        </is>
      </c>
      <c r="D4257" s="12" t="inlineStr">
        <is>
          <t>Motor 1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4441</v>
      </c>
      <c r="U4257" s="16" t="n">
        <v>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I-C-0162</t>
        </is>
      </c>
      <c r="B4258" s="12" t="inlineStr">
        <is>
          <t>I</t>
        </is>
      </c>
      <c r="C4258" s="12" t="inlineStr">
        <is>
          <t>Modular / portable power</t>
        </is>
      </c>
      <c r="D4258" s="12" t="inlineStr">
        <is>
          <t>Motor 2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4441</v>
      </c>
      <c r="U4258" s="16" t="n">
        <v>40</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I-C-0163</t>
        </is>
      </c>
      <c r="B4259" s="12" t="inlineStr">
        <is>
          <t>I</t>
        </is>
      </c>
      <c r="C4259" s="12" t="inlineStr">
        <is>
          <t>Modular / portable power</t>
        </is>
      </c>
      <c r="D4259" s="12" t="inlineStr">
        <is>
          <t>Motor 3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4441</v>
      </c>
      <c r="U4259" s="16" t="n">
        <v>40</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I-C-0164</t>
        </is>
      </c>
      <c r="B4260" s="12" t="inlineStr">
        <is>
          <t>I</t>
        </is>
      </c>
      <c r="C4260" s="12" t="inlineStr">
        <is>
          <t>Modular / portable power</t>
        </is>
      </c>
      <c r="D4260" s="12" t="inlineStr">
        <is>
          <t>Motor 4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4441</v>
      </c>
      <c r="U4260" s="16" t="n">
        <v>40</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I-C-0165</t>
        </is>
      </c>
      <c r="B4261" s="12" t="inlineStr">
        <is>
          <t>I</t>
        </is>
      </c>
      <c r="C4261" s="12" t="inlineStr">
        <is>
          <t>Modular / portable power</t>
        </is>
      </c>
      <c r="D4261" s="12" t="inlineStr">
        <is>
          <t>Motor 5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4441</v>
      </c>
      <c r="U4261" s="16" t="n">
        <v>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I-C-0166</t>
        </is>
      </c>
      <c r="B4262" s="12" t="inlineStr">
        <is>
          <t>I</t>
        </is>
      </c>
      <c r="C4262" s="12" t="inlineStr">
        <is>
          <t>Modular / portable power</t>
        </is>
      </c>
      <c r="D4262" s="12" t="inlineStr">
        <is>
          <t>Motor 6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4441</v>
      </c>
      <c r="U4262" s="16" t="n">
        <v>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I-C-0167</t>
        </is>
      </c>
      <c r="B4263" s="12" t="inlineStr">
        <is>
          <t>I</t>
        </is>
      </c>
      <c r="C4263" s="12" t="inlineStr">
        <is>
          <t>Modular / portable power</t>
        </is>
      </c>
      <c r="D4263" s="12" t="inlineStr">
        <is>
          <t>Motor 7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4441</v>
      </c>
      <c r="U4263" s="16" t="n">
        <v>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I-C-0168</t>
        </is>
      </c>
      <c r="B4264" s="12" t="inlineStr">
        <is>
          <t>I</t>
        </is>
      </c>
      <c r="C4264" s="12" t="inlineStr">
        <is>
          <t>Modular / portable power</t>
        </is>
      </c>
      <c r="D4264" s="12" t="inlineStr">
        <is>
          <t>Motor 8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4441</v>
      </c>
      <c r="U4264" s="16" t="n">
        <v>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I-C-0169</t>
        </is>
      </c>
      <c r="B4265" s="12" t="inlineStr">
        <is>
          <t>I</t>
        </is>
      </c>
      <c r="C4265" s="12" t="inlineStr">
        <is>
          <t>Modular / portable power</t>
        </is>
      </c>
      <c r="D4265" s="12" t="inlineStr">
        <is>
          <t>Motor 9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4441</v>
      </c>
      <c r="U4265" s="16" t="n">
        <v>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I-C-0170</t>
        </is>
      </c>
      <c r="B4266" s="12" t="inlineStr">
        <is>
          <t>I</t>
        </is>
      </c>
      <c r="C4266" s="12" t="inlineStr">
        <is>
          <t>Modular / portable power</t>
        </is>
      </c>
      <c r="D4266" s="12" t="inlineStr">
        <is>
          <t>Motor 10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4441</v>
      </c>
      <c r="U4266" s="16" t="n">
        <v>40</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I-C-0171</t>
        </is>
      </c>
      <c r="B4267" s="12" t="inlineStr">
        <is>
          <t>I</t>
        </is>
      </c>
      <c r="C4267" s="12" t="inlineStr">
        <is>
          <t>Modular / portable power</t>
        </is>
      </c>
      <c r="D4267" s="12" t="inlineStr">
        <is>
          <t>Motor 1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386</v>
      </c>
      <c r="U4267" s="16" t="n">
        <v>130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I-C-0172</t>
        </is>
      </c>
      <c r="B4268" s="12" t="inlineStr">
        <is>
          <t>I</t>
        </is>
      </c>
      <c r="C4268" s="12" t="inlineStr">
        <is>
          <t>Modular / portable power</t>
        </is>
      </c>
      <c r="D4268" s="12" t="inlineStr">
        <is>
          <t>Motor 2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386</v>
      </c>
      <c r="U4268" s="16" t="n">
        <v>130</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I-C-0173</t>
        </is>
      </c>
      <c r="B4269" s="12" t="inlineStr">
        <is>
          <t>I</t>
        </is>
      </c>
      <c r="C4269" s="12" t="inlineStr">
        <is>
          <t>Modular / portable power</t>
        </is>
      </c>
      <c r="D4269" s="12" t="inlineStr">
        <is>
          <t>Motor 3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386</v>
      </c>
      <c r="U4269" s="16" t="n">
        <v>130</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I-C-0174</t>
        </is>
      </c>
      <c r="B4270" s="12" t="inlineStr">
        <is>
          <t>I</t>
        </is>
      </c>
      <c r="C4270" s="12" t="inlineStr">
        <is>
          <t>Modular / portable power</t>
        </is>
      </c>
      <c r="D4270" s="12" t="inlineStr">
        <is>
          <t>Motor 4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386</v>
      </c>
      <c r="U4270" s="16" t="n">
        <v>130</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I-C-0175</t>
        </is>
      </c>
      <c r="B4271" s="12" t="inlineStr">
        <is>
          <t>I</t>
        </is>
      </c>
      <c r="C4271" s="12" t="inlineStr">
        <is>
          <t>Modular / portable power</t>
        </is>
      </c>
      <c r="D4271" s="12" t="inlineStr">
        <is>
          <t>Motor 5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386</v>
      </c>
      <c r="U4271" s="16" t="n">
        <v>130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I-C-0176</t>
        </is>
      </c>
      <c r="B4272" s="12" t="inlineStr">
        <is>
          <t>I</t>
        </is>
      </c>
      <c r="C4272" s="12" t="inlineStr">
        <is>
          <t>Modular / portable power</t>
        </is>
      </c>
      <c r="D4272" s="12" t="inlineStr">
        <is>
          <t>Motor 6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386</v>
      </c>
      <c r="U4272" s="16" t="n">
        <v>130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I-C-0177</t>
        </is>
      </c>
      <c r="B4273" s="12" t="inlineStr">
        <is>
          <t>I</t>
        </is>
      </c>
      <c r="C4273" s="12" t="inlineStr">
        <is>
          <t>Modular / portable power</t>
        </is>
      </c>
      <c r="D4273" s="12" t="inlineStr">
        <is>
          <t>Motor 1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378</v>
      </c>
      <c r="U4273" s="16" t="n">
        <v>132</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I-C-0178</t>
        </is>
      </c>
      <c r="B4274" s="12" t="inlineStr">
        <is>
          <t>I</t>
        </is>
      </c>
      <c r="C4274" s="12" t="inlineStr">
        <is>
          <t>Modular / portable power</t>
        </is>
      </c>
      <c r="D4274" s="12" t="inlineStr">
        <is>
          <t>Motor 2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378</v>
      </c>
      <c r="U4274" s="16" t="n">
        <v>132</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I-C-0179</t>
        </is>
      </c>
      <c r="B4275" s="12" t="inlineStr">
        <is>
          <t>I</t>
        </is>
      </c>
      <c r="C4275" s="12" t="inlineStr">
        <is>
          <t>Modular / portable power</t>
        </is>
      </c>
      <c r="D4275" s="12" t="inlineStr">
        <is>
          <t>Motor 3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378</v>
      </c>
      <c r="U4275" s="16" t="n">
        <v>132</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I-C-0180</t>
        </is>
      </c>
      <c r="B4276" s="12" t="inlineStr">
        <is>
          <t>I</t>
        </is>
      </c>
      <c r="C4276" s="12" t="inlineStr">
        <is>
          <t>Modular / portable power</t>
        </is>
      </c>
      <c r="D4276" s="12" t="inlineStr">
        <is>
          <t>Motor 4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378</v>
      </c>
      <c r="U4276" s="16" t="n">
        <v>132</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I-C-0181</t>
        </is>
      </c>
      <c r="B4277" s="12" t="inlineStr">
        <is>
          <t>I</t>
        </is>
      </c>
      <c r="C4277" s="12" t="inlineStr">
        <is>
          <t>Modular / portable power</t>
        </is>
      </c>
      <c r="D4277" s="12" t="inlineStr">
        <is>
          <t>Motor 5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378</v>
      </c>
      <c r="U4277" s="16" t="n">
        <v>132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I-C-0182</t>
        </is>
      </c>
      <c r="B4278" s="12" t="inlineStr">
        <is>
          <t>I</t>
        </is>
      </c>
      <c r="C4278" s="12" t="inlineStr">
        <is>
          <t>Modular / portable power</t>
        </is>
      </c>
      <c r="D4278" s="12" t="inlineStr">
        <is>
          <t>Motor 6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378</v>
      </c>
      <c r="U4278" s="16" t="n">
        <v>132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I-C-0183</t>
        </is>
      </c>
      <c r="B4279" s="12" t="inlineStr">
        <is>
          <t>I</t>
        </is>
      </c>
      <c r="C4279" s="12" t="inlineStr">
        <is>
          <t>Modular / portable power</t>
        </is>
      </c>
      <c r="D4279" s="12" t="inlineStr">
        <is>
          <t>Motor 1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378</v>
      </c>
      <c r="U4279" s="16" t="n">
        <v>84</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I-C-0184</t>
        </is>
      </c>
      <c r="B4280" s="12" t="inlineStr">
        <is>
          <t>I</t>
        </is>
      </c>
      <c r="C4280" s="12" t="inlineStr">
        <is>
          <t>Modular / portable power</t>
        </is>
      </c>
      <c r="D4280" s="12" t="inlineStr">
        <is>
          <t>Motor 2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378</v>
      </c>
      <c r="U4280" s="16" t="n">
        <v>84</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I-C-0185</t>
        </is>
      </c>
      <c r="B4281" s="12" t="inlineStr">
        <is>
          <t>I</t>
        </is>
      </c>
      <c r="C4281" s="12" t="inlineStr">
        <is>
          <t>Modular / portable power</t>
        </is>
      </c>
      <c r="D4281" s="12" t="inlineStr">
        <is>
          <t>Motor 3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378</v>
      </c>
      <c r="U4281" s="16" t="n">
        <v>84</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I-C-0186</t>
        </is>
      </c>
      <c r="B4282" s="12" t="inlineStr">
        <is>
          <t>I</t>
        </is>
      </c>
      <c r="C4282" s="12" t="inlineStr">
        <is>
          <t>Modular / portable power</t>
        </is>
      </c>
      <c r="D4282" s="12" t="inlineStr">
        <is>
          <t>Motor 4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378</v>
      </c>
      <c r="U4282" s="16" t="n">
        <v>84</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I-C-0187</t>
        </is>
      </c>
      <c r="B4283" s="12" t="inlineStr">
        <is>
          <t>I</t>
        </is>
      </c>
      <c r="C4283" s="12" t="inlineStr">
        <is>
          <t>Modular / portable power</t>
        </is>
      </c>
      <c r="D4283" s="12" t="inlineStr">
        <is>
          <t>Motor 5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378</v>
      </c>
      <c r="U4283" s="16" t="n">
        <v>84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I-C-0188</t>
        </is>
      </c>
      <c r="B4284" s="12" t="inlineStr">
        <is>
          <t>I</t>
        </is>
      </c>
      <c r="C4284" s="12" t="inlineStr">
        <is>
          <t>Modular / portable power</t>
        </is>
      </c>
      <c r="D4284" s="12" t="inlineStr">
        <is>
          <t>Motor 6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378</v>
      </c>
      <c r="U4284" s="16" t="n">
        <v>84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I-C-0189</t>
        </is>
      </c>
      <c r="B4285" s="12" t="inlineStr">
        <is>
          <t>I</t>
        </is>
      </c>
      <c r="C4285" s="12" t="inlineStr">
        <is>
          <t>Modular / portable power</t>
        </is>
      </c>
      <c r="D4285" s="12" t="inlineStr">
        <is>
          <t>Motor 1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189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I-C-0190</t>
        </is>
      </c>
      <c r="B4286" s="12" t="inlineStr">
        <is>
          <t>I</t>
        </is>
      </c>
      <c r="C4286" s="12" t="inlineStr">
        <is>
          <t>Modular / portable power</t>
        </is>
      </c>
      <c r="D4286" s="12" t="inlineStr">
        <is>
          <t>Motor 2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189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I-C-0191</t>
        </is>
      </c>
      <c r="B4287" s="12" t="inlineStr">
        <is>
          <t>I</t>
        </is>
      </c>
      <c r="C4287" s="12" t="inlineStr">
        <is>
          <t>Modular / portable power</t>
        </is>
      </c>
      <c r="D4287" s="12" t="inlineStr">
        <is>
          <t>Motor 3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I-C-0192</t>
        </is>
      </c>
      <c r="B4288" s="12" t="inlineStr">
        <is>
          <t>I</t>
        </is>
      </c>
      <c r="C4288" s="12" t="inlineStr">
        <is>
          <t>Modular / portable power</t>
        </is>
      </c>
      <c r="D4288" s="12" t="inlineStr">
        <is>
          <t>Motor 4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I-C-0193</t>
        </is>
      </c>
      <c r="B4289" s="12" t="inlineStr">
        <is>
          <t>I</t>
        </is>
      </c>
      <c r="C4289" s="12" t="inlineStr">
        <is>
          <t>Modular / portable power</t>
        </is>
      </c>
      <c r="D4289" s="12" t="inlineStr">
        <is>
          <t>Motor 5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I-C-0194</t>
        </is>
      </c>
      <c r="B4290" s="12" t="inlineStr">
        <is>
          <t>I</t>
        </is>
      </c>
      <c r="C4290" s="12" t="inlineStr">
        <is>
          <t>Modular / portable power</t>
        </is>
      </c>
      <c r="D4290" s="12" t="inlineStr">
        <is>
          <t>Motor 6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I-C-0195</t>
        </is>
      </c>
      <c r="B4291" s="12" t="inlineStr">
        <is>
          <t>I</t>
        </is>
      </c>
      <c r="C4291" s="12" t="inlineStr">
        <is>
          <t>Modular / portable power</t>
        </is>
      </c>
      <c r="D4291" s="12" t="inlineStr">
        <is>
          <t>Motor 1 of 6: control / local station</t>
        </is>
      </c>
      <c r="E4291" s="12" t="inlineStr"/>
      <c r="F4291" s="12" t="inlineStr">
        <is>
          <t>MOD-LV 480 V board + 480 V : 13.8 kV step-up</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3194</v>
      </c>
      <c r="U4291" s="16" t="n">
        <v>70</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I-C-0196</t>
        </is>
      </c>
      <c r="B4292" s="12" t="inlineStr">
        <is>
          <t>I</t>
        </is>
      </c>
      <c r="C4292" s="12" t="inlineStr">
        <is>
          <t>Modular / portable power</t>
        </is>
      </c>
      <c r="D4292" s="12" t="inlineStr">
        <is>
          <t>Motor 2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3194</v>
      </c>
      <c r="U4292" s="16" t="n">
        <v>70</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I-C-0197</t>
        </is>
      </c>
      <c r="B4293" s="12" t="inlineStr">
        <is>
          <t>I</t>
        </is>
      </c>
      <c r="C4293" s="12" t="inlineStr">
        <is>
          <t>Modular / portable power</t>
        </is>
      </c>
      <c r="D4293" s="12" t="inlineStr">
        <is>
          <t>Motor 3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3194</v>
      </c>
      <c r="U4293" s="16" t="n">
        <v>70</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I-C-0198</t>
        </is>
      </c>
      <c r="B4294" s="12" t="inlineStr">
        <is>
          <t>I</t>
        </is>
      </c>
      <c r="C4294" s="12" t="inlineStr">
        <is>
          <t>Modular / portable power</t>
        </is>
      </c>
      <c r="D4294" s="12" t="inlineStr">
        <is>
          <t>Motor 4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3194</v>
      </c>
      <c r="U4294" s="16" t="n">
        <v>70</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I-C-0199</t>
        </is>
      </c>
      <c r="B4295" s="12" t="inlineStr">
        <is>
          <t>I</t>
        </is>
      </c>
      <c r="C4295" s="12" t="inlineStr">
        <is>
          <t>Modular / portable power</t>
        </is>
      </c>
      <c r="D4295" s="12" t="inlineStr">
        <is>
          <t>Motor 5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3194</v>
      </c>
      <c r="U4295" s="16" t="n">
        <v>70</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I-C-0200</t>
        </is>
      </c>
      <c r="B4296" s="12" t="inlineStr">
        <is>
          <t>I</t>
        </is>
      </c>
      <c r="C4296" s="12" t="inlineStr">
        <is>
          <t>Modular / portable power</t>
        </is>
      </c>
      <c r="D4296" s="12" t="inlineStr">
        <is>
          <t>Motor 6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3194</v>
      </c>
      <c r="U4296" s="16" t="n">
        <v>70</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I-C-0201</t>
        </is>
      </c>
      <c r="B4297" s="12" t="inlineStr">
        <is>
          <t>I</t>
        </is>
      </c>
      <c r="C4297" s="12" t="inlineStr">
        <is>
          <t>Modular / portable power</t>
        </is>
      </c>
      <c r="D4297" s="12" t="inlineStr">
        <is>
          <t>Motor 1 of 6: control / local station</t>
        </is>
      </c>
      <c r="E4297" s="12" t="inlineStr"/>
      <c r="F4297" s="12" t="inlineStr">
        <is>
          <t>MOD-LV 480 V board + 480 V : 13.8 kV step-up</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3194</v>
      </c>
      <c r="U4297" s="16" t="n">
        <v>76</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I-C-0202</t>
        </is>
      </c>
      <c r="B4298" s="12" t="inlineStr">
        <is>
          <t>I</t>
        </is>
      </c>
      <c r="C4298" s="12" t="inlineStr">
        <is>
          <t>Modular / portable power</t>
        </is>
      </c>
      <c r="D4298" s="12" t="inlineStr">
        <is>
          <t>Motor 2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3194</v>
      </c>
      <c r="U4298" s="16" t="n">
        <v>76</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I-C-0203</t>
        </is>
      </c>
      <c r="B4299" s="12" t="inlineStr">
        <is>
          <t>I</t>
        </is>
      </c>
      <c r="C4299" s="12" t="inlineStr">
        <is>
          <t>Modular / portable power</t>
        </is>
      </c>
      <c r="D4299" s="12" t="inlineStr">
        <is>
          <t>Motor 3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3194</v>
      </c>
      <c r="U4299" s="16" t="n">
        <v>76</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I-C-0204</t>
        </is>
      </c>
      <c r="B4300" s="12" t="inlineStr">
        <is>
          <t>I</t>
        </is>
      </c>
      <c r="C4300" s="12" t="inlineStr">
        <is>
          <t>Modular / portable power</t>
        </is>
      </c>
      <c r="D4300" s="12" t="inlineStr">
        <is>
          <t>Motor 4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3194</v>
      </c>
      <c r="U4300" s="16" t="n">
        <v>76</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I-C-0205</t>
        </is>
      </c>
      <c r="B4301" s="12" t="inlineStr">
        <is>
          <t>I</t>
        </is>
      </c>
      <c r="C4301" s="12" t="inlineStr">
        <is>
          <t>Modular / portable power</t>
        </is>
      </c>
      <c r="D4301" s="12" t="inlineStr">
        <is>
          <t>Motor 5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3194</v>
      </c>
      <c r="U4301" s="16" t="n">
        <v>76</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I-C-0206</t>
        </is>
      </c>
      <c r="B4302" s="12" t="inlineStr">
        <is>
          <t>I</t>
        </is>
      </c>
      <c r="C4302" s="12" t="inlineStr">
        <is>
          <t>Modular / portable power</t>
        </is>
      </c>
      <c r="D4302" s="12" t="inlineStr">
        <is>
          <t>Motor 6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3194</v>
      </c>
      <c r="U4302" s="16" t="n">
        <v>76</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I-C-0207</t>
        </is>
      </c>
      <c r="B4303" s="12" t="inlineStr">
        <is>
          <t>I</t>
        </is>
      </c>
      <c r="C4303" s="12" t="inlineStr">
        <is>
          <t>Modular / portable power</t>
        </is>
      </c>
      <c r="D4303" s="12" t="inlineStr">
        <is>
          <t>Control</t>
        </is>
      </c>
      <c r="E4303" s="12" t="inlineStr"/>
      <c r="F4303" s="12" t="inlineStr">
        <is>
          <t>PCM: power control module</t>
        </is>
      </c>
      <c r="G4303" s="12" t="inlineStr"/>
      <c r="H4303" s="12" t="inlineStr">
        <is>
          <t>Water-injection skid</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4299</v>
      </c>
      <c r="U4303" s="16" t="n">
        <v>87</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I-F-0001</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c r="H4304" s="12" t="inlineStr">
        <is>
          <t>Lube oil / starting air / oily water building</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Duct bank</t>
        </is>
      </c>
      <c r="T4304" s="16" t="n">
        <v>2703</v>
      </c>
      <c r="U4304" s="16" t="n">
        <v>394</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I-F-0002</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is>
          <t>MOD-EH</t>
        </is>
      </c>
      <c r="H4305" s="12" t="inlineStr">
        <is>
          <t>MOD-EH: 13.8 kV modular collector e-house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Trench</t>
        </is>
      </c>
      <c r="T4305" s="16" t="n">
        <v>4273</v>
      </c>
      <c r="U4305" s="16" t="n">
        <v>36</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I-F-0003</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PCM: power control module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Duct bank</t>
        </is>
      </c>
      <c r="T4306" s="16" t="n">
        <v>4696</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I-F-0004</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RICE CEMS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4436</v>
      </c>
      <c r="U4307" s="16" t="n">
        <v>135</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I-F-0005</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RICE</t>
        </is>
      </c>
      <c r="H4308" s="12" t="inlineStr">
        <is>
          <t>RICE engine hall (8 engines)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Tray</t>
        </is>
      </c>
      <c r="T4308" s="16" t="n">
        <v>2186</v>
      </c>
      <c r="U4308" s="16" t="n">
        <v>334</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I-F-0006</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SC-1</t>
        </is>
      </c>
      <c r="H4309" s="12" t="inlineStr">
        <is>
          <t>SC-1: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4656</v>
      </c>
      <c r="U4309" s="16" t="n">
        <v>56</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I-F-0007</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SC-2</t>
        </is>
      </c>
      <c r="H4310" s="12" t="inlineStr">
        <is>
          <t>SC-2: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4681</v>
      </c>
      <c r="U4310" s="16" t="n">
        <v>36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I-F-0008</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TM-1</t>
        </is>
      </c>
      <c r="H4311" s="12" t="inlineStr">
        <is>
          <t>TM-1: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3434</v>
      </c>
      <c r="U4311" s="16" t="n">
        <v>66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I-F-0009</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TM-2</t>
        </is>
      </c>
      <c r="H4312" s="12" t="inlineStr">
        <is>
          <t>TM-2: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72</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I-FA-0001</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BS black-start switchgear</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6" t="n">
        <v>562</v>
      </c>
      <c r="U4313" s="16" t="n">
        <v>64</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I-FA-0002</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624</v>
      </c>
      <c r="U4314" s="16" t="n">
        <v>32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I-FA-0003</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I-FA-0004</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BESS black-start alternative</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32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I-FA-0005</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SC-1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40</v>
      </c>
      <c r="U4317" s="16" t="n">
        <v>52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I-FA-0006</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SC-2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HV duct bank</t>
        </is>
      </c>
      <c r="T4318" s="16" t="n">
        <v>4528</v>
      </c>
      <c r="U4318" s="16" t="n">
        <v>38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I-FA-0007</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6" t="n">
        <v>298</v>
      </c>
      <c r="U4319" s="16" t="n">
        <v>37</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I-FA-0008</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267</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I-FA-0009</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191</v>
      </c>
      <c r="U4321" s="16" t="n">
        <v>32</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I-FA-0010</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Duct bank</t>
        </is>
      </c>
      <c r="T4322" s="16" t="n">
        <v>62</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I-FA-0011</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25</v>
      </c>
      <c r="U4323" s="16" t="n">
        <v>58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I-FA-0012</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228</v>
      </c>
      <c r="U4324" s="16" t="n">
        <v>46</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I-FA-0013</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I-FA-0014</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16</v>
      </c>
      <c r="U4326" s="16" t="n">
        <v>117</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I-FA-0015</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Duct bank</t>
        </is>
      </c>
      <c r="T4327" s="16" t="n">
        <v>286</v>
      </c>
      <c r="U4327" s="16" t="n">
        <v>50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I-FA-0016</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272</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I-FA-0017</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41</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I-FA-0018</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1048</v>
      </c>
      <c r="U4330" s="16" t="n">
        <v>96</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I-FA-0019</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6" t="n">
        <v>1048</v>
      </c>
      <c r="U4331" s="16" t="n">
        <v>82</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I-FA-0020</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1048</v>
      </c>
      <c r="U4332" s="16" t="n">
        <v>68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I-FA-0021</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1048</v>
      </c>
      <c r="U4333" s="16" t="n">
        <v>54</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I-FA-0022</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Surface</t>
        </is>
      </c>
      <c r="T4334" s="16" t="n">
        <v>202</v>
      </c>
      <c r="U4334" s="16" t="n">
        <v>37</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I-FA-0023</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356</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I-FA-0024</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342</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I-FA-0025</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6" t="n">
        <v>328</v>
      </c>
      <c r="U4337" s="16" t="n">
        <v>50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I-FA-0026</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Duct bank</t>
        </is>
      </c>
      <c r="T4338" s="16" t="n">
        <v>314</v>
      </c>
      <c r="U4338" s="16" t="n">
        <v>50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I-FA-0027</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6" t="n">
        <v>300</v>
      </c>
      <c r="U4339" s="16" t="n">
        <v>50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I-FA-0028</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1032</v>
      </c>
      <c r="U4340" s="16" t="n">
        <v>34</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I-FA-0029</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6" t="n">
        <v>153</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I-FA-0030</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153</v>
      </c>
      <c r="U4342" s="16" t="n">
        <v>79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I-FA-0031</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6" t="n">
        <v>32</v>
      </c>
      <c r="U4343" s="16" t="n">
        <v>164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I-FA-0032</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113</v>
      </c>
      <c r="U4344" s="16" t="n">
        <v>160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I-FA-0033</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6" t="n">
        <v>355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I-FA-0034</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807</v>
      </c>
      <c r="U4346" s="16" t="n">
        <v>117</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I-FA-0035</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807</v>
      </c>
      <c r="U4347" s="16" t="n">
        <v>131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I-FA-0036</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807</v>
      </c>
      <c r="U4348" s="16" t="n">
        <v>145</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I-FA-0037</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Surface</t>
        </is>
      </c>
      <c r="T4349" s="16" t="n">
        <v>198</v>
      </c>
      <c r="U4349" s="16" t="n">
        <v>47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I-FA-0038</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198</v>
      </c>
      <c r="U4350" s="16" t="n">
        <v>37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I-FA-0039</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67</v>
      </c>
      <c r="U4351" s="16" t="n">
        <v>90</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I-FA-0040</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6" t="n">
        <v>0</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I-FA-0041</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6" t="n">
        <v>260</v>
      </c>
      <c r="U4353" s="16" t="n">
        <v>131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I-FA-0042</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I-FA-0043</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6" t="n">
        <v>40</v>
      </c>
      <c r="U4355" s="16" t="n">
        <v>52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I-FA-0044</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HV duct bank</t>
        </is>
      </c>
      <c r="T4356" s="16" t="n">
        <v>4478</v>
      </c>
      <c r="U4356" s="16" t="n">
        <v>38</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I-FA-0045</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6" t="n">
        <v>382</v>
      </c>
      <c r="U4357" s="16" t="n">
        <v>50</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I-FA-0046</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6" t="n">
        <v>386</v>
      </c>
      <c r="U4358" s="16" t="n">
        <v>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HV duct bank</t>
        </is>
      </c>
      <c r="T4359" s="16" t="n">
        <v>4299</v>
      </c>
      <c r="U4359" s="16" t="n">
        <v>38</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6" t="n">
        <v>59</v>
      </c>
      <c r="U4360" s="16" t="n">
        <v>10</v>
      </c>
      <c r="V4360" s="16">
        <f>ROUNDUP((T4360+U4360+2*'Read Me'!$B$13)*(1+'Read Me'!$B$12),-1)</f>
        <v/>
      </c>
      <c r="W4360" s="16">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6" t="n">
        <v>624</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6" t="n">
        <v>59</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6" t="n">
        <v>624</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40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40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6" t="n">
        <v>550</v>
      </c>
      <c r="U4368" s="16" t="n">
        <v>32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6" t="n">
        <v>550</v>
      </c>
      <c r="U4369" s="16" t="n">
        <v>32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6" t="n">
        <v>550</v>
      </c>
      <c r="U4370" s="16" t="n">
        <v>32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6" t="n">
        <v>40</v>
      </c>
      <c r="U4371" s="16" t="n">
        <v>52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6" t="n">
        <v>40</v>
      </c>
      <c r="U4372" s="16" t="n">
        <v>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40</v>
      </c>
      <c r="U4373" s="16" t="n">
        <v>52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HV duct bank</t>
        </is>
      </c>
      <c r="T4374" s="16" t="n">
        <v>4528</v>
      </c>
      <c r="U4374" s="16" t="n">
        <v>38</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HV duct bank</t>
        </is>
      </c>
      <c r="T4375" s="16" t="n">
        <v>4528</v>
      </c>
      <c r="U4375" s="16" t="n">
        <v>38</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HV duct bank</t>
        </is>
      </c>
      <c r="T4376" s="16" t="n">
        <v>4528</v>
      </c>
      <c r="U4376" s="16" t="n">
        <v>38</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6" t="n">
        <v>54</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6" t="n">
        <v>298</v>
      </c>
      <c r="U4378" s="16" t="n">
        <v>37</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6" t="n">
        <v>54</v>
      </c>
      <c r="U4379" s="16" t="n">
        <v>10</v>
      </c>
      <c r="V4379" s="16">
        <f>ROUNDUP((T4379+U4379+2*'Read Me'!$B$13)*(1+'Read Me'!$B$12),-1)</f>
        <v/>
      </c>
      <c r="W4379" s="16">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6" t="n">
        <v>298</v>
      </c>
      <c r="U4380" s="16" t="n">
        <v>37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267</v>
      </c>
      <c r="U4382" s="16" t="n">
        <v>37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267</v>
      </c>
      <c r="U4384" s="16" t="n">
        <v>37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191</v>
      </c>
      <c r="U4386" s="16" t="n">
        <v>32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191</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Duct bank</t>
        </is>
      </c>
      <c r="T4390" s="16" t="n">
        <v>62</v>
      </c>
      <c r="U4390" s="16" t="n">
        <v>81</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Duct bank</t>
        </is>
      </c>
      <c r="T4392" s="16" t="n">
        <v>62</v>
      </c>
      <c r="U4392" s="16" t="n">
        <v>81</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Duct bank</t>
        </is>
      </c>
      <c r="T4394" s="16" t="n">
        <v>25</v>
      </c>
      <c r="U4394" s="16" t="n">
        <v>58</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Duct bank</t>
        </is>
      </c>
      <c r="T4396" s="16" t="n">
        <v>25</v>
      </c>
      <c r="U4396" s="16" t="n">
        <v>58</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228</v>
      </c>
      <c r="U4398" s="16" t="n">
        <v>46</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228</v>
      </c>
      <c r="U4400" s="16" t="n">
        <v>46</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228</v>
      </c>
      <c r="U4402" s="16" t="n">
        <v>46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228</v>
      </c>
      <c r="U4404" s="16" t="n">
        <v>46</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16</v>
      </c>
      <c r="U4406" s="16" t="n">
        <v>117</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16</v>
      </c>
      <c r="U4408" s="16" t="n">
        <v>117</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6" t="n">
        <v>78</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HV duct bank</t>
        </is>
      </c>
      <c r="T4410" s="16" t="n">
        <v>4353</v>
      </c>
      <c r="U4410" s="16" t="n">
        <v>73</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6" t="n">
        <v>78</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HV duct bank</t>
        </is>
      </c>
      <c r="T4412" s="16" t="n">
        <v>4353</v>
      </c>
      <c r="U4412" s="16" t="n">
        <v>73</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6" t="n">
        <v>45</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is>
          <t>PAD-EH</t>
        </is>
      </c>
      <c r="F4414" s="12" t="inlineStr">
        <is>
          <t>PAD-EH 13.8 kV switchgear e-house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Duct bank</t>
        </is>
      </c>
      <c r="T4414" s="16" t="n">
        <v>286</v>
      </c>
      <c r="U4414" s="16" t="n">
        <v>50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6" t="n">
        <v>45</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is>
          <t>PAD-EH</t>
        </is>
      </c>
      <c r="F4416" s="12" t="inlineStr">
        <is>
          <t>PAD-EH 13.8 kV switchgear e-house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Duct bank</t>
        </is>
      </c>
      <c r="T4416" s="16" t="n">
        <v>286</v>
      </c>
      <c r="U4416" s="16" t="n">
        <v>50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is>
          <t>PAD-EH</t>
        </is>
      </c>
      <c r="F4418" s="12" t="inlineStr">
        <is>
          <t>PAD-EH 13.8 kV switchgear e-house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Duct bank</t>
        </is>
      </c>
      <c r="T4418" s="16" t="n">
        <v>272</v>
      </c>
      <c r="U4418" s="16" t="n">
        <v>50</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is>
          <t>PAD-EH</t>
        </is>
      </c>
      <c r="F4420" s="12" t="inlineStr">
        <is>
          <t>PAD-EH 13.8 kV switchgear e-house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Duct bank</t>
        </is>
      </c>
      <c r="T4420" s="16" t="n">
        <v>272</v>
      </c>
      <c r="U4420" s="16" t="n">
        <v>50</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is>
          <t>PAD-EH</t>
        </is>
      </c>
      <c r="F4422" s="12" t="inlineStr">
        <is>
          <t>PAD-EH 13.8 kV switchgear e-house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272</v>
      </c>
      <c r="U4422" s="16" t="n">
        <v>41</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is>
          <t>PAD-EH</t>
        </is>
      </c>
      <c r="F4424" s="12" t="inlineStr">
        <is>
          <t>PAD-EH 13.8 kV switchgear e-house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272</v>
      </c>
      <c r="U4424" s="16" t="n">
        <v>41</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1048</v>
      </c>
      <c r="U4426" s="16" t="n">
        <v>96</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1048</v>
      </c>
      <c r="U4428" s="16" t="n">
        <v>96</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1048</v>
      </c>
      <c r="U4430" s="16" t="n">
        <v>82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1048</v>
      </c>
      <c r="U4432" s="16" t="n">
        <v>82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1048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1048</v>
      </c>
      <c r="U4436" s="16" t="n">
        <v>68</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1048</v>
      </c>
      <c r="U4438" s="16" t="n">
        <v>54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1048</v>
      </c>
      <c r="U4440" s="16" t="n">
        <v>54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is>
          <t>PAD-EH</t>
        </is>
      </c>
      <c r="F4441" s="12" t="inlineStr">
        <is>
          <t>PAD-EH 13.8 kV switchgear e-house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Surface</t>
        </is>
      </c>
      <c r="T4441" s="16" t="n">
        <v>202</v>
      </c>
      <c r="U4441" s="16" t="n">
        <v>37</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is>
          <t>PAD-EH</t>
        </is>
      </c>
      <c r="F4442" s="12" t="inlineStr">
        <is>
          <t>PAD-EH 13.8 kV switchgear e-house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Surface</t>
        </is>
      </c>
      <c r="T4442" s="16" t="n">
        <v>202</v>
      </c>
      <c r="U4442" s="16" t="n">
        <v>37</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is>
          <t>PAD-EH</t>
        </is>
      </c>
      <c r="F4443" s="12" t="inlineStr">
        <is>
          <t>PAD-EH 13.8 kV switchgear e-house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Surface</t>
        </is>
      </c>
      <c r="T4443" s="16" t="n">
        <v>202</v>
      </c>
      <c r="U4443" s="16" t="n">
        <v>37</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6" t="n">
        <v>45</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is>
          <t>PAD-EH</t>
        </is>
      </c>
      <c r="F4445" s="12" t="inlineStr">
        <is>
          <t>PAD-EH 13.8 kV switchgear e-house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6" t="n">
        <v>356</v>
      </c>
      <c r="U4445" s="16" t="n">
        <v>50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6" t="n">
        <v>45</v>
      </c>
      <c r="U4446" s="16" t="n">
        <v>10</v>
      </c>
      <c r="V4446" s="16">
        <f>ROUNDUP((T4446+U4446+2*'Read Me'!$B$13)*(1+'Read Me'!$B$12),-1)</f>
        <v/>
      </c>
      <c r="W4446" s="16">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is>
          <t>PAD-EH</t>
        </is>
      </c>
      <c r="F4447" s="12" t="inlineStr">
        <is>
          <t>PAD-EH 13.8 kV switchgear e-house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6" t="n">
        <v>356</v>
      </c>
      <c r="U4447" s="16" t="n">
        <v>50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is>
          <t>PAD-EH</t>
        </is>
      </c>
      <c r="F4449" s="12" t="inlineStr">
        <is>
          <t>PAD-EH 13.8 kV switchgear e-house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6" t="n">
        <v>342</v>
      </c>
      <c r="U4449" s="16" t="n">
        <v>50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is>
          <t>PAD-EH</t>
        </is>
      </c>
      <c r="F4451" s="12" t="inlineStr">
        <is>
          <t>PAD-EH 13.8 kV switchgear e-house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6" t="n">
        <v>342</v>
      </c>
      <c r="U4451" s="16" t="n">
        <v>50</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is>
          <t>PAD-EH</t>
        </is>
      </c>
      <c r="F4453" s="12" t="inlineStr">
        <is>
          <t>PAD-EH 13.8 kV switchgear e-house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6" t="n">
        <v>328</v>
      </c>
      <c r="U4453" s="16" t="n">
        <v>50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is>
          <t>PAD-EH</t>
        </is>
      </c>
      <c r="F4455" s="12" t="inlineStr">
        <is>
          <t>PAD-EH 13.8 kV switchgear e-house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6" t="n">
        <v>328</v>
      </c>
      <c r="U4455" s="16" t="n">
        <v>50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is>
          <t>PAD-EH</t>
        </is>
      </c>
      <c r="F4457" s="12" t="inlineStr">
        <is>
          <t>PAD-EH 13.8 kV switchgear e-house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6" t="n">
        <v>314</v>
      </c>
      <c r="U4457" s="16" t="n">
        <v>50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is>
          <t>PAD-EH</t>
        </is>
      </c>
      <c r="F4459" s="12" t="inlineStr">
        <is>
          <t>PAD-EH 13.8 kV switchgear e-house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6" t="n">
        <v>314</v>
      </c>
      <c r="U4459" s="16" t="n">
        <v>50</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is>
          <t>PAD-EH</t>
        </is>
      </c>
      <c r="F4461" s="12" t="inlineStr">
        <is>
          <t>PAD-EH 13.8 kV switchgear e-house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6" t="n">
        <v>300</v>
      </c>
      <c r="U4461" s="16" t="n">
        <v>50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is>
          <t>PAD-EH</t>
        </is>
      </c>
      <c r="F4463" s="12" t="inlineStr">
        <is>
          <t>PAD-EH 13.8 kV switchgear e-house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6" t="n">
        <v>300</v>
      </c>
      <c r="U4463" s="16" t="n">
        <v>50</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6" t="n">
        <v>1032</v>
      </c>
      <c r="U4464" s="16" t="n">
        <v>34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1032</v>
      </c>
      <c r="U4465" s="16" t="n">
        <v>34</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6" t="n">
        <v>1032</v>
      </c>
      <c r="U4466" s="16" t="n">
        <v>34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6" t="n">
        <v>103</v>
      </c>
      <c r="U4467" s="16" t="n">
        <v>10</v>
      </c>
      <c r="V4467" s="16">
        <f>ROUNDUP((T4467+U4467+2*'Read Me'!$B$13)*(1+'Read Me'!$B$12),-1)</f>
        <v/>
      </c>
      <c r="W4467" s="16">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HV duct bank</t>
        </is>
      </c>
      <c r="T4468" s="16" t="n">
        <v>4433</v>
      </c>
      <c r="U4468" s="16" t="n">
        <v>38</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6" t="n">
        <v>103</v>
      </c>
      <c r="U4469" s="16" t="n">
        <v>10</v>
      </c>
      <c r="V4469" s="16">
        <f>ROUNDUP((T4469+U4469+2*'Read Me'!$B$13)*(1+'Read Me'!$B$12),-1)</f>
        <v/>
      </c>
      <c r="W4469" s="16">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HV duct bank</t>
        </is>
      </c>
      <c r="T4470" s="16" t="n">
        <v>4433</v>
      </c>
      <c r="U4470" s="16" t="n">
        <v>38</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4433</v>
      </c>
      <c r="U4472" s="16" t="n">
        <v>38</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HV duct bank</t>
        </is>
      </c>
      <c r="T4474" s="16" t="n">
        <v>4433</v>
      </c>
      <c r="U4474" s="16" t="n">
        <v>38</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HV duct bank</t>
        </is>
      </c>
      <c r="T4476" s="16" t="n">
        <v>4433</v>
      </c>
      <c r="U4476" s="16" t="n">
        <v>38</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6" t="n">
        <v>60</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6" t="n">
        <v>153</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6" t="n">
        <v>60</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6" t="n">
        <v>153</v>
      </c>
      <c r="U4480" s="16" t="n">
        <v>32</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45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153</v>
      </c>
      <c r="U4482" s="16" t="n">
        <v>79</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45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153</v>
      </c>
      <c r="U4484" s="16" t="n">
        <v>79</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6" t="n">
        <v>32</v>
      </c>
      <c r="U4485" s="16" t="n">
        <v>94</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6" t="n">
        <v>32</v>
      </c>
      <c r="U4486" s="16" t="n">
        <v>94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61</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113</v>
      </c>
      <c r="U4488" s="16" t="n">
        <v>160</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61</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6" t="n">
        <v>113</v>
      </c>
      <c r="U4490" s="16" t="n">
        <v>160</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6" t="n">
        <v>773</v>
      </c>
      <c r="U4491" s="16" t="n">
        <v>34</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6" t="n">
        <v>47</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807</v>
      </c>
      <c r="U4493" s="16" t="n">
        <v>117</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6" t="n">
        <v>47</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807</v>
      </c>
      <c r="U4495" s="16" t="n">
        <v>117</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807</v>
      </c>
      <c r="U4497" s="16" t="n">
        <v>131</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807</v>
      </c>
      <c r="U4499" s="16" t="n">
        <v>131</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807</v>
      </c>
      <c r="U4501" s="16" t="n">
        <v>145</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807</v>
      </c>
      <c r="U4503" s="16" t="n">
        <v>145</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is>
          <t>PAD-EH</t>
        </is>
      </c>
      <c r="F4505" s="12" t="inlineStr">
        <is>
          <t>PAD-EH 13.8 kV switchgear e-house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Surface</t>
        </is>
      </c>
      <c r="T4505" s="16" t="n">
        <v>198</v>
      </c>
      <c r="U4505" s="16" t="n">
        <v>47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is>
          <t>PAD-EH</t>
        </is>
      </c>
      <c r="F4507" s="12" t="inlineStr">
        <is>
          <t>PAD-EH 13.8 kV switchgear e-house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Surface</t>
        </is>
      </c>
      <c r="T4507" s="16" t="n">
        <v>198</v>
      </c>
      <c r="U4507" s="16" t="n">
        <v>47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is>
          <t>PAD-EH</t>
        </is>
      </c>
      <c r="F4509" s="12" t="inlineStr">
        <is>
          <t>PAD-EH 13.8 kV switchgear e-house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6" t="n">
        <v>198</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is>
          <t>PAD-EH</t>
        </is>
      </c>
      <c r="F4511" s="12" t="inlineStr">
        <is>
          <t>PAD-EH 13.8 kV switchgear e-house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6" t="n">
        <v>198</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is>
          <t>PAD-EH</t>
        </is>
      </c>
      <c r="F4513" s="12" t="inlineStr">
        <is>
          <t>PAD-EH 13.8 kV switchgear e-house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6" t="n">
        <v>67</v>
      </c>
      <c r="U4513" s="16" t="n">
        <v>90</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is>
          <t>PAD-EH</t>
        </is>
      </c>
      <c r="F4515" s="12" t="inlineStr">
        <is>
          <t>PAD-EH 13.8 kV switchgear e-house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67</v>
      </c>
      <c r="U4515" s="16" t="n">
        <v>90</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92</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470</v>
      </c>
      <c r="U4517" s="16" t="n">
        <v>160</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470</v>
      </c>
      <c r="U4519" s="16" t="n">
        <v>160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6" t="n">
        <v>80</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745</v>
      </c>
      <c r="U4521" s="16" t="n">
        <v>139</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745</v>
      </c>
      <c r="U4523" s="16" t="n">
        <v>139</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92</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470</v>
      </c>
      <c r="U4525" s="16" t="n">
        <v>132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470</v>
      </c>
      <c r="U4527" s="16" t="n">
        <v>132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6" t="n">
        <v>80</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550</v>
      </c>
      <c r="U4529" s="16" t="n">
        <v>192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550</v>
      </c>
      <c r="U4531" s="16" t="n">
        <v>192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92</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470</v>
      </c>
      <c r="U4533" s="16" t="n">
        <v>104</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470</v>
      </c>
      <c r="U4535" s="16" t="n">
        <v>104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6" t="n">
        <v>80</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6" t="n">
        <v>32</v>
      </c>
      <c r="U4537" s="16" t="n">
        <v>232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32</v>
      </c>
      <c r="U4539" s="16" t="n">
        <v>232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92</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470</v>
      </c>
      <c r="U4541" s="16" t="n">
        <v>76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6" t="n">
        <v>92</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470</v>
      </c>
      <c r="U4543" s="16" t="n">
        <v>76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6" t="n">
        <v>80</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6" t="n">
        <v>0</v>
      </c>
      <c r="U4545" s="16" t="n">
        <v>206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80</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6" t="n">
        <v>0</v>
      </c>
      <c r="U4547" s="16" t="n">
        <v>206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92</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322</v>
      </c>
      <c r="U4549" s="16" t="n">
        <v>196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92</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322</v>
      </c>
      <c r="U4551" s="16" t="n">
        <v>196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6" t="n">
        <v>80</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178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80</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6" t="n">
        <v>0</v>
      </c>
      <c r="U4555" s="16" t="n">
        <v>178</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92</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322</v>
      </c>
      <c r="U4557" s="16" t="n">
        <v>168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6" t="n">
        <v>92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322</v>
      </c>
      <c r="U4559" s="16" t="n">
        <v>168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6" t="n">
        <v>80</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6" t="n">
        <v>0</v>
      </c>
      <c r="U4561" s="16" t="n">
        <v>150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80</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6" t="n">
        <v>0</v>
      </c>
      <c r="U4563" s="16" t="n">
        <v>150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92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322</v>
      </c>
      <c r="U4565" s="16" t="n">
        <v>140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92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322</v>
      </c>
      <c r="U4567" s="16" t="n">
        <v>140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6" t="n">
        <v>80</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6" t="n">
        <v>0</v>
      </c>
      <c r="U4569" s="16" t="n">
        <v>122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6" t="n">
        <v>80</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6" t="n">
        <v>0</v>
      </c>
      <c r="U4571" s="16" t="n">
        <v>122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6" t="n">
        <v>92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322</v>
      </c>
      <c r="U4573" s="16" t="n">
        <v>112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92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322</v>
      </c>
      <c r="U4575" s="16" t="n">
        <v>112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6" t="n">
        <v>80</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6" t="n">
        <v>0</v>
      </c>
      <c r="U4577" s="16" t="n">
        <v>94</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6" t="n">
        <v>80</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6" t="n">
        <v>0</v>
      </c>
      <c r="U4579" s="16" t="n">
        <v>94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6" t="n">
        <v>367</v>
      </c>
      <c r="U4580" s="16" t="n">
        <v>95</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6" t="n">
        <v>367</v>
      </c>
      <c r="U4581" s="16" t="n">
        <v>95</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6" t="n">
        <v>367</v>
      </c>
      <c r="U4582" s="16" t="n">
        <v>95</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6" t="n">
        <v>367</v>
      </c>
      <c r="U4583" s="16" t="n">
        <v>95</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550</v>
      </c>
      <c r="U4597" s="16" t="n">
        <v>137</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550</v>
      </c>
      <c r="U4599" s="16" t="n">
        <v>137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109</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550</v>
      </c>
      <c r="U4621" s="16" t="n">
        <v>109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550</v>
      </c>
      <c r="U4641" s="16" t="n">
        <v>81</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81</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53</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53</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367</v>
      </c>
      <c r="U4685" s="16" t="n">
        <v>208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367</v>
      </c>
      <c r="U4687" s="16" t="n">
        <v>208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367</v>
      </c>
      <c r="U4707" s="16" t="n">
        <v>180</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367</v>
      </c>
      <c r="U4709" s="16" t="n">
        <v>180</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6" t="n">
        <v>0</v>
      </c>
      <c r="U4729" s="16" t="n">
        <v>189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6" t="n">
        <v>0</v>
      </c>
      <c r="U4731" s="16" t="n">
        <v>189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6" t="n">
        <v>0</v>
      </c>
      <c r="U4751" s="16" t="n">
        <v>161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6" t="n">
        <v>0</v>
      </c>
      <c r="U4753" s="16" t="n">
        <v>161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6" t="n">
        <v>32</v>
      </c>
      <c r="U4772" s="16" t="n">
        <v>32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40</v>
      </c>
      <c r="U4774" s="16" t="n">
        <v>142</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6" t="n">
        <v>40</v>
      </c>
      <c r="U4776" s="16" t="n">
        <v>142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82</v>
      </c>
      <c r="U4778" s="16" t="n">
        <v>82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82</v>
      </c>
      <c r="U4780" s="16" t="n">
        <v>82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40</v>
      </c>
      <c r="U4782" s="16" t="n">
        <v>52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40</v>
      </c>
      <c r="U4784" s="16" t="n">
        <v>52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6" t="n">
        <v>74</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4378</v>
      </c>
      <c r="U4812" s="16" t="n">
        <v>58</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6" t="n">
        <v>74</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4378</v>
      </c>
      <c r="U4814" s="16" t="n">
        <v>58</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6" t="n">
        <v>46</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4366</v>
      </c>
      <c r="U4816" s="16" t="n">
        <v>93</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46</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4366</v>
      </c>
      <c r="U4818" s="16" t="n">
        <v>93</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6" t="n">
        <v>99</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4478</v>
      </c>
      <c r="U4820" s="16" t="n">
        <v>38</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6" t="n">
        <v>99</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4478</v>
      </c>
      <c r="U4822" s="16" t="n">
        <v>38</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4478</v>
      </c>
      <c r="U4824" s="16" t="n">
        <v>38</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4478</v>
      </c>
      <c r="U4826" s="16" t="n">
        <v>38</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4478</v>
      </c>
      <c r="U4828" s="16" t="n">
        <v>38</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4478</v>
      </c>
      <c r="U4830" s="16" t="n">
        <v>38</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4478</v>
      </c>
      <c r="U4832" s="16" t="n">
        <v>38</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4478</v>
      </c>
      <c r="U4834" s="16" t="n">
        <v>38</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4478</v>
      </c>
      <c r="U4836" s="16" t="n">
        <v>38</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4478</v>
      </c>
      <c r="U4838" s="16" t="n">
        <v>38</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4478</v>
      </c>
      <c r="U4840" s="16" t="n">
        <v>38</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4478</v>
      </c>
      <c r="U4842" s="16" t="n">
        <v>38</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4478</v>
      </c>
      <c r="U4844" s="16" t="n">
        <v>38</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HV duct bank</t>
        </is>
      </c>
      <c r="T4846" s="16" t="n">
        <v>4478</v>
      </c>
      <c r="U4846" s="16" t="n">
        <v>38</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HV duct bank</t>
        </is>
      </c>
      <c r="T4848" s="16" t="n">
        <v>4478</v>
      </c>
      <c r="U4848" s="16" t="n">
        <v>38</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6" t="n">
        <v>88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HV duct bank</t>
        </is>
      </c>
      <c r="T4850" s="16" t="n">
        <v>2426</v>
      </c>
      <c r="U4850" s="16" t="n">
        <v>141</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6" t="n">
        <v>88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HV duct bank</t>
        </is>
      </c>
      <c r="T4852" s="16" t="n">
        <v>2426</v>
      </c>
      <c r="U4852" s="16" t="n">
        <v>141</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64</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415</v>
      </c>
      <c r="U4854" s="16" t="n">
        <v>130</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64</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415</v>
      </c>
      <c r="U4856" s="16" t="n">
        <v>130</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77</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415</v>
      </c>
      <c r="U4858" s="16" t="n">
        <v>82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77</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415</v>
      </c>
      <c r="U4860" s="16" t="n">
        <v>82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799</v>
      </c>
      <c r="U4862" s="16" t="n">
        <v>191</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799</v>
      </c>
      <c r="U4864" s="16" t="n">
        <v>191</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108</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6" t="n">
        <v>382</v>
      </c>
      <c r="U4866" s="16" t="n">
        <v>50</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108</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6" t="n">
        <v>382</v>
      </c>
      <c r="U4868" s="16" t="n">
        <v>50</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382</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382</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382</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382</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382</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382</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6" t="n">
        <v>382</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386</v>
      </c>
      <c r="U4884" s="16" t="n">
        <v>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6" t="n">
        <v>386</v>
      </c>
      <c r="U4886" s="16" t="n">
        <v>52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386</v>
      </c>
      <c r="U4888" s="16" t="n">
        <v>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386</v>
      </c>
      <c r="U4890" s="16" t="n">
        <v>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386</v>
      </c>
      <c r="U4892" s="16" t="n">
        <v>52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386</v>
      </c>
      <c r="U4894" s="16" t="n">
        <v>52</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386</v>
      </c>
      <c r="U4896" s="16" t="n">
        <v>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386</v>
      </c>
      <c r="U4898" s="16" t="n">
        <v>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6" t="n">
        <v>386</v>
      </c>
      <c r="U4900" s="16" t="n">
        <v>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HV duct bank</t>
        </is>
      </c>
      <c r="T4901" s="16" t="n">
        <v>4299</v>
      </c>
      <c r="U4901" s="16" t="n">
        <v>87</v>
      </c>
      <c r="V4901" s="16">
        <f>ROUNDUP((T4901+U4901+2*'Read Me'!$B$13)*(1+'Read Me'!$B$12),-1)</f>
        <v/>
      </c>
      <c r="W4901" s="16">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HV duct bank</t>
        </is>
      </c>
      <c r="T4902" s="16" t="n">
        <v>4299</v>
      </c>
      <c r="U4902" s="16" t="n">
        <v>87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HV duct bank</t>
        </is>
      </c>
      <c r="T4903" s="16" t="n">
        <v>4262</v>
      </c>
      <c r="U4903" s="16" t="n">
        <v>40</v>
      </c>
      <c r="V4903" s="16">
        <f>ROUNDUP((T4903+U4903+2*'Read Me'!$B$13)*(1+'Read Me'!$B$12),-1)</f>
        <v/>
      </c>
      <c r="W4903" s="16">
        <f>V4903*N4903*O4903</f>
        <v/>
      </c>
      <c r="X4903" s="12">
        <f>IF(LEFT(I4903,2)="MV",2*N4903*IF(L4903="1/C",O4903,1),0)</f>
        <v/>
      </c>
      <c r="Y4903" s="12">
        <f>IF(OR(LEFT(K4903,4)="LVAX",LEFT(K4903,6)="MV15AX",LEFT(K4903,4)="CTAX",LEFT(K4903,2)="W|"),2*N4903*O4903,0)</f>
        <v/>
      </c>
      <c r="Z4903" s="12" t="inlineStr">
        <is>
          <t>VD 2.9 %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6" t="n">
        <v>0</v>
      </c>
      <c r="U4904" s="16" t="n">
        <v>41</v>
      </c>
      <c r="V4904" s="16">
        <f>ROUNDUP((T4904+U4904+2*'Read Me'!$B$13)*(1+'Read Me'!$B$12),-1)</f>
        <v/>
      </c>
      <c r="W4904" s="16">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6" t="n">
        <v>0</v>
      </c>
      <c r="U4905" s="16" t="n">
        <v>49</v>
      </c>
      <c r="V4905" s="16">
        <f>ROUNDUP((T4905+U4905+2*'Read Me'!$B$13)*(1+'Read Me'!$B$12),-1)</f>
        <v/>
      </c>
      <c r="W4905" s="16">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6" t="n">
        <v>562</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6" t="n">
        <v>550</v>
      </c>
      <c r="U4907" s="16" t="n">
        <v>32</v>
      </c>
      <c r="V4907" s="16">
        <f>ROUNDUP((T4907+U4907+2*'Read Me'!$B$13)*(1+'Read Me'!$B$12),-1)</f>
        <v/>
      </c>
      <c r="W4907" s="16">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6" t="n">
        <v>40</v>
      </c>
      <c r="U4908" s="16" t="n">
        <v>52</v>
      </c>
      <c r="V4908" s="16">
        <f>ROUNDUP((T4908+U4908+2*'Read Me'!$B$13)*(1+'Read Me'!$B$12),-1)</f>
        <v/>
      </c>
      <c r="W4908" s="16">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LV|3/C+G|500</t>
        </is>
      </c>
      <c r="L4909" s="12" t="inlineStr">
        <is>
          <t>3/C+G</t>
        </is>
      </c>
      <c r="M4909" s="12" t="inlineStr">
        <is>
          <t>500 kcmil</t>
        </is>
      </c>
      <c r="N4909" s="12" t="n">
        <v>12</v>
      </c>
      <c r="O4909" s="12" t="n">
        <v>1</v>
      </c>
      <c r="P4909" s="12" t="n">
        <v>480</v>
      </c>
      <c r="Q4909" s="12" t="n">
        <v>500</v>
      </c>
      <c r="R4909" s="12" t="n">
        <v>707.6</v>
      </c>
      <c r="S4909" s="12" t="inlineStr">
        <is>
          <t>HV duct bank</t>
        </is>
      </c>
      <c r="T4909" s="16" t="n">
        <v>4491</v>
      </c>
      <c r="U4909" s="16" t="n">
        <v>40</v>
      </c>
      <c r="V4909" s="16">
        <f>ROUNDUP((T4909+U4909+2*'Read Me'!$B$13)*(1+'Read Me'!$B$12),-1)</f>
        <v/>
      </c>
      <c r="W4909" s="16">
        <f>V4909*N4909*O4909</f>
        <v/>
      </c>
      <c r="X4909" s="12">
        <f>IF(LEFT(I4909,2)="MV",2*N4909*IF(L4909="1/C",O4909,1),0)</f>
        <v/>
      </c>
      <c r="Y4909" s="12">
        <f>IF(OR(LEFT(K4909,4)="LVAX",LEFT(K4909,6)="MV15AX",LEFT(K4909,4)="CTAX",LEFT(K4909,2)="W|"),2*N4909*O4909,0)</f>
        <v/>
      </c>
      <c r="Z4909" s="12" t="inlineStr">
        <is>
          <t>VD 2.7 %</t>
        </is>
      </c>
      <c r="AA4909" s="12">
        <f>N4909*O4909</f>
        <v/>
      </c>
    </row>
    <row r="4910">
      <c r="A4910" s="12" t="inlineStr">
        <is>
          <t>I-P-0008</t>
        </is>
      </c>
      <c r="B4910" s="12" t="inlineStr">
        <is>
          <t>I</t>
        </is>
      </c>
      <c r="C4910" s="12" t="inlineStr">
        <is>
          <t>Modular / portable power</t>
        </is>
      </c>
      <c r="D4910" s="12" t="inlineStr">
        <is>
          <t>FC-5 SOFC output to inverter / AC cabinet</t>
        </is>
      </c>
      <c r="E4910" s="12" t="inlineStr">
        <is>
          <t>FC-5</t>
        </is>
      </c>
      <c r="F4910" s="12" t="inlineStr">
        <is>
          <t>FC-5: SOFC module (Bloom ES5 class, 200-300 kW)</t>
        </is>
      </c>
      <c r="G4910" s="12" t="inlineStr"/>
      <c r="H4910" s="12" t="inlineStr">
        <is>
          <t>FC-5..12 inverter / AC cabinet / desulfurizer</t>
        </is>
      </c>
      <c r="I4910" s="12" t="inlineStr">
        <is>
          <t>LV 600 V</t>
        </is>
      </c>
      <c r="J4910" s="12" t="inlineStr">
        <is>
          <t>Type TC-ER 600 V 3/C Cu XHHW-2 + ground, PVC jacket</t>
        </is>
      </c>
      <c r="K4910" s="12" t="inlineStr">
        <is>
          <t>LV|3/C+G|3/0</t>
        </is>
      </c>
      <c r="L4910" s="12" t="inlineStr">
        <is>
          <t>3/C+G</t>
        </is>
      </c>
      <c r="M4910" s="12" t="inlineStr">
        <is>
          <t>3/0</t>
        </is>
      </c>
      <c r="N4910" s="12" t="n">
        <v>2</v>
      </c>
      <c r="O4910" s="12" t="n">
        <v>1</v>
      </c>
      <c r="P4910" s="12" t="n">
        <v>480</v>
      </c>
      <c r="Q4910" s="12" t="n">
        <v>250</v>
      </c>
      <c r="R4910" s="12" t="n">
        <v>316.5</v>
      </c>
      <c r="S4910" s="12" t="inlineStr">
        <is>
          <t>Duct bank</t>
        </is>
      </c>
      <c r="T4910" s="16" t="n">
        <v>139</v>
      </c>
      <c r="U4910" s="16" t="n">
        <v>32</v>
      </c>
      <c r="V4910" s="16">
        <f>ROUNDUP((T4910+U4910+2*'Read Me'!$B$13)*(1+'Read Me'!$B$12),-1)</f>
        <v/>
      </c>
      <c r="W4910" s="16">
        <f>V4910*N4910*O4910</f>
        <v/>
      </c>
      <c r="X4910" s="12">
        <f>IF(LEFT(I4910,2)="MV",2*N4910*IF(L4910="1/C",O4910,1),0)</f>
        <v/>
      </c>
      <c r="Y4910" s="12">
        <f>IF(OR(LEFT(K4910,4)="LVAX",LEFT(K4910,6)="MV15AX",LEFT(K4910,4)="CTAX",LEFT(K4910,2)="W|"),2*N4910*O4910,0)</f>
        <v/>
      </c>
      <c r="Z4910" s="12" t="inlineStr">
        <is>
          <t>VD 0.8 %</t>
        </is>
      </c>
      <c r="AA4910" s="12">
        <f>N4910*O4910</f>
        <v/>
      </c>
    </row>
    <row r="4911">
      <c r="A4911" s="12" t="inlineStr">
        <is>
          <t>I-P-0009</t>
        </is>
      </c>
      <c r="B4911" s="12" t="inlineStr">
        <is>
          <t>I</t>
        </is>
      </c>
      <c r="C4911" s="12" t="inlineStr">
        <is>
          <t>Modular / portable power</t>
        </is>
      </c>
      <c r="D4911" s="12" t="inlineStr">
        <is>
          <t>FC-6 SOFC output to inverter / AC cabinet</t>
        </is>
      </c>
      <c r="E4911" s="12" t="inlineStr">
        <is>
          <t>FC-6</t>
        </is>
      </c>
      <c r="F4911" s="12" t="inlineStr">
        <is>
          <t>FC-6: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6" t="n">
        <v>125</v>
      </c>
      <c r="U4911" s="16" t="n">
        <v>32</v>
      </c>
      <c r="V4911" s="16">
        <f>ROUNDUP((T4911+U4911+2*'Read Me'!$B$13)*(1+'Read Me'!$B$12),-1)</f>
        <v/>
      </c>
      <c r="W4911" s="16">
        <f>V4911*N4911*O4911</f>
        <v/>
      </c>
      <c r="X4911" s="12">
        <f>IF(LEFT(I4911,2)="MV",2*N4911*IF(L4911="1/C",O4911,1),0)</f>
        <v/>
      </c>
      <c r="Y4911" s="12">
        <f>IF(OR(LEFT(K4911,4)="LVAX",LEFT(K4911,6)="MV15AX",LEFT(K4911,4)="CTAX",LEFT(K4911,2)="W|"),2*N4911*O4911,0)</f>
        <v/>
      </c>
      <c r="Z4911" s="12" t="inlineStr">
        <is>
          <t>VD 0.8 %</t>
        </is>
      </c>
      <c r="AA4911" s="12">
        <f>N4911*O4911</f>
        <v/>
      </c>
    </row>
    <row r="4912">
      <c r="A4912" s="12" t="inlineStr">
        <is>
          <t>I-P-0010</t>
        </is>
      </c>
      <c r="B4912" s="12" t="inlineStr">
        <is>
          <t>I</t>
        </is>
      </c>
      <c r="C4912" s="12" t="inlineStr">
        <is>
          <t>Modular / portable power</t>
        </is>
      </c>
      <c r="D4912" s="12" t="inlineStr">
        <is>
          <t>FC-7 SOFC output to inverter / AC cabinet</t>
        </is>
      </c>
      <c r="E4912" s="12" t="inlineStr">
        <is>
          <t>FC-7</t>
        </is>
      </c>
      <c r="F4912" s="12" t="inlineStr">
        <is>
          <t>FC-7: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6" t="n">
        <v>111</v>
      </c>
      <c r="U4912" s="16" t="n">
        <v>32</v>
      </c>
      <c r="V4912" s="16">
        <f>ROUNDUP((T4912+U4912+2*'Read Me'!$B$13)*(1+'Read Me'!$B$12),-1)</f>
        <v/>
      </c>
      <c r="W4912" s="16">
        <f>V4912*N4912*O4912</f>
        <v/>
      </c>
      <c r="X4912" s="12">
        <f>IF(LEFT(I4912,2)="MV",2*N4912*IF(L4912="1/C",O4912,1),0)</f>
        <v/>
      </c>
      <c r="Y4912" s="12">
        <f>IF(OR(LEFT(K4912,4)="LVAX",LEFT(K4912,6)="MV15AX",LEFT(K4912,4)="CTAX",LEFT(K4912,2)="W|"),2*N4912*O4912,0)</f>
        <v/>
      </c>
      <c r="Z4912" s="12" t="inlineStr">
        <is>
          <t>VD 0.7 %</t>
        </is>
      </c>
      <c r="AA4912" s="12">
        <f>N4912*O4912</f>
        <v/>
      </c>
    </row>
    <row r="4913">
      <c r="A4913" s="12" t="inlineStr">
        <is>
          <t>I-P-0011</t>
        </is>
      </c>
      <c r="B4913" s="12" t="inlineStr">
        <is>
          <t>I</t>
        </is>
      </c>
      <c r="C4913" s="12" t="inlineStr">
        <is>
          <t>Modular / portable power</t>
        </is>
      </c>
      <c r="D4913" s="12" t="inlineStr">
        <is>
          <t>FC-8 SOFC output to inverter / AC cabinet</t>
        </is>
      </c>
      <c r="E4913" s="12" t="inlineStr">
        <is>
          <t>FC-8</t>
        </is>
      </c>
      <c r="F4913" s="12" t="inlineStr">
        <is>
          <t>FC-8: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6" t="n">
        <v>97</v>
      </c>
      <c r="U4913" s="16" t="n">
        <v>32</v>
      </c>
      <c r="V4913" s="16">
        <f>ROUNDUP((T4913+U4913+2*'Read Me'!$B$13)*(1+'Read Me'!$B$12),-1)</f>
        <v/>
      </c>
      <c r="W4913" s="16">
        <f>V4913*N4913*O4913</f>
        <v/>
      </c>
      <c r="X4913" s="12">
        <f>IF(LEFT(I4913,2)="MV",2*N4913*IF(L4913="1/C",O4913,1),0)</f>
        <v/>
      </c>
      <c r="Y4913" s="12">
        <f>IF(OR(LEFT(K4913,4)="LVAX",LEFT(K4913,6)="MV15AX",LEFT(K4913,4)="CTAX",LEFT(K4913,2)="W|"),2*N4913*O4913,0)</f>
        <v/>
      </c>
      <c r="Z4913" s="12" t="inlineStr">
        <is>
          <t>VD 0.6 %</t>
        </is>
      </c>
      <c r="AA4913" s="12">
        <f>N4913*O4913</f>
        <v/>
      </c>
    </row>
    <row r="4914">
      <c r="A4914" s="12" t="inlineStr">
        <is>
          <t>I-P-0012</t>
        </is>
      </c>
      <c r="B4914" s="12" t="inlineStr">
        <is>
          <t>I</t>
        </is>
      </c>
      <c r="C4914" s="12" t="inlineStr">
        <is>
          <t>Modular / portable power</t>
        </is>
      </c>
      <c r="D4914" s="12" t="inlineStr">
        <is>
          <t>FC-9 SOFC output to inverter / AC cabinet</t>
        </is>
      </c>
      <c r="E4914" s="12" t="inlineStr">
        <is>
          <t>FC-9</t>
        </is>
      </c>
      <c r="F4914" s="12" t="inlineStr">
        <is>
          <t>FC-9: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6" t="n">
        <v>83</v>
      </c>
      <c r="U4914" s="16" t="n">
        <v>32</v>
      </c>
      <c r="V4914" s="16">
        <f>ROUNDUP((T4914+U4914+2*'Read Me'!$B$13)*(1+'Read Me'!$B$12),-1)</f>
        <v/>
      </c>
      <c r="W4914" s="16">
        <f>V4914*N4914*O4914</f>
        <v/>
      </c>
      <c r="X4914" s="12">
        <f>IF(LEFT(I4914,2)="MV",2*N4914*IF(L4914="1/C",O4914,1),0)</f>
        <v/>
      </c>
      <c r="Y4914" s="12">
        <f>IF(OR(LEFT(K4914,4)="LVAX",LEFT(K4914,6)="MV15AX",LEFT(K4914,4)="CTAX",LEFT(K4914,2)="W|"),2*N4914*O4914,0)</f>
        <v/>
      </c>
      <c r="Z4914" s="12" t="inlineStr">
        <is>
          <t>VD 0.6 %</t>
        </is>
      </c>
      <c r="AA4914" s="12">
        <f>N4914*O4914</f>
        <v/>
      </c>
    </row>
    <row r="4915">
      <c r="A4915" s="12" t="inlineStr">
        <is>
          <t>I-P-0013</t>
        </is>
      </c>
      <c r="B4915" s="12" t="inlineStr">
        <is>
          <t>I</t>
        </is>
      </c>
      <c r="C4915" s="12" t="inlineStr">
        <is>
          <t>Modular / portable power</t>
        </is>
      </c>
      <c r="D4915" s="12" t="inlineStr">
        <is>
          <t>FC-10 SOFC output to inverter / AC cabinet</t>
        </is>
      </c>
      <c r="E4915" s="12" t="inlineStr">
        <is>
          <t>FC-10</t>
        </is>
      </c>
      <c r="F4915" s="12" t="inlineStr">
        <is>
          <t>FC-10: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69</v>
      </c>
      <c r="U4915" s="16" t="n">
        <v>32</v>
      </c>
      <c r="V4915" s="16">
        <f>ROUNDUP((T4915+U4915+2*'Read Me'!$B$13)*(1+'Read Me'!$B$12),-1)</f>
        <v/>
      </c>
      <c r="W4915" s="16">
        <f>V4915*N4915*O4915</f>
        <v/>
      </c>
      <c r="X4915" s="12">
        <f>IF(LEFT(I4915,2)="MV",2*N4915*IF(L4915="1/C",O4915,1),0)</f>
        <v/>
      </c>
      <c r="Y4915" s="12">
        <f>IF(OR(LEFT(K4915,4)="LVAX",LEFT(K4915,6)="MV15AX",LEFT(K4915,4)="CTAX",LEFT(K4915,2)="W|"),2*N4915*O4915,0)</f>
        <v/>
      </c>
      <c r="Z4915" s="12" t="inlineStr">
        <is>
          <t>VD 0.5 %</t>
        </is>
      </c>
      <c r="AA4915" s="12">
        <f>N4915*O4915</f>
        <v/>
      </c>
    </row>
    <row r="4916">
      <c r="A4916" s="12" t="inlineStr">
        <is>
          <t>I-P-0014</t>
        </is>
      </c>
      <c r="B4916" s="12" t="inlineStr">
        <is>
          <t>I</t>
        </is>
      </c>
      <c r="C4916" s="12" t="inlineStr">
        <is>
          <t>Modular / portable power</t>
        </is>
      </c>
      <c r="D4916" s="12" t="inlineStr">
        <is>
          <t>FC-11 SOFC output to inverter / AC cabinet</t>
        </is>
      </c>
      <c r="E4916" s="12" t="inlineStr">
        <is>
          <t>FC-11</t>
        </is>
      </c>
      <c r="F4916" s="12" t="inlineStr">
        <is>
          <t>FC-11: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6" t="n">
        <v>55</v>
      </c>
      <c r="U4916" s="16" t="n">
        <v>32</v>
      </c>
      <c r="V4916" s="16">
        <f>ROUNDUP((T4916+U4916+2*'Read Me'!$B$13)*(1+'Read Me'!$B$12),-1)</f>
        <v/>
      </c>
      <c r="W4916" s="16">
        <f>V4916*N4916*O4916</f>
        <v/>
      </c>
      <c r="X4916" s="12">
        <f>IF(LEFT(I4916,2)="MV",2*N4916*IF(L4916="1/C",O4916,1),0)</f>
        <v/>
      </c>
      <c r="Y4916" s="12">
        <f>IF(OR(LEFT(K4916,4)="LVAX",LEFT(K4916,6)="MV15AX",LEFT(K4916,4)="CTAX",LEFT(K4916,2)="W|"),2*N4916*O4916,0)</f>
        <v/>
      </c>
      <c r="Z4916" s="12" t="inlineStr">
        <is>
          <t>VD 0.4 %</t>
        </is>
      </c>
      <c r="AA4916" s="12">
        <f>N4916*O4916</f>
        <v/>
      </c>
    </row>
    <row r="4917">
      <c r="A4917" s="12" t="inlineStr">
        <is>
          <t>I-P-0015</t>
        </is>
      </c>
      <c r="B4917" s="12" t="inlineStr">
        <is>
          <t>I</t>
        </is>
      </c>
      <c r="C4917" s="12" t="inlineStr">
        <is>
          <t>Modular / portable power</t>
        </is>
      </c>
      <c r="D4917" s="12" t="inlineStr">
        <is>
          <t>FC-12 SOFC output to inverter / AC cabinet</t>
        </is>
      </c>
      <c r="E4917" s="12" t="inlineStr">
        <is>
          <t>FC-12</t>
        </is>
      </c>
      <c r="F4917" s="12" t="inlineStr">
        <is>
          <t>FC-12: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6" t="n">
        <v>46</v>
      </c>
      <c r="U4917" s="16" t="n">
        <v>32</v>
      </c>
      <c r="V4917" s="16">
        <f>ROUNDUP((T4917+U4917+2*'Read Me'!$B$13)*(1+'Read Me'!$B$12),-1)</f>
        <v/>
      </c>
      <c r="W4917" s="16">
        <f>V4917*N4917*O4917</f>
        <v/>
      </c>
      <c r="X4917" s="12">
        <f>IF(LEFT(I4917,2)="MV",2*N4917*IF(L4917="1/C",O4917,1),0)</f>
        <v/>
      </c>
      <c r="Y4917" s="12">
        <f>IF(OR(LEFT(K4917,4)="LVAX",LEFT(K4917,6)="MV15AX",LEFT(K4917,4)="CTAX",LEFT(K4917,2)="W|"),2*N4917*O4917,0)</f>
        <v/>
      </c>
      <c r="Z4917" s="12" t="inlineStr">
        <is>
          <t>VD 0.4 %</t>
        </is>
      </c>
      <c r="AA4917" s="12">
        <f>N4917*O4917</f>
        <v/>
      </c>
    </row>
    <row r="4918">
      <c r="A4918" s="12" t="inlineStr">
        <is>
          <t>I-P-0016</t>
        </is>
      </c>
      <c r="B4918" s="12" t="inlineStr">
        <is>
          <t>I</t>
        </is>
      </c>
      <c r="C4918" s="12" t="inlineStr">
        <is>
          <t>Modular / portable power</t>
        </is>
      </c>
      <c r="D4918" s="12" t="inlineStr">
        <is>
          <t>FC-1 SOFC output to inverter / AC cabinet</t>
        </is>
      </c>
      <c r="E4918" s="12" t="inlineStr"/>
      <c r="F4918" s="12" t="inlineStr">
        <is>
          <t>FC-1: SOFC module (Bloom ES5 class, 200-300 kW)</t>
        </is>
      </c>
      <c r="G4918" s="12" t="inlineStr"/>
      <c r="H4918" s="12" t="inlineStr">
        <is>
          <t>Fuel-cell inverter / AC cabinet / desulfurizer</t>
        </is>
      </c>
      <c r="I4918" s="12" t="inlineStr">
        <is>
          <t>LV 600 V</t>
        </is>
      </c>
      <c r="J4918" s="12" t="inlineStr">
        <is>
          <t>ARMOR-X MC-HL 600 V 3/C Cu XHHW-2 + ground, CWA, black PVC (Class I Div 2)</t>
        </is>
      </c>
      <c r="K4918" s="12" t="inlineStr">
        <is>
          <t>LVAX|3/C+G|3/0</t>
        </is>
      </c>
      <c r="L4918" s="12" t="inlineStr">
        <is>
          <t>3/C+G</t>
        </is>
      </c>
      <c r="M4918" s="12" t="inlineStr">
        <is>
          <t>3/0</t>
        </is>
      </c>
      <c r="N4918" s="12" t="n">
        <v>2</v>
      </c>
      <c r="O4918" s="12" t="n">
        <v>1</v>
      </c>
      <c r="P4918" s="12" t="n">
        <v>480</v>
      </c>
      <c r="Q4918" s="12" t="n">
        <v>250</v>
      </c>
      <c r="R4918" s="12" t="n">
        <v>316.5</v>
      </c>
      <c r="S4918" s="12" t="inlineStr">
        <is>
          <t>Tray</t>
        </is>
      </c>
      <c r="T4918" s="16" t="n">
        <v>62</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I-P-0017</t>
        </is>
      </c>
      <c r="B4919" s="12" t="inlineStr">
        <is>
          <t>I</t>
        </is>
      </c>
      <c r="C4919" s="12" t="inlineStr">
        <is>
          <t>Modular / portable power</t>
        </is>
      </c>
      <c r="D4919" s="12" t="inlineStr">
        <is>
          <t>FC-2 SOFC output to inverter / AC cabinet</t>
        </is>
      </c>
      <c r="E4919" s="12" t="inlineStr"/>
      <c r="F4919" s="12" t="inlineStr">
        <is>
          <t>FC-2: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6" t="n">
        <v>39</v>
      </c>
      <c r="U4919" s="16" t="n">
        <v>41</v>
      </c>
      <c r="V4919" s="16">
        <f>ROUNDUP((T4919+U4919+2*'Read Me'!$B$13)*(1+'Read Me'!$B$12),-1)</f>
        <v/>
      </c>
      <c r="W4919" s="16">
        <f>V4919*N4919*O4919</f>
        <v/>
      </c>
      <c r="X4919" s="12">
        <f>IF(LEFT(I4919,2)="MV",2*N4919*IF(L4919="1/C",O4919,1),0)</f>
        <v/>
      </c>
      <c r="Y4919" s="12">
        <f>IF(OR(LEFT(K4919,4)="LVAX",LEFT(K4919,6)="MV15AX",LEFT(K4919,4)="CTAX",LEFT(K4919,2)="W|"),2*N4919*O4919,0)</f>
        <v/>
      </c>
      <c r="Z4919" s="12" t="inlineStr">
        <is>
          <t>VD 0.4 %</t>
        </is>
      </c>
      <c r="AA4919" s="12">
        <f>N4919*O4919</f>
        <v/>
      </c>
    </row>
    <row r="4920">
      <c r="A4920" s="12" t="inlineStr">
        <is>
          <t>I-P-0018</t>
        </is>
      </c>
      <c r="B4920" s="12" t="inlineStr">
        <is>
          <t>I</t>
        </is>
      </c>
      <c r="C4920" s="12" t="inlineStr">
        <is>
          <t>Modular / portable power</t>
        </is>
      </c>
      <c r="D4920" s="12" t="inlineStr">
        <is>
          <t>FC-3 SOFC output to inverter / AC cabinet</t>
        </is>
      </c>
      <c r="E4920" s="12" t="inlineStr"/>
      <c r="F4920" s="12" t="inlineStr">
        <is>
          <t>FC-3: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6" t="n">
        <v>11</v>
      </c>
      <c r="U4920" s="16" t="n">
        <v>55</v>
      </c>
      <c r="V4920" s="16">
        <f>ROUNDUP((T4920+U4920+2*'Read Me'!$B$13)*(1+'Read Me'!$B$12),-1)</f>
        <v/>
      </c>
      <c r="W4920" s="16">
        <f>V4920*N4920*O4920</f>
        <v/>
      </c>
      <c r="X4920" s="12">
        <f>IF(LEFT(I4920,2)="MV",2*N4920*IF(L4920="1/C",O4920,1),0)</f>
        <v/>
      </c>
      <c r="Y4920" s="12">
        <f>IF(OR(LEFT(K4920,4)="LVAX",LEFT(K4920,6)="MV15AX",LEFT(K4920,4)="CTAX",LEFT(K4920,2)="W|"),2*N4920*O4920,0)</f>
        <v/>
      </c>
      <c r="Z4920" s="12" t="inlineStr">
        <is>
          <t>VD 0.3 %</t>
        </is>
      </c>
      <c r="AA4920" s="12">
        <f>N4920*O4920</f>
        <v/>
      </c>
    </row>
    <row r="4921">
      <c r="A4921" s="12" t="inlineStr">
        <is>
          <t>I-P-0019</t>
        </is>
      </c>
      <c r="B4921" s="12" t="inlineStr">
        <is>
          <t>I</t>
        </is>
      </c>
      <c r="C4921" s="12" t="inlineStr">
        <is>
          <t>Modular / portable power</t>
        </is>
      </c>
      <c r="D4921" s="12" t="inlineStr">
        <is>
          <t>FC-4 SOFC output to inverter / AC cabinet</t>
        </is>
      </c>
      <c r="E4921" s="12" t="inlineStr"/>
      <c r="F4921" s="12" t="inlineStr">
        <is>
          <t>FC-4: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6" t="n">
        <v>0</v>
      </c>
      <c r="U4921" s="16" t="n">
        <v>52</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Motor 1 of 6, 15 kW</t>
        </is>
      </c>
      <c r="E4922" s="12" t="inlineStr"/>
      <c r="F4922" s="12" t="inlineStr">
        <is>
          <t>MOD-LV 480 V board + 480 V : 13.8 kV step-up</t>
        </is>
      </c>
      <c r="G4922" s="12" t="inlineStr"/>
      <c r="H4922" s="12" t="inlineStr">
        <is>
          <t>Fuel-gas compressors 3 x 100% electric</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1</v>
      </c>
      <c r="O4922" s="12" t="n">
        <v>1</v>
      </c>
      <c r="P4922" s="12" t="n">
        <v>480</v>
      </c>
      <c r="Q4922" s="12" t="n">
        <v>15</v>
      </c>
      <c r="R4922" s="12" t="n">
        <v>21.2</v>
      </c>
      <c r="S4922" s="12" t="inlineStr">
        <is>
          <t>HV duct bank</t>
        </is>
      </c>
      <c r="T4922" s="16" t="n">
        <v>4396</v>
      </c>
      <c r="U4922" s="16" t="n">
        <v>40</v>
      </c>
      <c r="V4922" s="16">
        <f>ROUNDUP((T4922+U4922+2*'Read Me'!$B$13)*(1+'Read Me'!$B$12),-1)</f>
        <v/>
      </c>
      <c r="W4922" s="16">
        <f>V4922*N4922*O4922</f>
        <v/>
      </c>
      <c r="X4922" s="12">
        <f>IF(LEFT(I4922,2)="MV",2*N4922*IF(L4922="1/C",O4922,1),0)</f>
        <v/>
      </c>
      <c r="Y4922" s="12">
        <f>IF(OR(LEFT(K4922,4)="LVAX",LEFT(K4922,6)="MV15AX",LEFT(K4922,4)="CTAX",LEFT(K4922,2)="W|"),2*N4922*O4922,0)</f>
        <v/>
      </c>
      <c r="Z4922" s="12" t="inlineStr">
        <is>
          <t>VD 2.9 %</t>
        </is>
      </c>
      <c r="AA4922" s="12">
        <f>N4922*O4922</f>
        <v/>
      </c>
    </row>
    <row r="4923">
      <c r="A4923" s="12" t="inlineStr">
        <is>
          <t>I-P-0021</t>
        </is>
      </c>
      <c r="B4923" s="12" t="inlineStr">
        <is>
          <t>I</t>
        </is>
      </c>
      <c r="C4923" s="12" t="inlineStr">
        <is>
          <t>Modular / portable power</t>
        </is>
      </c>
      <c r="D4923" s="12" t="inlineStr">
        <is>
          <t>Motor 2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1</v>
      </c>
      <c r="O4923" s="12" t="n">
        <v>1</v>
      </c>
      <c r="P4923" s="12" t="n">
        <v>480</v>
      </c>
      <c r="Q4923" s="12" t="n">
        <v>15</v>
      </c>
      <c r="R4923" s="12" t="n">
        <v>21.2</v>
      </c>
      <c r="S4923" s="12" t="inlineStr">
        <is>
          <t>HV duct bank</t>
        </is>
      </c>
      <c r="T4923" s="16" t="n">
        <v>4396</v>
      </c>
      <c r="U4923" s="16" t="n">
        <v>40</v>
      </c>
      <c r="V4923" s="16">
        <f>ROUNDUP((T4923+U4923+2*'Read Me'!$B$13)*(1+'Read Me'!$B$12),-1)</f>
        <v/>
      </c>
      <c r="W4923" s="16">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3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1</v>
      </c>
      <c r="O4924" s="12" t="n">
        <v>1</v>
      </c>
      <c r="P4924" s="12" t="n">
        <v>480</v>
      </c>
      <c r="Q4924" s="12" t="n">
        <v>15</v>
      </c>
      <c r="R4924" s="12" t="n">
        <v>21.2</v>
      </c>
      <c r="S4924" s="12" t="inlineStr">
        <is>
          <t>HV duct bank</t>
        </is>
      </c>
      <c r="T4924" s="16" t="n">
        <v>4396</v>
      </c>
      <c r="U4924" s="16" t="n">
        <v>40</v>
      </c>
      <c r="V4924" s="16">
        <f>ROUNDUP((T4924+U4924+2*'Read Me'!$B$13)*(1+'Read Me'!$B$12),-1)</f>
        <v/>
      </c>
      <c r="W4924" s="16">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4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1</v>
      </c>
      <c r="O4925" s="12" t="n">
        <v>1</v>
      </c>
      <c r="P4925" s="12" t="n">
        <v>480</v>
      </c>
      <c r="Q4925" s="12" t="n">
        <v>15</v>
      </c>
      <c r="R4925" s="12" t="n">
        <v>21.2</v>
      </c>
      <c r="S4925" s="12" t="inlineStr">
        <is>
          <t>HV duct bank</t>
        </is>
      </c>
      <c r="T4925" s="16" t="n">
        <v>4396</v>
      </c>
      <c r="U4925" s="16" t="n">
        <v>40</v>
      </c>
      <c r="V4925" s="16">
        <f>ROUNDUP((T4925+U4925+2*'Read Me'!$B$13)*(1+'Read Me'!$B$12),-1)</f>
        <v/>
      </c>
      <c r="W4925" s="16">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5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1</v>
      </c>
      <c r="O4926" s="12" t="n">
        <v>1</v>
      </c>
      <c r="P4926" s="12" t="n">
        <v>480</v>
      </c>
      <c r="Q4926" s="12" t="n">
        <v>15</v>
      </c>
      <c r="R4926" s="12" t="n">
        <v>21.2</v>
      </c>
      <c r="S4926" s="12" t="inlineStr">
        <is>
          <t>HV duct bank</t>
        </is>
      </c>
      <c r="T4926" s="16" t="n">
        <v>4396</v>
      </c>
      <c r="U4926" s="16" t="n">
        <v>40</v>
      </c>
      <c r="V4926" s="16">
        <f>ROUNDUP((T4926+U4926+2*'Read Me'!$B$13)*(1+'Read Me'!$B$12),-1)</f>
        <v/>
      </c>
      <c r="W4926" s="16">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6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4396</v>
      </c>
      <c r="U4927" s="16" t="n">
        <v>40</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LV power feeder</t>
        </is>
      </c>
      <c r="E4928" s="12" t="inlineStr"/>
      <c r="F4928" s="12" t="inlineStr">
        <is>
          <t>PCM: power control module</t>
        </is>
      </c>
      <c r="G4928" s="12" t="inlineStr"/>
      <c r="H4928" s="12" t="inlineStr">
        <is>
          <t>Gas conditioning skid</t>
        </is>
      </c>
      <c r="I4928" s="12" t="inlineStr">
        <is>
          <t>LV 600 V</t>
        </is>
      </c>
      <c r="J4928" s="12" t="inlineStr">
        <is>
          <t>ARMOR-X MC-HL 600 V 3/C Cu XHHW-2 + ground, CWA, black PVC (Class I Div 2)</t>
        </is>
      </c>
      <c r="K4928" s="12" t="inlineStr">
        <is>
          <t>LVAX|3/C+G|6</t>
        </is>
      </c>
      <c r="L4928" s="12" t="inlineStr">
        <is>
          <t>3/C+G</t>
        </is>
      </c>
      <c r="M4928" s="12" t="inlineStr">
        <is>
          <t>6</t>
        </is>
      </c>
      <c r="N4928" s="12" t="n">
        <v>1</v>
      </c>
      <c r="O4928" s="12" t="n">
        <v>1</v>
      </c>
      <c r="P4928" s="12" t="n">
        <v>480</v>
      </c>
      <c r="Q4928" s="12" t="n">
        <v>30</v>
      </c>
      <c r="R4928" s="12" t="n">
        <v>42.5</v>
      </c>
      <c r="S4928" s="12" t="inlineStr">
        <is>
          <t>Tray</t>
        </is>
      </c>
      <c r="T4928" s="16" t="n">
        <v>32</v>
      </c>
      <c r="U4928" s="16" t="n">
        <v>94</v>
      </c>
      <c r="V4928" s="16">
        <f>ROUNDUP((T4928+U4928+2*'Read Me'!$B$13)*(1+'Read Me'!$B$12),-1)</f>
        <v/>
      </c>
      <c r="W4928" s="16">
        <f>V4928*N4928*O4928</f>
        <v/>
      </c>
      <c r="X4928" s="12">
        <f>IF(LEFT(I4928,2)="MV",2*N4928*IF(L4928="1/C",O4928,1),0)</f>
        <v/>
      </c>
      <c r="Y4928" s="12">
        <f>IF(OR(LEFT(K4928,4)="LVAX",LEFT(K4928,6)="MV15AX",LEFT(K4928,4)="CTAX",LEFT(K4928,2)="W|"),2*N4928*O4928,0)</f>
        <v/>
      </c>
      <c r="Z4928" s="12" t="inlineStr">
        <is>
          <t>VD 1.0 %</t>
        </is>
      </c>
      <c r="AA4928" s="12">
        <f>N4928*O4928</f>
        <v/>
      </c>
    </row>
    <row r="4929">
      <c r="A4929" s="12" t="inlineStr">
        <is>
          <t>I-P-0027</t>
        </is>
      </c>
      <c r="B4929" s="12" t="inlineStr">
        <is>
          <t>I</t>
        </is>
      </c>
      <c r="C4929" s="12" t="inlineStr">
        <is>
          <t>Modular / portable power</t>
        </is>
      </c>
      <c r="D4929" s="12" t="inlineStr">
        <is>
          <t>LV panel / distribution feeder</t>
        </is>
      </c>
      <c r="E4929" s="12" t="inlineStr"/>
      <c r="F4929" s="12" t="inlineStr">
        <is>
          <t>PCM: power control module</t>
        </is>
      </c>
      <c r="G4929" s="12" t="inlineStr"/>
      <c r="H4929" s="12" t="inlineStr">
        <is>
          <t>Lube oil / starting air / oily water building</t>
        </is>
      </c>
      <c r="I4929" s="12" t="inlineStr">
        <is>
          <t>LV 600 V</t>
        </is>
      </c>
      <c r="J4929" s="12" t="inlineStr">
        <is>
          <t>Type TC-ER 600 V 3/C Cu XHHW-2 + ground, PVC jacket</t>
        </is>
      </c>
      <c r="K4929" s="12" t="inlineStr">
        <is>
          <t>LV|3/C+G|1/0</t>
        </is>
      </c>
      <c r="L4929" s="12" t="inlineStr">
        <is>
          <t>3/C+G</t>
        </is>
      </c>
      <c r="M4929" s="12" t="inlineStr">
        <is>
          <t>1/0</t>
        </is>
      </c>
      <c r="N4929" s="12" t="n">
        <v>1</v>
      </c>
      <c r="O4929" s="12" t="n">
        <v>1</v>
      </c>
      <c r="P4929" s="12" t="n">
        <v>480</v>
      </c>
      <c r="Q4929" s="12" t="n">
        <v>79</v>
      </c>
      <c r="R4929" s="12" t="n">
        <v>111.8</v>
      </c>
      <c r="S4929" s="12" t="inlineStr">
        <is>
          <t>Tray</t>
        </is>
      </c>
      <c r="T4929" s="16" t="n">
        <v>32</v>
      </c>
      <c r="U4929" s="16" t="n">
        <v>164</v>
      </c>
      <c r="V4929" s="16">
        <f>ROUNDUP((T4929+U4929+2*'Read Me'!$B$13)*(1+'Read Me'!$B$12),-1)</f>
        <v/>
      </c>
      <c r="W4929" s="16">
        <f>V4929*N4929*O4929</f>
        <v/>
      </c>
      <c r="X4929" s="12">
        <f>IF(LEFT(I4929,2)="MV",2*N4929*IF(L4929="1/C",O4929,1),0)</f>
        <v/>
      </c>
      <c r="Y4929" s="12">
        <f>IF(OR(LEFT(K4929,4)="LVAX",LEFT(K4929,6)="MV15AX",LEFT(K4929,4)="CTAX",LEFT(K4929,2)="W|"),2*N4929*O4929,0)</f>
        <v/>
      </c>
      <c r="Z4929" s="12" t="inlineStr">
        <is>
          <t>VD 1.1 %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MOD-LV 480 V board + 480 V : 13.8 kV step-up</t>
        </is>
      </c>
      <c r="G4930" s="12" t="inlineStr">
        <is>
          <t>MOD-EH</t>
        </is>
      </c>
      <c r="H4930" s="12" t="inlineStr">
        <is>
          <t>MOD-EH: 13.8 kV modular collector e-house</t>
        </is>
      </c>
      <c r="I4930" s="12" t="inlineStr">
        <is>
          <t>LV 600 V</t>
        </is>
      </c>
      <c r="J4930" s="12" t="inlineStr">
        <is>
          <t>Type TC-ER 600 V 3/C Cu XHHW-2 + ground, PVC jacket</t>
        </is>
      </c>
      <c r="K4930" s="12" t="inlineStr">
        <is>
          <t>LV|3/C+G|4</t>
        </is>
      </c>
      <c r="L4930" s="12" t="inlineStr">
        <is>
          <t>3/C+G</t>
        </is>
      </c>
      <c r="M4930" s="12" t="inlineStr">
        <is>
          <t>4</t>
        </is>
      </c>
      <c r="N4930" s="12" t="n">
        <v>1</v>
      </c>
      <c r="O4930" s="12" t="n">
        <v>1</v>
      </c>
      <c r="P4930" s="12" t="n">
        <v>480</v>
      </c>
      <c r="Q4930" s="12" t="n">
        <v>30</v>
      </c>
      <c r="R4930" s="12" t="n">
        <v>42.5</v>
      </c>
      <c r="S4930" s="12" t="inlineStr">
        <is>
          <t>Duct bank</t>
        </is>
      </c>
      <c r="T4930" s="16" t="n">
        <v>368</v>
      </c>
      <c r="U4930" s="16" t="n">
        <v>34</v>
      </c>
      <c r="V4930" s="16">
        <f>ROUNDUP((T4930+U4930+2*'Read Me'!$B$13)*(1+'Read Me'!$B$12),-1)</f>
        <v/>
      </c>
      <c r="W4930" s="16">
        <f>V4930*N4930*O4930</f>
        <v/>
      </c>
      <c r="X4930" s="12">
        <f>IF(LEFT(I4930,2)="MV",2*N4930*IF(L4930="1/C",O4930,1),0)</f>
        <v/>
      </c>
      <c r="Y4930" s="12">
        <f>IF(OR(LEFT(K4930,4)="LVAX",LEFT(K4930,6)="MV15AX",LEFT(K4930,4)="CTAX",LEFT(K4930,2)="W|"),2*N4930*O4930,0)</f>
        <v/>
      </c>
      <c r="Z4930" s="12" t="inlineStr">
        <is>
          <t>VD 2.1 %</t>
        </is>
      </c>
      <c r="AA4930" s="12">
        <f>N4930*O4930</f>
        <v/>
      </c>
    </row>
    <row r="4931">
      <c r="A4931" s="12" t="inlineStr">
        <is>
          <t>I-P-0029</t>
        </is>
      </c>
      <c r="B4931" s="12" t="inlineStr">
        <is>
          <t>I</t>
        </is>
      </c>
      <c r="C4931" s="12" t="inlineStr">
        <is>
          <t>Modular / portable power</t>
        </is>
      </c>
      <c r="D4931" s="12" t="inlineStr">
        <is>
          <t>Fuel-cell AC cabinet to MOD-LV</t>
        </is>
      </c>
      <c r="E4931" s="12" t="inlineStr"/>
      <c r="F4931" s="12" t="inlineStr">
        <is>
          <t>Fuel-cell inverter / AC cabinet / desulfurizer</t>
        </is>
      </c>
      <c r="G4931" s="12" t="inlineStr"/>
      <c r="H4931" s="12" t="inlineStr">
        <is>
          <t>MOD-LV 480 V board + 480 V : 13.8 kV step-up</t>
        </is>
      </c>
      <c r="I4931" s="12" t="inlineStr">
        <is>
          <t>LV 600 V</t>
        </is>
      </c>
      <c r="J4931" s="12" t="inlineStr">
        <is>
          <t>Type TC-ER 600 V 3/C Cu XHHW-2 + ground, PVC jacket</t>
        </is>
      </c>
      <c r="K4931" s="12" t="inlineStr">
        <is>
          <t>LV|3/C+G|350</t>
        </is>
      </c>
      <c r="L4931" s="12" t="inlineStr">
        <is>
          <t>3/C+G</t>
        </is>
      </c>
      <c r="M4931" s="12" t="inlineStr">
        <is>
          <t>350 kcmil</t>
        </is>
      </c>
      <c r="N4931" s="12" t="n">
        <v>6</v>
      </c>
      <c r="O4931" s="12" t="n">
        <v>1</v>
      </c>
      <c r="P4931" s="12" t="n">
        <v>480</v>
      </c>
      <c r="Q4931" s="12" t="n">
        <v>1000</v>
      </c>
      <c r="R4931" s="12" t="n">
        <v>1266.2</v>
      </c>
      <c r="S4931" s="12" t="inlineStr">
        <is>
          <t>Duct bank</t>
        </is>
      </c>
      <c r="T4931" s="16" t="n">
        <v>233</v>
      </c>
      <c r="U4931" s="16" t="n">
        <v>32</v>
      </c>
      <c r="V4931" s="16">
        <f>ROUNDUP((T4931+U4931+2*'Read Me'!$B$13)*(1+'Read Me'!$B$12),-1)</f>
        <v/>
      </c>
      <c r="W4931" s="16">
        <f>V4931*N4931*O4931</f>
        <v/>
      </c>
      <c r="X4931" s="12">
        <f>IF(LEFT(I4931,2)="MV",2*N4931*IF(L4931="1/C",O4931,1),0)</f>
        <v/>
      </c>
      <c r="Y4931" s="12">
        <f>IF(OR(LEFT(K4931,4)="LVAX",LEFT(K4931,6)="MV15AX",LEFT(K4931,4)="CTAX",LEFT(K4931,2)="W|"),2*N4931*O4931,0)</f>
        <v/>
      </c>
      <c r="Z4931" s="12" t="inlineStr">
        <is>
          <t>VD 0.8 %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FC-5..12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LV|3/C+G|500</t>
        </is>
      </c>
      <c r="L4932" s="12" t="inlineStr">
        <is>
          <t>3/C+G</t>
        </is>
      </c>
      <c r="M4932" s="12" t="inlineStr">
        <is>
          <t>500 kcmil</t>
        </is>
      </c>
      <c r="N4932" s="12" t="n">
        <v>12</v>
      </c>
      <c r="O4932" s="12" t="n">
        <v>1</v>
      </c>
      <c r="P4932" s="12" t="n">
        <v>480</v>
      </c>
      <c r="Q4932" s="12" t="n">
        <v>2000</v>
      </c>
      <c r="R4932" s="12" t="n">
        <v>2532.3</v>
      </c>
      <c r="S4932" s="12" t="inlineStr">
        <is>
          <t>Duct bank</t>
        </is>
      </c>
      <c r="T4932" s="16" t="n">
        <v>2588</v>
      </c>
      <c r="U4932" s="16" t="n">
        <v>36</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I-P-0031</t>
        </is>
      </c>
      <c r="B4933" s="12" t="inlineStr">
        <is>
          <t>I</t>
        </is>
      </c>
      <c r="C4933" s="12" t="inlineStr">
        <is>
          <t>Modular / portable power</t>
        </is>
      </c>
      <c r="D4933" s="12" t="inlineStr">
        <is>
          <t>MT-1 microturbine output</t>
        </is>
      </c>
      <c r="E4933" s="12" t="inlineStr"/>
      <c r="F4933" s="12" t="inlineStr">
        <is>
          <t>MT-1: microturbine 1 MW (Capstone C1000 class)</t>
        </is>
      </c>
      <c r="G4933" s="12" t="inlineStr"/>
      <c r="H4933" s="12" t="inlineStr">
        <is>
          <t>MOD-LV 480 V board + 480 V : 13.8 kV step-up</t>
        </is>
      </c>
      <c r="I4933" s="12" t="inlineStr">
        <is>
          <t>LV 600 V</t>
        </is>
      </c>
      <c r="J4933" s="12" t="inlineStr">
        <is>
          <t>Type TC-ER 600 V 3/C Cu XHHW-2 + ground, PVC jacket</t>
        </is>
      </c>
      <c r="K4933" s="12" t="inlineStr">
        <is>
          <t>LV|3/C+G|350</t>
        </is>
      </c>
      <c r="L4933" s="12" t="inlineStr">
        <is>
          <t>3/C+G</t>
        </is>
      </c>
      <c r="M4933" s="12" t="inlineStr">
        <is>
          <t>350 kcmil</t>
        </is>
      </c>
      <c r="N4933" s="12" t="n">
        <v>6</v>
      </c>
      <c r="O4933" s="12" t="n">
        <v>1</v>
      </c>
      <c r="P4933" s="12" t="n">
        <v>480</v>
      </c>
      <c r="Q4933" s="12" t="n">
        <v>1000</v>
      </c>
      <c r="R4933" s="12" t="n">
        <v>1266.2</v>
      </c>
      <c r="S4933" s="12" t="inlineStr">
        <is>
          <t>Duct bank</t>
        </is>
      </c>
      <c r="T4933" s="16" t="n">
        <v>106</v>
      </c>
      <c r="U4933" s="16" t="n">
        <v>32</v>
      </c>
      <c r="V4933" s="16">
        <f>ROUNDUP((T4933+U4933+2*'Read Me'!$B$13)*(1+'Read Me'!$B$12),-1)</f>
        <v/>
      </c>
      <c r="W4933" s="16">
        <f>V4933*N4933*O4933</f>
        <v/>
      </c>
      <c r="X4933" s="12">
        <f>IF(LEFT(I4933,2)="MV",2*N4933*IF(L4933="1/C",O4933,1),0)</f>
        <v/>
      </c>
      <c r="Y4933" s="12">
        <f>IF(OR(LEFT(K4933,4)="LVAX",LEFT(K4933,6)="MV15AX",LEFT(K4933,4)="CTAX",LEFT(K4933,2)="W|"),2*N4933*O4933,0)</f>
        <v/>
      </c>
      <c r="Z4933" s="12" t="inlineStr">
        <is>
          <t>VD 0.4 %</t>
        </is>
      </c>
      <c r="AA4933" s="12">
        <f>N4933*O4933</f>
        <v/>
      </c>
    </row>
    <row r="4934">
      <c r="A4934" s="12" t="inlineStr">
        <is>
          <t>I-P-0032</t>
        </is>
      </c>
      <c r="B4934" s="12" t="inlineStr">
        <is>
          <t>I</t>
        </is>
      </c>
      <c r="C4934" s="12" t="inlineStr">
        <is>
          <t>Modular / portable power</t>
        </is>
      </c>
      <c r="D4934" s="12" t="inlineStr">
        <is>
          <t>MT-2 microturbine output</t>
        </is>
      </c>
      <c r="E4934" s="12" t="inlineStr"/>
      <c r="F4934" s="12" t="inlineStr">
        <is>
          <t>MT-2: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6" t="n">
        <v>114</v>
      </c>
      <c r="U4934" s="16" t="n">
        <v>38</v>
      </c>
      <c r="V4934" s="16">
        <f>ROUNDUP((T4934+U4934+2*'Read Me'!$B$13)*(1+'Read Me'!$B$12),-1)</f>
        <v/>
      </c>
      <c r="W4934" s="16">
        <f>V4934*N4934*O4934</f>
        <v/>
      </c>
      <c r="X4934" s="12">
        <f>IF(LEFT(I4934,2)="MV",2*N4934*IF(L4934="1/C",O4934,1),0)</f>
        <v/>
      </c>
      <c r="Y4934" s="12">
        <f>IF(OR(LEFT(K4934,4)="LVAX",LEFT(K4934,6)="MV15AX",LEFT(K4934,4)="CTAX",LEFT(K4934,2)="W|"),2*N4934*O4934,0)</f>
        <v/>
      </c>
      <c r="Z4934" s="12" t="inlineStr">
        <is>
          <t>VD 0.5 %</t>
        </is>
      </c>
      <c r="AA4934" s="12">
        <f>N4934*O4934</f>
        <v/>
      </c>
    </row>
    <row r="4935">
      <c r="A4935" s="12" t="inlineStr">
        <is>
          <t>I-P-0033</t>
        </is>
      </c>
      <c r="B4935" s="12" t="inlineStr">
        <is>
          <t>I</t>
        </is>
      </c>
      <c r="C4935" s="12" t="inlineStr">
        <is>
          <t>Modular / portable power</t>
        </is>
      </c>
      <c r="D4935" s="12" t="inlineStr">
        <is>
          <t>MT-3 microturbine output</t>
        </is>
      </c>
      <c r="E4935" s="12" t="inlineStr"/>
      <c r="F4935" s="12" t="inlineStr">
        <is>
          <t>MT-3: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6" t="n">
        <v>121</v>
      </c>
      <c r="U4935" s="16" t="n">
        <v>45</v>
      </c>
      <c r="V4935" s="16">
        <f>ROUNDUP((T4935+U4935+2*'Read Me'!$B$13)*(1+'Read Me'!$B$12),-1)</f>
        <v/>
      </c>
      <c r="W4935" s="16">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MT-4 microturbine output</t>
        </is>
      </c>
      <c r="E4936" s="12" t="inlineStr">
        <is>
          <t>MT-4</t>
        </is>
      </c>
      <c r="F4936" s="12" t="inlineStr">
        <is>
          <t>MT-4: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LV|3/C+G|500</t>
        </is>
      </c>
      <c r="L4936" s="12" t="inlineStr">
        <is>
          <t>3/C+G</t>
        </is>
      </c>
      <c r="M4936" s="12" t="inlineStr">
        <is>
          <t>500 kcmil</t>
        </is>
      </c>
      <c r="N4936" s="12" t="n">
        <v>12</v>
      </c>
      <c r="O4936" s="12" t="n">
        <v>1</v>
      </c>
      <c r="P4936" s="12" t="n">
        <v>480</v>
      </c>
      <c r="Q4936" s="12" t="n">
        <v>1000</v>
      </c>
      <c r="R4936" s="12" t="n">
        <v>1266.2</v>
      </c>
      <c r="S4936" s="12" t="inlineStr">
        <is>
          <t>Duct bank</t>
        </is>
      </c>
      <c r="T4936" s="16" t="n">
        <v>2612</v>
      </c>
      <c r="U4936" s="16" t="n">
        <v>46</v>
      </c>
      <c r="V4936" s="16">
        <f>ROUNDUP((T4936+U4936+2*'Read Me'!$B$13)*(1+'Read Me'!$B$12),-1)</f>
        <v/>
      </c>
      <c r="W4936" s="16">
        <f>V4936*N4936*O4936</f>
        <v/>
      </c>
      <c r="X4936" s="12">
        <f>IF(LEFT(I4936,2)="MV",2*N4936*IF(L4936="1/C",O4936,1),0)</f>
        <v/>
      </c>
      <c r="Y4936" s="12">
        <f>IF(OR(LEFT(K4936,4)="LVAX",LEFT(K4936,6)="MV15AX",LEFT(K4936,4)="CTAX",LEFT(K4936,2)="W|"),2*N4936*O4936,0)</f>
        <v/>
      </c>
      <c r="Z4936" s="12" t="inlineStr">
        <is>
          <t>VD 2.9 %</t>
        </is>
      </c>
      <c r="AA4936" s="12">
        <f>N4936*O4936</f>
        <v/>
      </c>
    </row>
    <row r="4937">
      <c r="A4937" s="12" t="inlineStr">
        <is>
          <t>I-P-0035</t>
        </is>
      </c>
      <c r="B4937" s="12" t="inlineStr">
        <is>
          <t>I</t>
        </is>
      </c>
      <c r="C4937" s="12" t="inlineStr">
        <is>
          <t>Modular / portable power</t>
        </is>
      </c>
      <c r="D4937" s="12" t="inlineStr">
        <is>
          <t>MT-5 microturbine output</t>
        </is>
      </c>
      <c r="E4937" s="12" t="inlineStr">
        <is>
          <t>MT-5</t>
        </is>
      </c>
      <c r="F4937" s="12" t="inlineStr">
        <is>
          <t>MT-5: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1000</v>
      </c>
      <c r="R4937" s="12" t="n">
        <v>1266.2</v>
      </c>
      <c r="S4937" s="12" t="inlineStr">
        <is>
          <t>Duct bank</t>
        </is>
      </c>
      <c r="T4937" s="16" t="n">
        <v>2636</v>
      </c>
      <c r="U4937" s="16" t="n">
        <v>36</v>
      </c>
      <c r="V4937" s="16">
        <f>ROUNDUP((T4937+U4937+2*'Read Me'!$B$13)*(1+'Read Me'!$B$12),-1)</f>
        <v/>
      </c>
      <c r="W4937" s="16">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I-P-0036</t>
        </is>
      </c>
      <c r="B4938" s="12" t="inlineStr">
        <is>
          <t>I</t>
        </is>
      </c>
      <c r="C4938" s="12" t="inlineStr">
        <is>
          <t>Modular / portable power</t>
        </is>
      </c>
      <c r="D4938" s="12" t="inlineStr">
        <is>
          <t>MT-6 microturbine output</t>
        </is>
      </c>
      <c r="E4938" s="12" t="inlineStr">
        <is>
          <t>MT-6</t>
        </is>
      </c>
      <c r="F4938" s="12" t="inlineStr">
        <is>
          <t>MT-6: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LV|3/C+G|500</t>
        </is>
      </c>
      <c r="L4938" s="12" t="inlineStr">
        <is>
          <t>3/C+G</t>
        </is>
      </c>
      <c r="M4938" s="12" t="inlineStr">
        <is>
          <t>500 kcmil</t>
        </is>
      </c>
      <c r="N4938" s="12" t="n">
        <v>12</v>
      </c>
      <c r="O4938" s="12" t="n">
        <v>1</v>
      </c>
      <c r="P4938" s="12" t="n">
        <v>480</v>
      </c>
      <c r="Q4938" s="12" t="n">
        <v>1000</v>
      </c>
      <c r="R4938" s="12" t="n">
        <v>1266.2</v>
      </c>
      <c r="S4938" s="12" t="inlineStr">
        <is>
          <t>Duct bank</t>
        </is>
      </c>
      <c r="T4938" s="16" t="n">
        <v>2769</v>
      </c>
      <c r="U4938" s="16" t="n">
        <v>53</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I-P-0037</t>
        </is>
      </c>
      <c r="B4939" s="12" t="inlineStr">
        <is>
          <t>I</t>
        </is>
      </c>
      <c r="C4939" s="12" t="inlineStr">
        <is>
          <t>Modular / portable power</t>
        </is>
      </c>
      <c r="D4939" s="12" t="inlineStr">
        <is>
          <t>PAD-LV to PAD-TX</t>
        </is>
      </c>
      <c r="E4939" s="12" t="inlineStr">
        <is>
          <t>PAD-LV</t>
        </is>
      </c>
      <c r="F4939" s="12" t="inlineStr">
        <is>
          <t>PAD-LV 480 V paralleling switchboard</t>
        </is>
      </c>
      <c r="G4939" s="12" t="inlineStr">
        <is>
          <t>PAD-TX</t>
        </is>
      </c>
      <c r="H4939" s="12" t="inlineStr">
        <is>
          <t>PAD-TX 480 V : 13.8 kV</t>
        </is>
      </c>
      <c r="I4939" s="12" t="inlineStr">
        <is>
          <t>LV 600 V</t>
        </is>
      </c>
      <c r="J4939" s="12" t="inlineStr">
        <is>
          <t>XHHW-2 600 V 1/C Cu (feeder sets in tray / duct)</t>
        </is>
      </c>
      <c r="K4939" s="12" t="inlineStr">
        <is>
          <t>LV1C|1/C|500</t>
        </is>
      </c>
      <c r="L4939" s="12" t="inlineStr">
        <is>
          <t>1/C</t>
        </is>
      </c>
      <c r="M4939" s="12" t="inlineStr">
        <is>
          <t>500 kcmil</t>
        </is>
      </c>
      <c r="N4939" s="12" t="n">
        <v>12</v>
      </c>
      <c r="O4939" s="12" t="n">
        <v>4</v>
      </c>
      <c r="P4939" s="12" t="n">
        <v>480</v>
      </c>
      <c r="Q4939" s="12" t="n">
        <v>3000</v>
      </c>
      <c r="R4939" s="12" t="n">
        <v>3600</v>
      </c>
      <c r="S4939" s="12" t="inlineStr">
        <is>
          <t>Duct bank</t>
        </is>
      </c>
      <c r="T4939" s="16" t="n">
        <v>55</v>
      </c>
      <c r="U4939" s="16" t="n">
        <v>32</v>
      </c>
      <c r="V4939" s="16">
        <f>ROUNDUP((T4939+U4939+2*'Read Me'!$B$13)*(1+'Read Me'!$B$12),-1)</f>
        <v/>
      </c>
      <c r="W4939" s="16">
        <f>V4939*N4939*O4939</f>
        <v/>
      </c>
      <c r="X4939" s="12">
        <f>IF(LEFT(I4939,2)="MV",2*N4939*IF(L4939="1/C",O4939,1),0)</f>
        <v/>
      </c>
      <c r="Y4939" s="12">
        <f>IF(OR(LEFT(K4939,4)="LVAX",LEFT(K4939,6)="MV15AX",LEFT(K4939,4)="CTAX",LEFT(K4939,2)="W|"),2*N4939*O4939,0)</f>
        <v/>
      </c>
      <c r="Z4939" s="12" t="inlineStr">
        <is>
          <t>12 sets of 4 x 1/C (or bus duct)</t>
        </is>
      </c>
      <c r="AA4939" s="12">
        <f>N4939*O4939</f>
        <v/>
      </c>
    </row>
    <row r="4940">
      <c r="A4940" s="12" t="inlineStr">
        <is>
          <t>I-P-0038</t>
        </is>
      </c>
      <c r="B4940" s="12" t="inlineStr">
        <is>
          <t>I</t>
        </is>
      </c>
      <c r="C4940" s="12" t="inlineStr">
        <is>
          <t>Modular / portable power</t>
        </is>
      </c>
      <c r="D4940" s="12" t="inlineStr">
        <is>
          <t>LV panel / distribution feeder</t>
        </is>
      </c>
      <c r="E4940" s="12" t="inlineStr"/>
      <c r="F4940" s="12" t="inlineStr">
        <is>
          <t>PCM: power control module</t>
        </is>
      </c>
      <c r="G4940" s="12" t="inlineStr"/>
      <c r="H4940" s="12" t="inlineStr">
        <is>
          <t>PCM: power control module</t>
        </is>
      </c>
      <c r="I4940" s="12" t="inlineStr">
        <is>
          <t>LV 600 V</t>
        </is>
      </c>
      <c r="J4940" s="12" t="inlineStr">
        <is>
          <t>Type TC-ER 600 V 3/C Cu XHHW-2 + ground, PVC jacket</t>
        </is>
      </c>
      <c r="K4940" s="12" t="inlineStr">
        <is>
          <t>LV|3/C+G|4</t>
        </is>
      </c>
      <c r="L4940" s="12" t="inlineStr">
        <is>
          <t>3/C+G</t>
        </is>
      </c>
      <c r="M4940" s="12" t="inlineStr">
        <is>
          <t>4</t>
        </is>
      </c>
      <c r="N4940" s="12" t="n">
        <v>1</v>
      </c>
      <c r="O4940" s="12" t="n">
        <v>1</v>
      </c>
      <c r="P4940" s="12" t="n">
        <v>480</v>
      </c>
      <c r="Q4940" s="12" t="n">
        <v>38</v>
      </c>
      <c r="R4940" s="12" t="n">
        <v>53.8</v>
      </c>
      <c r="S4940" s="12" t="inlineStr">
        <is>
          <t>Tray</t>
        </is>
      </c>
      <c r="T4940" s="16" t="n">
        <v>0</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is>
          <t>VD 0.2 %</t>
        </is>
      </c>
      <c r="AA4940" s="12">
        <f>N4940*O4940</f>
        <v/>
      </c>
    </row>
    <row r="4941">
      <c r="A4941" s="12" t="inlineStr">
        <is>
          <t>I-P-0039</t>
        </is>
      </c>
      <c r="B4941" s="12" t="inlineStr">
        <is>
          <t>I</t>
        </is>
      </c>
      <c r="C4941" s="12" t="inlineStr">
        <is>
          <t>Modular / portable power</t>
        </is>
      </c>
      <c r="D4941" s="12" t="inlineStr">
        <is>
          <t>Motor 1 of 1, 15 kW</t>
        </is>
      </c>
      <c r="E4941" s="12" t="inlineStr"/>
      <c r="F4941" s="12" t="inlineStr">
        <is>
          <t>PCM: power control module</t>
        </is>
      </c>
      <c r="G4941" s="12" t="inlineStr"/>
      <c r="H4941" s="12" t="inlineStr">
        <is>
          <t>RICE 1 SCR + oxidation catalyst and stack</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6" t="n">
        <v>470</v>
      </c>
      <c r="U4941" s="16" t="n">
        <v>160</v>
      </c>
      <c r="V4941" s="16">
        <f>ROUNDUP((T4941+U4941+2*'Read Me'!$B$13)*(1+'Read Me'!$B$12),-1)</f>
        <v/>
      </c>
      <c r="W4941" s="16">
        <f>V4941*N4941*O4941</f>
        <v/>
      </c>
      <c r="X4941" s="12">
        <f>IF(LEFT(I4941,2)="MV",2*N4941*IF(L4941="1/C",O4941,1),0)</f>
        <v/>
      </c>
      <c r="Y4941" s="12">
        <f>IF(OR(LEFT(K4941,4)="LVAX",LEFT(K4941,6)="MV15AX",LEFT(K4941,4)="CTAX",LEFT(K4941,2)="W|"),2*N4941*O4941,0)</f>
        <v/>
      </c>
      <c r="Z4941" s="12" t="inlineStr">
        <is>
          <t>VD 2.6 %</t>
        </is>
      </c>
      <c r="AA4941" s="12">
        <f>N4941*O4941</f>
        <v/>
      </c>
    </row>
    <row r="4942">
      <c r="A4942" s="12" t="inlineStr">
        <is>
          <t>I-P-0040</t>
        </is>
      </c>
      <c r="B4942" s="12" t="inlineStr">
        <is>
          <t>I</t>
        </is>
      </c>
      <c r="C4942" s="12" t="inlineStr">
        <is>
          <t>Modular / portable power</t>
        </is>
      </c>
      <c r="D4942" s="12" t="inlineStr">
        <is>
          <t>Area / platform lighting circuit 1 (6 fixtures)</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LV|3/C+G|10</t>
        </is>
      </c>
      <c r="L4942" s="12" t="inlineStr">
        <is>
          <t>3/C+G</t>
        </is>
      </c>
      <c r="M4942" s="12" t="inlineStr">
        <is>
          <t>10</t>
        </is>
      </c>
      <c r="N4942" s="12" t="n">
        <v>1</v>
      </c>
      <c r="O4942" s="12" t="n">
        <v>1</v>
      </c>
      <c r="P4942" s="12" t="n">
        <v>480</v>
      </c>
      <c r="Q4942" s="12" t="n">
        <v>3</v>
      </c>
      <c r="R4942" s="12" t="n">
        <v>5</v>
      </c>
      <c r="S4942" s="12" t="inlineStr">
        <is>
          <t>Duct bank</t>
        </is>
      </c>
      <c r="T4942" s="16" t="n">
        <v>770</v>
      </c>
      <c r="U4942" s="16" t="n">
        <v>160</v>
      </c>
      <c r="V4942" s="16">
        <f>ROUNDUP((T4942+U4942+2*'Read Me'!$B$13)*(1+'Read Me'!$B$12),-1)</f>
        <v/>
      </c>
      <c r="W4942" s="16">
        <f>V4942*N4942*O4942</f>
        <v/>
      </c>
      <c r="X4942" s="12">
        <f>IF(LEFT(I4942,2)="MV",2*N4942*IF(L4942="1/C",O4942,1),0)</f>
        <v/>
      </c>
      <c r="Y4942" s="12">
        <f>IF(OR(LEFT(K4942,4)="LVAX",LEFT(K4942,6)="MV15AX",LEFT(K4942,4)="CTAX",LEFT(K4942,2)="W|"),2*N4942*O4942,0)</f>
        <v/>
      </c>
      <c r="Z4942" s="12" t="inlineStr">
        <is>
          <t>fixture-to-fixture run included</t>
        </is>
      </c>
      <c r="AA4942" s="12">
        <f>N4942*O4942</f>
        <v/>
      </c>
    </row>
    <row r="4943">
      <c r="A4943" s="12" t="inlineStr">
        <is>
          <t>I-P-0041</t>
        </is>
      </c>
      <c r="B4943" s="12" t="inlineStr">
        <is>
          <t>I</t>
        </is>
      </c>
      <c r="C4943" s="12" t="inlineStr">
        <is>
          <t>Modular / portable power</t>
        </is>
      </c>
      <c r="D4943" s="12" t="inlineStr">
        <is>
          <t>Motor 1 of 5, 30 kW (VFD output)</t>
        </is>
      </c>
      <c r="E4943" s="12" t="inlineStr"/>
      <c r="F4943" s="12" t="inlineStr">
        <is>
          <t>PCM: power control module</t>
        </is>
      </c>
      <c r="G4943" s="12" t="inlineStr"/>
      <c r="H4943" s="12" t="inlineStr">
        <is>
          <t>RICE 1 radiators (5)</t>
        </is>
      </c>
      <c r="I4943" s="12" t="inlineStr">
        <is>
          <t>LV 600 V</t>
        </is>
      </c>
      <c r="J4943" s="12" t="inlineStr">
        <is>
          <t>VFD cable 600 V 3/C Cu XHHW-2, 3 symmetrical grounds, overall Cu tape shield, TC-ER</t>
        </is>
      </c>
      <c r="K4943" s="12" t="inlineStr">
        <is>
          <t>VFD|3/C+3G|1</t>
        </is>
      </c>
      <c r="L4943" s="12" t="inlineStr">
        <is>
          <t>3/C+3G</t>
        </is>
      </c>
      <c r="M4943" s="12" t="inlineStr">
        <is>
          <t>1</t>
        </is>
      </c>
      <c r="N4943" s="12" t="n">
        <v>1</v>
      </c>
      <c r="O4943" s="12" t="n">
        <v>1</v>
      </c>
      <c r="P4943" s="12" t="n">
        <v>480</v>
      </c>
      <c r="Q4943" s="12" t="n">
        <v>30</v>
      </c>
      <c r="R4943" s="12" t="n">
        <v>42</v>
      </c>
      <c r="S4943" s="12" t="inlineStr">
        <is>
          <t>Duct bank</t>
        </is>
      </c>
      <c r="T4943" s="16" t="n">
        <v>825</v>
      </c>
      <c r="U4943" s="16" t="n">
        <v>139</v>
      </c>
      <c r="V4943" s="16">
        <f>ROUNDUP((T4943+U4943+2*'Read Me'!$B$13)*(1+'Read Me'!$B$12),-1)</f>
        <v/>
      </c>
      <c r="W4943" s="16">
        <f>V4943*N4943*O4943</f>
        <v/>
      </c>
      <c r="X4943" s="12">
        <f>IF(LEFT(I4943,2)="MV",2*N4943*IF(L4943="1/C",O4943,1),0)</f>
        <v/>
      </c>
      <c r="Y4943" s="12">
        <f>IF(OR(LEFT(K4943,4)="LVAX",LEFT(K4943,6)="MV15AX",LEFT(K4943,4)="CTAX",LEFT(K4943,2)="W|"),2*N4943*O4943,0)</f>
        <v/>
      </c>
      <c r="Z4943" s="12" t="inlineStr">
        <is>
          <t>VD 2.5 %</t>
        </is>
      </c>
      <c r="AA4943" s="12">
        <f>N4943*O4943</f>
        <v/>
      </c>
    </row>
    <row r="4944">
      <c r="A4944" s="12" t="inlineStr">
        <is>
          <t>I-P-0042</t>
        </is>
      </c>
      <c r="B4944" s="12" t="inlineStr">
        <is>
          <t>I</t>
        </is>
      </c>
      <c r="C4944" s="12" t="inlineStr">
        <is>
          <t>Modular / portable power</t>
        </is>
      </c>
      <c r="D4944" s="12" t="inlineStr">
        <is>
          <t>Motor 2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6" t="n">
        <v>825</v>
      </c>
      <c r="U4944" s="16" t="n">
        <v>139</v>
      </c>
      <c r="V4944" s="16">
        <f>ROUNDUP((T4944+U4944+2*'Read Me'!$B$13)*(1+'Read Me'!$B$12),-1)</f>
        <v/>
      </c>
      <c r="W4944" s="16">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3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6" t="n">
        <v>825</v>
      </c>
      <c r="U4945" s="16" t="n">
        <v>139</v>
      </c>
      <c r="V4945" s="16">
        <f>ROUNDUP((T4945+U4945+2*'Read Me'!$B$13)*(1+'Read Me'!$B$12),-1)</f>
        <v/>
      </c>
      <c r="W4945" s="16">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4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6" t="n">
        <v>825</v>
      </c>
      <c r="U4946" s="16" t="n">
        <v>139</v>
      </c>
      <c r="V4946" s="16">
        <f>ROUNDUP((T4946+U4946+2*'Read Me'!$B$13)*(1+'Read Me'!$B$12),-1)</f>
        <v/>
      </c>
      <c r="W4946" s="16">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5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6" t="n">
        <v>825</v>
      </c>
      <c r="U4947" s="16" t="n">
        <v>139</v>
      </c>
      <c r="V4947" s="16">
        <f>ROUNDUP((T4947+U4947+2*'Read Me'!$B$13)*(1+'Read Me'!$B$12),-1)</f>
        <v/>
      </c>
      <c r="W4947" s="16">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1 of 1, 15 kW</t>
        </is>
      </c>
      <c r="E4948" s="12" t="inlineStr"/>
      <c r="F4948" s="12" t="inlineStr">
        <is>
          <t>PCM: power control module</t>
        </is>
      </c>
      <c r="G4948" s="12" t="inlineStr"/>
      <c r="H4948" s="12" t="inlineStr">
        <is>
          <t>RICE 2 SCR + oxidation catalyst and stack</t>
        </is>
      </c>
      <c r="I4948" s="12" t="inlineStr">
        <is>
          <t>LV 600 V</t>
        </is>
      </c>
      <c r="J4948" s="12" t="inlineStr">
        <is>
          <t>Type TC-ER 600 V 3/C Cu XHHW-2 + ground, PVC jacket</t>
        </is>
      </c>
      <c r="K4948" s="12" t="inlineStr">
        <is>
          <t>LV|3/C+G|6</t>
        </is>
      </c>
      <c r="L4948" s="12" t="inlineStr">
        <is>
          <t>3/C+G</t>
        </is>
      </c>
      <c r="M4948" s="12" t="inlineStr">
        <is>
          <t>6</t>
        </is>
      </c>
      <c r="N4948" s="12" t="n">
        <v>1</v>
      </c>
      <c r="O4948" s="12" t="n">
        <v>1</v>
      </c>
      <c r="P4948" s="12" t="n">
        <v>480</v>
      </c>
      <c r="Q4948" s="12" t="n">
        <v>15</v>
      </c>
      <c r="R4948" s="12" t="n">
        <v>21.2</v>
      </c>
      <c r="S4948" s="12" t="inlineStr">
        <is>
          <t>Duct bank</t>
        </is>
      </c>
      <c r="T4948" s="16" t="n">
        <v>470</v>
      </c>
      <c r="U4948" s="16" t="n">
        <v>132</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Area / platform lighting circuit 1 (6 fixtures)</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LV|3/C+G|10</t>
        </is>
      </c>
      <c r="L4949" s="12" t="inlineStr">
        <is>
          <t>3/C+G</t>
        </is>
      </c>
      <c r="M4949" s="12" t="inlineStr">
        <is>
          <t>10</t>
        </is>
      </c>
      <c r="N4949" s="12" t="n">
        <v>1</v>
      </c>
      <c r="O4949" s="12" t="n">
        <v>1</v>
      </c>
      <c r="P4949" s="12" t="n">
        <v>480</v>
      </c>
      <c r="Q4949" s="12" t="n">
        <v>3</v>
      </c>
      <c r="R4949" s="12" t="n">
        <v>5</v>
      </c>
      <c r="S4949" s="12" t="inlineStr">
        <is>
          <t>Duct bank</t>
        </is>
      </c>
      <c r="T4949" s="16" t="n">
        <v>770</v>
      </c>
      <c r="U4949" s="16" t="n">
        <v>132</v>
      </c>
      <c r="V4949" s="16">
        <f>ROUNDUP((T4949+U4949+2*'Read Me'!$B$13)*(1+'Read Me'!$B$12),-1)</f>
        <v/>
      </c>
      <c r="W4949" s="16">
        <f>V4949*N4949*O4949</f>
        <v/>
      </c>
      <c r="X4949" s="12">
        <f>IF(LEFT(I4949,2)="MV",2*N4949*IF(L4949="1/C",O4949,1),0)</f>
        <v/>
      </c>
      <c r="Y4949" s="12">
        <f>IF(OR(LEFT(K4949,4)="LVAX",LEFT(K4949,6)="MV15AX",LEFT(K4949,4)="CTAX",LEFT(K4949,2)="W|"),2*N4949*O4949,0)</f>
        <v/>
      </c>
      <c r="Z4949" s="12" t="inlineStr">
        <is>
          <t>fixture-to-fixture run included</t>
        </is>
      </c>
      <c r="AA4949" s="12">
        <f>N4949*O4949</f>
        <v/>
      </c>
    </row>
    <row r="4950">
      <c r="A4950" s="12" t="inlineStr">
        <is>
          <t>I-P-0048</t>
        </is>
      </c>
      <c r="B4950" s="12" t="inlineStr">
        <is>
          <t>I</t>
        </is>
      </c>
      <c r="C4950" s="12" t="inlineStr">
        <is>
          <t>Modular / portable power</t>
        </is>
      </c>
      <c r="D4950" s="12" t="inlineStr">
        <is>
          <t>Motor 1 of 5, 30 kW (VFD output)</t>
        </is>
      </c>
      <c r="E4950" s="12" t="inlineStr"/>
      <c r="F4950" s="12" t="inlineStr">
        <is>
          <t>PCM: power control module</t>
        </is>
      </c>
      <c r="G4950" s="12" t="inlineStr"/>
      <c r="H4950" s="12" t="inlineStr">
        <is>
          <t>RICE 2 radiators (5)</t>
        </is>
      </c>
      <c r="I4950" s="12" t="inlineStr">
        <is>
          <t>LV 600 V</t>
        </is>
      </c>
      <c r="J4950" s="12" t="inlineStr">
        <is>
          <t>VFD cable 600 V 3/C Cu XHHW-2, 3 symmetrical grounds, overall Cu tape shield, TC-ER</t>
        </is>
      </c>
      <c r="K4950" s="12" t="inlineStr">
        <is>
          <t>VFD|3/C+3G|2</t>
        </is>
      </c>
      <c r="L4950" s="12" t="inlineStr">
        <is>
          <t>3/C+3G</t>
        </is>
      </c>
      <c r="M4950" s="12" t="inlineStr">
        <is>
          <t>2</t>
        </is>
      </c>
      <c r="N4950" s="12" t="n">
        <v>1</v>
      </c>
      <c r="O4950" s="12" t="n">
        <v>1</v>
      </c>
      <c r="P4950" s="12" t="n">
        <v>480</v>
      </c>
      <c r="Q4950" s="12" t="n">
        <v>30</v>
      </c>
      <c r="R4950" s="12" t="n">
        <v>42</v>
      </c>
      <c r="S4950" s="12" t="inlineStr">
        <is>
          <t>Duct bank</t>
        </is>
      </c>
      <c r="T4950" s="16" t="n">
        <v>630</v>
      </c>
      <c r="U4950" s="16" t="n">
        <v>192</v>
      </c>
      <c r="V4950" s="16">
        <f>ROUNDUP((T4950+U4950+2*'Read Me'!$B$13)*(1+'Read Me'!$B$12),-1)</f>
        <v/>
      </c>
      <c r="W4950" s="16">
        <f>V4950*N4950*O4950</f>
        <v/>
      </c>
      <c r="X4950" s="12">
        <f>IF(LEFT(I4950,2)="MV",2*N4950*IF(L4950="1/C",O4950,1),0)</f>
        <v/>
      </c>
      <c r="Y4950" s="12">
        <f>IF(OR(LEFT(K4950,4)="LVAX",LEFT(K4950,6)="MV15AX",LEFT(K4950,4)="CTAX",LEFT(K4950,2)="W|"),2*N4950*O4950,0)</f>
        <v/>
      </c>
      <c r="Z4950" s="12" t="inlineStr">
        <is>
          <t>VD 2.7 %</t>
        </is>
      </c>
      <c r="AA4950" s="12">
        <f>N4950*O4950</f>
        <v/>
      </c>
    </row>
    <row r="4951">
      <c r="A4951" s="12" t="inlineStr">
        <is>
          <t>I-P-0049</t>
        </is>
      </c>
      <c r="B4951" s="12" t="inlineStr">
        <is>
          <t>I</t>
        </is>
      </c>
      <c r="C4951" s="12" t="inlineStr">
        <is>
          <t>Modular / portable power</t>
        </is>
      </c>
      <c r="D4951" s="12" t="inlineStr">
        <is>
          <t>Motor 2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6" t="n">
        <v>630</v>
      </c>
      <c r="U4951" s="16" t="n">
        <v>192</v>
      </c>
      <c r="V4951" s="16">
        <f>ROUNDUP((T4951+U4951+2*'Read Me'!$B$13)*(1+'Read Me'!$B$12),-1)</f>
        <v/>
      </c>
      <c r="W4951" s="16">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3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6" t="n">
        <v>630</v>
      </c>
      <c r="U4952" s="16" t="n">
        <v>192</v>
      </c>
      <c r="V4952" s="16">
        <f>ROUNDUP((T4952+U4952+2*'Read Me'!$B$13)*(1+'Read Me'!$B$12),-1)</f>
        <v/>
      </c>
      <c r="W4952" s="16">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4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6" t="n">
        <v>630</v>
      </c>
      <c r="U4953" s="16" t="n">
        <v>192</v>
      </c>
      <c r="V4953" s="16">
        <f>ROUNDUP((T4953+U4953+2*'Read Me'!$B$13)*(1+'Read Me'!$B$12),-1)</f>
        <v/>
      </c>
      <c r="W4953" s="16">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5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6" t="n">
        <v>630</v>
      </c>
      <c r="U4954" s="16" t="n">
        <v>192</v>
      </c>
      <c r="V4954" s="16">
        <f>ROUNDUP((T4954+U4954+2*'Read Me'!$B$13)*(1+'Read Me'!$B$12),-1)</f>
        <v/>
      </c>
      <c r="W4954" s="16">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1 of 1, 15 kW</t>
        </is>
      </c>
      <c r="E4955" s="12" t="inlineStr"/>
      <c r="F4955" s="12" t="inlineStr">
        <is>
          <t>PCM: power control module</t>
        </is>
      </c>
      <c r="G4955" s="12" t="inlineStr"/>
      <c r="H4955" s="12" t="inlineStr">
        <is>
          <t>RICE 3 SCR + oxidation catalyst and stack</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6" t="n">
        <v>470</v>
      </c>
      <c r="U4955" s="16" t="n">
        <v>104</v>
      </c>
      <c r="V4955" s="16">
        <f>ROUNDUP((T4955+U4955+2*'Read Me'!$B$13)*(1+'Read Me'!$B$12),-1)</f>
        <v/>
      </c>
      <c r="W4955" s="16">
        <f>V4955*N4955*O4955</f>
        <v/>
      </c>
      <c r="X4955" s="12">
        <f>IF(LEFT(I4955,2)="MV",2*N4955*IF(L4955="1/C",O4955,1),0)</f>
        <v/>
      </c>
      <c r="Y4955" s="12">
        <f>IF(OR(LEFT(K4955,4)="LVAX",LEFT(K4955,6)="MV15AX",LEFT(K4955,4)="CTAX",LEFT(K4955,2)="W|"),2*N4955*O4955,0)</f>
        <v/>
      </c>
      <c r="Z4955" s="12" t="inlineStr">
        <is>
          <t>VD 2.4 %</t>
        </is>
      </c>
      <c r="AA4955" s="12">
        <f>N4955*O4955</f>
        <v/>
      </c>
    </row>
    <row r="4956">
      <c r="A4956" s="12" t="inlineStr">
        <is>
          <t>I-P-0054</t>
        </is>
      </c>
      <c r="B4956" s="12" t="inlineStr">
        <is>
          <t>I</t>
        </is>
      </c>
      <c r="C4956" s="12" t="inlineStr">
        <is>
          <t>Modular / portable power</t>
        </is>
      </c>
      <c r="D4956" s="12" t="inlineStr">
        <is>
          <t>Area / platform lighting circuit 1 (6 fixtures)</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LV|3/C+G|10</t>
        </is>
      </c>
      <c r="L4956" s="12" t="inlineStr">
        <is>
          <t>3/C+G</t>
        </is>
      </c>
      <c r="M4956" s="12" t="inlineStr">
        <is>
          <t>10</t>
        </is>
      </c>
      <c r="N4956" s="12" t="n">
        <v>1</v>
      </c>
      <c r="O4956" s="12" t="n">
        <v>1</v>
      </c>
      <c r="P4956" s="12" t="n">
        <v>480</v>
      </c>
      <c r="Q4956" s="12" t="n">
        <v>3</v>
      </c>
      <c r="R4956" s="12" t="n">
        <v>5</v>
      </c>
      <c r="S4956" s="12" t="inlineStr">
        <is>
          <t>Duct bank</t>
        </is>
      </c>
      <c r="T4956" s="16" t="n">
        <v>770</v>
      </c>
      <c r="U4956" s="16" t="n">
        <v>104</v>
      </c>
      <c r="V4956" s="16">
        <f>ROUNDUP((T4956+U4956+2*'Read Me'!$B$13)*(1+'Read Me'!$B$12),-1)</f>
        <v/>
      </c>
      <c r="W4956" s="16">
        <f>V4956*N4956*O4956</f>
        <v/>
      </c>
      <c r="X4956" s="12">
        <f>IF(LEFT(I4956,2)="MV",2*N4956*IF(L4956="1/C",O4956,1),0)</f>
        <v/>
      </c>
      <c r="Y4956" s="12">
        <f>IF(OR(LEFT(K4956,4)="LVAX",LEFT(K4956,6)="MV15AX",LEFT(K4956,4)="CTAX",LEFT(K4956,2)="W|"),2*N4956*O4956,0)</f>
        <v/>
      </c>
      <c r="Z4956" s="12" t="inlineStr">
        <is>
          <t>fixture-to-fixture run included</t>
        </is>
      </c>
      <c r="AA4956" s="12">
        <f>N4956*O4956</f>
        <v/>
      </c>
    </row>
    <row r="4957">
      <c r="A4957" s="12" t="inlineStr">
        <is>
          <t>I-P-0055</t>
        </is>
      </c>
      <c r="B4957" s="12" t="inlineStr">
        <is>
          <t>I</t>
        </is>
      </c>
      <c r="C4957" s="12" t="inlineStr">
        <is>
          <t>Modular / portable power</t>
        </is>
      </c>
      <c r="D4957" s="12" t="inlineStr">
        <is>
          <t>Motor 1 of 5, 30 kW (VFD output)</t>
        </is>
      </c>
      <c r="E4957" s="12" t="inlineStr"/>
      <c r="F4957" s="12" t="inlineStr">
        <is>
          <t>PCM: power control module</t>
        </is>
      </c>
      <c r="G4957" s="12" t="inlineStr"/>
      <c r="H4957" s="12" t="inlineStr">
        <is>
          <t>RICE 3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6" t="n">
        <v>112</v>
      </c>
      <c r="U4957" s="16" t="n">
        <v>232</v>
      </c>
      <c r="V4957" s="16">
        <f>ROUNDUP((T4957+U4957+2*'Read Me'!$B$13)*(1+'Read Me'!$B$12),-1)</f>
        <v/>
      </c>
      <c r="W4957" s="16">
        <f>V4957*N4957*O4957</f>
        <v/>
      </c>
      <c r="X4957" s="12">
        <f>IF(LEFT(I4957,2)="MV",2*N4957*IF(L4957="1/C",O4957,1),0)</f>
        <v/>
      </c>
      <c r="Y4957" s="12">
        <f>IF(OR(LEFT(K4957,4)="LVAX",LEFT(K4957,6)="MV15AX",LEFT(K4957,4)="CTAX",LEFT(K4957,2)="W|"),2*N4957*O4957,0)</f>
        <v/>
      </c>
      <c r="Z4957" s="12" t="inlineStr">
        <is>
          <t>VD 2.8 %</t>
        </is>
      </c>
      <c r="AA4957" s="12">
        <f>N4957*O4957</f>
        <v/>
      </c>
    </row>
    <row r="4958">
      <c r="A4958" s="12" t="inlineStr">
        <is>
          <t>I-P-0056</t>
        </is>
      </c>
      <c r="B4958" s="12" t="inlineStr">
        <is>
          <t>I</t>
        </is>
      </c>
      <c r="C4958" s="12" t="inlineStr">
        <is>
          <t>Modular / portable power</t>
        </is>
      </c>
      <c r="D4958" s="12" t="inlineStr">
        <is>
          <t>Motor 2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6" t="n">
        <v>112</v>
      </c>
      <c r="U4958" s="16" t="n">
        <v>232</v>
      </c>
      <c r="V4958" s="16">
        <f>ROUNDUP((T4958+U4958+2*'Read Me'!$B$13)*(1+'Read Me'!$B$12),-1)</f>
        <v/>
      </c>
      <c r="W4958" s="16">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3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6" t="n">
        <v>112</v>
      </c>
      <c r="U4959" s="16" t="n">
        <v>232</v>
      </c>
      <c r="V4959" s="16">
        <f>ROUNDUP((T4959+U4959+2*'Read Me'!$B$13)*(1+'Read Me'!$B$12),-1)</f>
        <v/>
      </c>
      <c r="W4959" s="16">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4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6" t="n">
        <v>112</v>
      </c>
      <c r="U4960" s="16" t="n">
        <v>232</v>
      </c>
      <c r="V4960" s="16">
        <f>ROUNDUP((T4960+U4960+2*'Read Me'!$B$13)*(1+'Read Me'!$B$12),-1)</f>
        <v/>
      </c>
      <c r="W4960" s="16">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5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6" t="n">
        <v>112</v>
      </c>
      <c r="U4961" s="16" t="n">
        <v>232</v>
      </c>
      <c r="V4961" s="16">
        <f>ROUNDUP((T4961+U4961+2*'Read Me'!$B$13)*(1+'Read Me'!$B$12),-1)</f>
        <v/>
      </c>
      <c r="W4961" s="16">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1 of 1, 15 kW</t>
        </is>
      </c>
      <c r="E4962" s="12" t="inlineStr"/>
      <c r="F4962" s="12" t="inlineStr">
        <is>
          <t>PCM: power control module</t>
        </is>
      </c>
      <c r="G4962" s="12" t="inlineStr"/>
      <c r="H4962" s="12" t="inlineStr">
        <is>
          <t>RICE 4 SCR + oxidation catalyst and stack</t>
        </is>
      </c>
      <c r="I4962" s="12" t="inlineStr">
        <is>
          <t>LV 600 V</t>
        </is>
      </c>
      <c r="J4962" s="12" t="inlineStr">
        <is>
          <t>Type TC-ER 600 V 3/C Cu XHHW-2 + ground, PVC jacket</t>
        </is>
      </c>
      <c r="K4962" s="12" t="inlineStr">
        <is>
          <t>LV|3/C+G|6</t>
        </is>
      </c>
      <c r="L4962" s="12" t="inlineStr">
        <is>
          <t>3/C+G</t>
        </is>
      </c>
      <c r="M4962" s="12" t="inlineStr">
        <is>
          <t>6</t>
        </is>
      </c>
      <c r="N4962" s="12" t="n">
        <v>1</v>
      </c>
      <c r="O4962" s="12" t="n">
        <v>1</v>
      </c>
      <c r="P4962" s="12" t="n">
        <v>480</v>
      </c>
      <c r="Q4962" s="12" t="n">
        <v>15</v>
      </c>
      <c r="R4962" s="12" t="n">
        <v>21.2</v>
      </c>
      <c r="S4962" s="12" t="inlineStr">
        <is>
          <t>Duct bank</t>
        </is>
      </c>
      <c r="T4962" s="16" t="n">
        <v>470</v>
      </c>
      <c r="U4962" s="16" t="n">
        <v>76</v>
      </c>
      <c r="V4962" s="16">
        <f>ROUNDUP((T4962+U4962+2*'Read Me'!$B$13)*(1+'Read Me'!$B$12),-1)</f>
        <v/>
      </c>
      <c r="W4962" s="16">
        <f>V4962*N4962*O4962</f>
        <v/>
      </c>
      <c r="X4962" s="12">
        <f>IF(LEFT(I4962,2)="MV",2*N4962*IF(L4962="1/C",O4962,1),0)</f>
        <v/>
      </c>
      <c r="Y4962" s="12">
        <f>IF(OR(LEFT(K4962,4)="LVAX",LEFT(K4962,6)="MV15AX",LEFT(K4962,4)="CTAX",LEFT(K4962,2)="W|"),2*N4962*O4962,0)</f>
        <v/>
      </c>
      <c r="Z4962" s="12" t="inlineStr">
        <is>
          <t>VD 2.3 %</t>
        </is>
      </c>
      <c r="AA4962" s="12">
        <f>N4962*O4962</f>
        <v/>
      </c>
    </row>
    <row r="4963">
      <c r="A4963" s="12" t="inlineStr">
        <is>
          <t>I-P-0061</t>
        </is>
      </c>
      <c r="B4963" s="12" t="inlineStr">
        <is>
          <t>I</t>
        </is>
      </c>
      <c r="C4963" s="12" t="inlineStr">
        <is>
          <t>Modular / portable power</t>
        </is>
      </c>
      <c r="D4963" s="12" t="inlineStr">
        <is>
          <t>Area / platform lighting circuit 1 (6 fixtures)</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LV|3/C+G|10</t>
        </is>
      </c>
      <c r="L4963" s="12" t="inlineStr">
        <is>
          <t>3/C+G</t>
        </is>
      </c>
      <c r="M4963" s="12" t="inlineStr">
        <is>
          <t>10</t>
        </is>
      </c>
      <c r="N4963" s="12" t="n">
        <v>1</v>
      </c>
      <c r="O4963" s="12" t="n">
        <v>1</v>
      </c>
      <c r="P4963" s="12" t="n">
        <v>480</v>
      </c>
      <c r="Q4963" s="12" t="n">
        <v>3</v>
      </c>
      <c r="R4963" s="12" t="n">
        <v>5</v>
      </c>
      <c r="S4963" s="12" t="inlineStr">
        <is>
          <t>Duct bank</t>
        </is>
      </c>
      <c r="T4963" s="16" t="n">
        <v>770</v>
      </c>
      <c r="U4963" s="16" t="n">
        <v>76</v>
      </c>
      <c r="V4963" s="16">
        <f>ROUNDUP((T4963+U4963+2*'Read Me'!$B$13)*(1+'Read Me'!$B$12),-1)</f>
        <v/>
      </c>
      <c r="W4963" s="16">
        <f>V4963*N4963*O4963</f>
        <v/>
      </c>
      <c r="X4963" s="12">
        <f>IF(LEFT(I4963,2)="MV",2*N4963*IF(L4963="1/C",O4963,1),0)</f>
        <v/>
      </c>
      <c r="Y4963" s="12">
        <f>IF(OR(LEFT(K4963,4)="LVAX",LEFT(K4963,6)="MV15AX",LEFT(K4963,4)="CTAX",LEFT(K4963,2)="W|"),2*N4963*O4963,0)</f>
        <v/>
      </c>
      <c r="Z4963" s="12" t="inlineStr">
        <is>
          <t>fixture-to-fixture run included</t>
        </is>
      </c>
      <c r="AA4963" s="12">
        <f>N4963*O4963</f>
        <v/>
      </c>
    </row>
    <row r="4964">
      <c r="A4964" s="12" t="inlineStr">
        <is>
          <t>I-P-0062</t>
        </is>
      </c>
      <c r="B4964" s="12" t="inlineStr">
        <is>
          <t>I</t>
        </is>
      </c>
      <c r="C4964" s="12" t="inlineStr">
        <is>
          <t>Modular / portable power</t>
        </is>
      </c>
      <c r="D4964" s="12" t="inlineStr">
        <is>
          <t>Motor 1 of 5, 30 kW (VFD output)</t>
        </is>
      </c>
      <c r="E4964" s="12" t="inlineStr"/>
      <c r="F4964" s="12" t="inlineStr">
        <is>
          <t>PCM: power control module</t>
        </is>
      </c>
      <c r="G4964" s="12" t="inlineStr"/>
      <c r="H4964" s="12" t="inlineStr">
        <is>
          <t>RICE 4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80</v>
      </c>
      <c r="U4964" s="16" t="n">
        <v>206</v>
      </c>
      <c r="V4964" s="16">
        <f>ROUNDUP((T4964+U4964+2*'Read Me'!$B$13)*(1+'Read Me'!$B$12),-1)</f>
        <v/>
      </c>
      <c r="W4964" s="16">
        <f>V4964*N4964*O4964</f>
        <v/>
      </c>
      <c r="X4964" s="12">
        <f>IF(LEFT(I4964,2)="MV",2*N4964*IF(L4964="1/C",O4964,1),0)</f>
        <v/>
      </c>
      <c r="Y4964" s="12">
        <f>IF(OR(LEFT(K4964,4)="LVAX",LEFT(K4964,6)="MV15AX",LEFT(K4964,4)="CTAX",LEFT(K4964,2)="W|"),2*N4964*O4964,0)</f>
        <v/>
      </c>
      <c r="Z4964" s="12" t="inlineStr">
        <is>
          <t>VD 2.4 %</t>
        </is>
      </c>
      <c r="AA4964" s="12">
        <f>N4964*O4964</f>
        <v/>
      </c>
    </row>
    <row r="4965">
      <c r="A4965" s="12" t="inlineStr">
        <is>
          <t>I-P-0063</t>
        </is>
      </c>
      <c r="B4965" s="12" t="inlineStr">
        <is>
          <t>I</t>
        </is>
      </c>
      <c r="C4965" s="12" t="inlineStr">
        <is>
          <t>Modular / portable power</t>
        </is>
      </c>
      <c r="D4965" s="12" t="inlineStr">
        <is>
          <t>Motor 2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80</v>
      </c>
      <c r="U4965" s="16" t="n">
        <v>206</v>
      </c>
      <c r="V4965" s="16">
        <f>ROUNDUP((T4965+U4965+2*'Read Me'!$B$13)*(1+'Read Me'!$B$12),-1)</f>
        <v/>
      </c>
      <c r="W4965" s="16">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3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80</v>
      </c>
      <c r="U4966" s="16" t="n">
        <v>206</v>
      </c>
      <c r="V4966" s="16">
        <f>ROUNDUP((T4966+U4966+2*'Read Me'!$B$13)*(1+'Read Me'!$B$12),-1)</f>
        <v/>
      </c>
      <c r="W4966" s="16">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4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6" t="n">
        <v>80</v>
      </c>
      <c r="U4967" s="16" t="n">
        <v>206</v>
      </c>
      <c r="V4967" s="16">
        <f>ROUNDUP((T4967+U4967+2*'Read Me'!$B$13)*(1+'Read Me'!$B$12),-1)</f>
        <v/>
      </c>
      <c r="W4967" s="16">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5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6" t="n">
        <v>80</v>
      </c>
      <c r="U4968" s="16" t="n">
        <v>206</v>
      </c>
      <c r="V4968" s="16">
        <f>ROUNDUP((T4968+U4968+2*'Read Me'!$B$13)*(1+'Read Me'!$B$12),-1)</f>
        <v/>
      </c>
      <c r="W4968" s="16">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1 of 1, 15 kW</t>
        </is>
      </c>
      <c r="E4969" s="12" t="inlineStr"/>
      <c r="F4969" s="12" t="inlineStr">
        <is>
          <t>PCM: power control module</t>
        </is>
      </c>
      <c r="G4969" s="12" t="inlineStr"/>
      <c r="H4969" s="12" t="inlineStr">
        <is>
          <t>RICE 5 SCR + oxidation catalyst and stack</t>
        </is>
      </c>
      <c r="I4969" s="12" t="inlineStr">
        <is>
          <t>LV 600 V</t>
        </is>
      </c>
      <c r="J4969" s="12" t="inlineStr">
        <is>
          <t>Type TC-ER 600 V 3/C Cu XHHW-2 + ground, PVC jacket</t>
        </is>
      </c>
      <c r="K4969" s="12" t="inlineStr">
        <is>
          <t>LV|3/C+G|6</t>
        </is>
      </c>
      <c r="L4969" s="12" t="inlineStr">
        <is>
          <t>3/C+G</t>
        </is>
      </c>
      <c r="M4969" s="12" t="inlineStr">
        <is>
          <t>6</t>
        </is>
      </c>
      <c r="N4969" s="12" t="n">
        <v>1</v>
      </c>
      <c r="O4969" s="12" t="n">
        <v>1</v>
      </c>
      <c r="P4969" s="12" t="n">
        <v>480</v>
      </c>
      <c r="Q4969" s="12" t="n">
        <v>15</v>
      </c>
      <c r="R4969" s="12" t="n">
        <v>21.2</v>
      </c>
      <c r="S4969" s="12" t="inlineStr">
        <is>
          <t>Duct bank</t>
        </is>
      </c>
      <c r="T4969" s="16" t="n">
        <v>322</v>
      </c>
      <c r="U4969" s="16" t="n">
        <v>196</v>
      </c>
      <c r="V4969" s="16">
        <f>ROUNDUP((T4969+U4969+2*'Read Me'!$B$13)*(1+'Read Me'!$B$12),-1)</f>
        <v/>
      </c>
      <c r="W4969" s="16">
        <f>V4969*N4969*O4969</f>
        <v/>
      </c>
      <c r="X4969" s="12">
        <f>IF(LEFT(I4969,2)="MV",2*N4969*IF(L4969="1/C",O4969,1),0)</f>
        <v/>
      </c>
      <c r="Y4969" s="12">
        <f>IF(OR(LEFT(K4969,4)="LVAX",LEFT(K4969,6)="MV15AX",LEFT(K4969,4)="CTAX",LEFT(K4969,2)="W|"),2*N4969*O4969,0)</f>
        <v/>
      </c>
      <c r="Z4969" s="12" t="inlineStr">
        <is>
          <t>VD 2.1 %</t>
        </is>
      </c>
      <c r="AA4969" s="12">
        <f>N4969*O4969</f>
        <v/>
      </c>
    </row>
    <row r="4970">
      <c r="A4970" s="12" t="inlineStr">
        <is>
          <t>I-P-0068</t>
        </is>
      </c>
      <c r="B4970" s="12" t="inlineStr">
        <is>
          <t>I</t>
        </is>
      </c>
      <c r="C4970" s="12" t="inlineStr">
        <is>
          <t>Modular / portable power</t>
        </is>
      </c>
      <c r="D4970" s="12" t="inlineStr">
        <is>
          <t>Area / platform lighting circuit 1 (6 fixtures)</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3</v>
      </c>
      <c r="R4970" s="12" t="n">
        <v>5</v>
      </c>
      <c r="S4970" s="12" t="inlineStr">
        <is>
          <t>Duct bank</t>
        </is>
      </c>
      <c r="T4970" s="16" t="n">
        <v>622</v>
      </c>
      <c r="U4970" s="16" t="n">
        <v>196</v>
      </c>
      <c r="V4970" s="16">
        <f>ROUNDUP((T4970+U4970+2*'Read Me'!$B$13)*(1+'Read Me'!$B$12),-1)</f>
        <v/>
      </c>
      <c r="W4970" s="16">
        <f>V4970*N4970*O4970</f>
        <v/>
      </c>
      <c r="X4970" s="12">
        <f>IF(LEFT(I4970,2)="MV",2*N4970*IF(L4970="1/C",O4970,1),0)</f>
        <v/>
      </c>
      <c r="Y4970" s="12">
        <f>IF(OR(LEFT(K4970,4)="LVAX",LEFT(K4970,6)="MV15AX",LEFT(K4970,4)="CTAX",LEFT(K4970,2)="W|"),2*N4970*O4970,0)</f>
        <v/>
      </c>
      <c r="Z4970" s="12" t="inlineStr">
        <is>
          <t>fixture-to-fixture run included</t>
        </is>
      </c>
      <c r="AA4970" s="12">
        <f>N4970*O4970</f>
        <v/>
      </c>
    </row>
    <row r="4971">
      <c r="A4971" s="12" t="inlineStr">
        <is>
          <t>I-P-0069</t>
        </is>
      </c>
      <c r="B4971" s="12" t="inlineStr">
        <is>
          <t>I</t>
        </is>
      </c>
      <c r="C4971" s="12" t="inlineStr">
        <is>
          <t>Modular / portable power</t>
        </is>
      </c>
      <c r="D4971" s="12" t="inlineStr">
        <is>
          <t>Motor 1 of 5, 30 kW (VFD output)</t>
        </is>
      </c>
      <c r="E4971" s="12" t="inlineStr"/>
      <c r="F4971" s="12" t="inlineStr">
        <is>
          <t>PCM: power control module</t>
        </is>
      </c>
      <c r="G4971" s="12" t="inlineStr"/>
      <c r="H4971" s="12" t="inlineStr">
        <is>
          <t>RICE 5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178</v>
      </c>
      <c r="V4971" s="16">
        <f>ROUNDUP((T4971+U4971+2*'Read Me'!$B$13)*(1+'Read Me'!$B$12),-1)</f>
        <v/>
      </c>
      <c r="W4971" s="16">
        <f>V4971*N4971*O4971</f>
        <v/>
      </c>
      <c r="X4971" s="12">
        <f>IF(LEFT(I4971,2)="MV",2*N4971*IF(L4971="1/C",O4971,1),0)</f>
        <v/>
      </c>
      <c r="Y4971" s="12">
        <f>IF(OR(LEFT(K4971,4)="LVAX",LEFT(K4971,6)="MV15AX",LEFT(K4971,4)="CTAX",LEFT(K4971,2)="W|"),2*N4971*O4971,0)</f>
        <v/>
      </c>
      <c r="Z4971" s="12" t="inlineStr">
        <is>
          <t>VD 2.1 %</t>
        </is>
      </c>
      <c r="AA4971" s="12">
        <f>N4971*O4971</f>
        <v/>
      </c>
    </row>
    <row r="4972">
      <c r="A4972" s="12" t="inlineStr">
        <is>
          <t>I-P-0070</t>
        </is>
      </c>
      <c r="B4972" s="12" t="inlineStr">
        <is>
          <t>I</t>
        </is>
      </c>
      <c r="C4972" s="12" t="inlineStr">
        <is>
          <t>Modular / portable power</t>
        </is>
      </c>
      <c r="D4972" s="12" t="inlineStr">
        <is>
          <t>Motor 2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178</v>
      </c>
      <c r="V4972" s="16">
        <f>ROUNDUP((T4972+U4972+2*'Read Me'!$B$13)*(1+'Read Me'!$B$12),-1)</f>
        <v/>
      </c>
      <c r="W4972" s="16">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3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178</v>
      </c>
      <c r="V4973" s="16">
        <f>ROUNDUP((T4973+U4973+2*'Read Me'!$B$13)*(1+'Read Me'!$B$12),-1)</f>
        <v/>
      </c>
      <c r="W4973" s="16">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4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6" t="n">
        <v>80</v>
      </c>
      <c r="U4974" s="16" t="n">
        <v>178</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5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6" t="n">
        <v>80</v>
      </c>
      <c r="U4975" s="16" t="n">
        <v>178</v>
      </c>
      <c r="V4975" s="16">
        <f>ROUNDUP((T4975+U4975+2*'Read Me'!$B$13)*(1+'Read Me'!$B$12),-1)</f>
        <v/>
      </c>
      <c r="W4975" s="16">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1 of 1, 15 kW</t>
        </is>
      </c>
      <c r="E4976" s="12" t="inlineStr"/>
      <c r="F4976" s="12" t="inlineStr">
        <is>
          <t>PCM: power control module</t>
        </is>
      </c>
      <c r="G4976" s="12" t="inlineStr"/>
      <c r="H4976" s="12" t="inlineStr">
        <is>
          <t>RICE 6 SCR + oxidation catalyst and stack</t>
        </is>
      </c>
      <c r="I4976" s="12" t="inlineStr">
        <is>
          <t>LV 600 V</t>
        </is>
      </c>
      <c r="J4976" s="12" t="inlineStr">
        <is>
          <t>Type TC-ER 600 V 3/C Cu XHHW-2 + ground, PVC jacket</t>
        </is>
      </c>
      <c r="K4976" s="12" t="inlineStr">
        <is>
          <t>LV|3/C+G|6</t>
        </is>
      </c>
      <c r="L4976" s="12" t="inlineStr">
        <is>
          <t>3/C+G</t>
        </is>
      </c>
      <c r="M4976" s="12" t="inlineStr">
        <is>
          <t>6</t>
        </is>
      </c>
      <c r="N4976" s="12" t="n">
        <v>1</v>
      </c>
      <c r="O4976" s="12" t="n">
        <v>1</v>
      </c>
      <c r="P4976" s="12" t="n">
        <v>480</v>
      </c>
      <c r="Q4976" s="12" t="n">
        <v>15</v>
      </c>
      <c r="R4976" s="12" t="n">
        <v>21.2</v>
      </c>
      <c r="S4976" s="12" t="inlineStr">
        <is>
          <t>Duct bank</t>
        </is>
      </c>
      <c r="T4976" s="16" t="n">
        <v>322</v>
      </c>
      <c r="U4976" s="16" t="n">
        <v>168</v>
      </c>
      <c r="V4976" s="16">
        <f>ROUNDUP((T4976+U4976+2*'Read Me'!$B$13)*(1+'Read Me'!$B$12),-1)</f>
        <v/>
      </c>
      <c r="W4976" s="16">
        <f>V4976*N4976*O4976</f>
        <v/>
      </c>
      <c r="X4976" s="12">
        <f>IF(LEFT(I4976,2)="MV",2*N4976*IF(L4976="1/C",O4976,1),0)</f>
        <v/>
      </c>
      <c r="Y4976" s="12">
        <f>IF(OR(LEFT(K4976,4)="LVAX",LEFT(K4976,6)="MV15AX",LEFT(K4976,4)="CTAX",LEFT(K4976,2)="W|"),2*N4976*O4976,0)</f>
        <v/>
      </c>
      <c r="Z4976" s="12" t="inlineStr">
        <is>
          <t>VD 2.0 %</t>
        </is>
      </c>
      <c r="AA4976" s="12">
        <f>N4976*O4976</f>
        <v/>
      </c>
    </row>
    <row r="4977">
      <c r="A4977" s="12" t="inlineStr">
        <is>
          <t>I-P-0075</t>
        </is>
      </c>
      <c r="B4977" s="12" t="inlineStr">
        <is>
          <t>I</t>
        </is>
      </c>
      <c r="C4977" s="12" t="inlineStr">
        <is>
          <t>Modular / portable power</t>
        </is>
      </c>
      <c r="D4977" s="12" t="inlineStr">
        <is>
          <t>Area / platform lighting circuit 1 (6 fixtures)</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3</v>
      </c>
      <c r="R4977" s="12" t="n">
        <v>5</v>
      </c>
      <c r="S4977" s="12" t="inlineStr">
        <is>
          <t>Duct bank</t>
        </is>
      </c>
      <c r="T4977" s="16" t="n">
        <v>622</v>
      </c>
      <c r="U4977" s="16" t="n">
        <v>168</v>
      </c>
      <c r="V4977" s="16">
        <f>ROUNDUP((T4977+U4977+2*'Read Me'!$B$13)*(1+'Read Me'!$B$12),-1)</f>
        <v/>
      </c>
      <c r="W4977" s="16">
        <f>V4977*N4977*O4977</f>
        <v/>
      </c>
      <c r="X4977" s="12">
        <f>IF(LEFT(I4977,2)="MV",2*N4977*IF(L4977="1/C",O4977,1),0)</f>
        <v/>
      </c>
      <c r="Y4977" s="12">
        <f>IF(OR(LEFT(K4977,4)="LVAX",LEFT(K4977,6)="MV15AX",LEFT(K4977,4)="CTAX",LEFT(K4977,2)="W|"),2*N4977*O4977,0)</f>
        <v/>
      </c>
      <c r="Z4977" s="12" t="inlineStr">
        <is>
          <t>fixture-to-fixture run included</t>
        </is>
      </c>
      <c r="AA4977" s="12">
        <f>N4977*O4977</f>
        <v/>
      </c>
    </row>
    <row r="4978">
      <c r="A4978" s="12" t="inlineStr">
        <is>
          <t>I-P-0076</t>
        </is>
      </c>
      <c r="B4978" s="12" t="inlineStr">
        <is>
          <t>I</t>
        </is>
      </c>
      <c r="C4978" s="12" t="inlineStr">
        <is>
          <t>Modular / portable power</t>
        </is>
      </c>
      <c r="D4978" s="12" t="inlineStr">
        <is>
          <t>Motor 1 of 5, 30 kW (VFD output)</t>
        </is>
      </c>
      <c r="E4978" s="12" t="inlineStr"/>
      <c r="F4978" s="12" t="inlineStr">
        <is>
          <t>PCM: power control module</t>
        </is>
      </c>
      <c r="G4978" s="12" t="inlineStr"/>
      <c r="H4978" s="12" t="inlineStr">
        <is>
          <t>RICE 6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150</v>
      </c>
      <c r="V4978" s="16">
        <f>ROUNDUP((T4978+U4978+2*'Read Me'!$B$13)*(1+'Read Me'!$B$12),-1)</f>
        <v/>
      </c>
      <c r="W4978" s="16">
        <f>V4978*N4978*O4978</f>
        <v/>
      </c>
      <c r="X4978" s="12">
        <f>IF(LEFT(I4978,2)="MV",2*N4978*IF(L4978="1/C",O4978,1),0)</f>
        <v/>
      </c>
      <c r="Y4978" s="12">
        <f>IF(OR(LEFT(K4978,4)="LVAX",LEFT(K4978,6)="MV15AX",LEFT(K4978,4)="CTAX",LEFT(K4978,2)="W|"),2*N4978*O4978,0)</f>
        <v/>
      </c>
      <c r="Z4978" s="12" t="inlineStr">
        <is>
          <t>VD 1.9 %</t>
        </is>
      </c>
      <c r="AA4978" s="12">
        <f>N4978*O4978</f>
        <v/>
      </c>
    </row>
    <row r="4979">
      <c r="A4979" s="12" t="inlineStr">
        <is>
          <t>I-P-0077</t>
        </is>
      </c>
      <c r="B4979" s="12" t="inlineStr">
        <is>
          <t>I</t>
        </is>
      </c>
      <c r="C4979" s="12" t="inlineStr">
        <is>
          <t>Modular / portable power</t>
        </is>
      </c>
      <c r="D4979" s="12" t="inlineStr">
        <is>
          <t>Motor 2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150</v>
      </c>
      <c r="V4979" s="16">
        <f>ROUNDUP((T4979+U4979+2*'Read Me'!$B$13)*(1+'Read Me'!$B$12),-1)</f>
        <v/>
      </c>
      <c r="W4979" s="16">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3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150</v>
      </c>
      <c r="V4980" s="16">
        <f>ROUNDUP((T4980+U4980+2*'Read Me'!$B$13)*(1+'Read Me'!$B$12),-1)</f>
        <v/>
      </c>
      <c r="W4980" s="16">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4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6" t="n">
        <v>80</v>
      </c>
      <c r="U4981" s="16" t="n">
        <v>150</v>
      </c>
      <c r="V4981" s="16">
        <f>ROUNDUP((T4981+U4981+2*'Read Me'!$B$13)*(1+'Read Me'!$B$12),-1)</f>
        <v/>
      </c>
      <c r="W4981" s="16">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5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6" t="n">
        <v>80</v>
      </c>
      <c r="U4982" s="16" t="n">
        <v>150</v>
      </c>
      <c r="V4982" s="16">
        <f>ROUNDUP((T4982+U4982+2*'Read Me'!$B$13)*(1+'Read Me'!$B$12),-1)</f>
        <v/>
      </c>
      <c r="W4982" s="16">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1 of 1, 15 kW</t>
        </is>
      </c>
      <c r="E4983" s="12" t="inlineStr"/>
      <c r="F4983" s="12" t="inlineStr">
        <is>
          <t>PCM: power control module</t>
        </is>
      </c>
      <c r="G4983" s="12" t="inlineStr"/>
      <c r="H4983" s="12" t="inlineStr">
        <is>
          <t>RICE 7 SCR + oxidation catalyst and stack</t>
        </is>
      </c>
      <c r="I4983" s="12" t="inlineStr">
        <is>
          <t>LV 600 V</t>
        </is>
      </c>
      <c r="J4983" s="12" t="inlineStr">
        <is>
          <t>Type TC-ER 600 V 3/C Cu XHHW-2 + ground, PVC jacket</t>
        </is>
      </c>
      <c r="K4983" s="12" t="inlineStr">
        <is>
          <t>LV|3/C+G|8</t>
        </is>
      </c>
      <c r="L4983" s="12" t="inlineStr">
        <is>
          <t>3/C+G</t>
        </is>
      </c>
      <c r="M4983" s="12" t="inlineStr">
        <is>
          <t>8</t>
        </is>
      </c>
      <c r="N4983" s="12" t="n">
        <v>1</v>
      </c>
      <c r="O4983" s="12" t="n">
        <v>1</v>
      </c>
      <c r="P4983" s="12" t="n">
        <v>480</v>
      </c>
      <c r="Q4983" s="12" t="n">
        <v>15</v>
      </c>
      <c r="R4983" s="12" t="n">
        <v>21.2</v>
      </c>
      <c r="S4983" s="12" t="inlineStr">
        <is>
          <t>Duct bank</t>
        </is>
      </c>
      <c r="T4983" s="16" t="n">
        <v>322</v>
      </c>
      <c r="U4983" s="16" t="n">
        <v>140</v>
      </c>
      <c r="V4983" s="16">
        <f>ROUNDUP((T4983+U4983+2*'Read Me'!$B$13)*(1+'Read Me'!$B$12),-1)</f>
        <v/>
      </c>
      <c r="W4983" s="16">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I-P-0082</t>
        </is>
      </c>
      <c r="B4984" s="12" t="inlineStr">
        <is>
          <t>I</t>
        </is>
      </c>
      <c r="C4984" s="12" t="inlineStr">
        <is>
          <t>Modular / portable power</t>
        </is>
      </c>
      <c r="D4984" s="12" t="inlineStr">
        <is>
          <t>Area / platform lighting circuit 1 (6 fixtures)</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LV|3/C+G|10</t>
        </is>
      </c>
      <c r="L4984" s="12" t="inlineStr">
        <is>
          <t>3/C+G</t>
        </is>
      </c>
      <c r="M4984" s="12" t="inlineStr">
        <is>
          <t>10</t>
        </is>
      </c>
      <c r="N4984" s="12" t="n">
        <v>1</v>
      </c>
      <c r="O4984" s="12" t="n">
        <v>1</v>
      </c>
      <c r="P4984" s="12" t="n">
        <v>480</v>
      </c>
      <c r="Q4984" s="12" t="n">
        <v>3</v>
      </c>
      <c r="R4984" s="12" t="n">
        <v>5</v>
      </c>
      <c r="S4984" s="12" t="inlineStr">
        <is>
          <t>Duct bank</t>
        </is>
      </c>
      <c r="T4984" s="16" t="n">
        <v>622</v>
      </c>
      <c r="U4984" s="16" t="n">
        <v>140</v>
      </c>
      <c r="V4984" s="16">
        <f>ROUNDUP((T4984+U4984+2*'Read Me'!$B$13)*(1+'Read Me'!$B$12),-1)</f>
        <v/>
      </c>
      <c r="W4984" s="16">
        <f>V4984*N4984*O4984</f>
        <v/>
      </c>
      <c r="X4984" s="12">
        <f>IF(LEFT(I4984,2)="MV",2*N4984*IF(L4984="1/C",O4984,1),0)</f>
        <v/>
      </c>
      <c r="Y4984" s="12">
        <f>IF(OR(LEFT(K4984,4)="LVAX",LEFT(K4984,6)="MV15AX",LEFT(K4984,4)="CTAX",LEFT(K4984,2)="W|"),2*N4984*O4984,0)</f>
        <v/>
      </c>
      <c r="Z4984" s="12" t="inlineStr">
        <is>
          <t>fixture-to-fixture run included</t>
        </is>
      </c>
      <c r="AA4984" s="12">
        <f>N4984*O4984</f>
        <v/>
      </c>
    </row>
    <row r="4985">
      <c r="A4985" s="12" t="inlineStr">
        <is>
          <t>I-P-0083</t>
        </is>
      </c>
      <c r="B4985" s="12" t="inlineStr">
        <is>
          <t>I</t>
        </is>
      </c>
      <c r="C4985" s="12" t="inlineStr">
        <is>
          <t>Modular / portable power</t>
        </is>
      </c>
      <c r="D4985" s="12" t="inlineStr">
        <is>
          <t>Motor 1 of 5, 30 kW (VFD output)</t>
        </is>
      </c>
      <c r="E4985" s="12" t="inlineStr"/>
      <c r="F4985" s="12" t="inlineStr">
        <is>
          <t>PCM: power control module</t>
        </is>
      </c>
      <c r="G4985" s="12" t="inlineStr"/>
      <c r="H4985" s="12" t="inlineStr">
        <is>
          <t>RICE 7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122</v>
      </c>
      <c r="V4985" s="16">
        <f>ROUNDUP((T4985+U4985+2*'Read Me'!$B$13)*(1+'Read Me'!$B$12),-1)</f>
        <v/>
      </c>
      <c r="W4985" s="16">
        <f>V4985*N4985*O4985</f>
        <v/>
      </c>
      <c r="X4985" s="12">
        <f>IF(LEFT(I4985,2)="MV",2*N4985*IF(L4985="1/C",O4985,1),0)</f>
        <v/>
      </c>
      <c r="Y4985" s="12">
        <f>IF(OR(LEFT(K4985,4)="LVAX",LEFT(K4985,6)="MV15AX",LEFT(K4985,4)="CTAX",LEFT(K4985,2)="W|"),2*N4985*O4985,0)</f>
        <v/>
      </c>
      <c r="Z4985" s="12" t="inlineStr">
        <is>
          <t>VD 1.7 %</t>
        </is>
      </c>
      <c r="AA4985" s="12">
        <f>N4985*O4985</f>
        <v/>
      </c>
    </row>
    <row r="4986">
      <c r="A4986" s="12" t="inlineStr">
        <is>
          <t>I-P-0084</t>
        </is>
      </c>
      <c r="B4986" s="12" t="inlineStr">
        <is>
          <t>I</t>
        </is>
      </c>
      <c r="C4986" s="12" t="inlineStr">
        <is>
          <t>Modular / portable power</t>
        </is>
      </c>
      <c r="D4986" s="12" t="inlineStr">
        <is>
          <t>Motor 2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122</v>
      </c>
      <c r="V4986" s="16">
        <f>ROUNDUP((T4986+U4986+2*'Read Me'!$B$13)*(1+'Read Me'!$B$12),-1)</f>
        <v/>
      </c>
      <c r="W4986" s="16">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3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122</v>
      </c>
      <c r="V4987" s="16">
        <f>ROUNDUP((T4987+U4987+2*'Read Me'!$B$13)*(1+'Read Me'!$B$12),-1)</f>
        <v/>
      </c>
      <c r="W4987" s="16">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4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6" t="n">
        <v>80</v>
      </c>
      <c r="U4988" s="16" t="n">
        <v>122</v>
      </c>
      <c r="V4988" s="16">
        <f>ROUNDUP((T4988+U4988+2*'Read Me'!$B$13)*(1+'Read Me'!$B$12),-1)</f>
        <v/>
      </c>
      <c r="W4988" s="16">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5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6" t="n">
        <v>80</v>
      </c>
      <c r="U4989" s="16" t="n">
        <v>122</v>
      </c>
      <c r="V4989" s="16">
        <f>ROUNDUP((T4989+U4989+2*'Read Me'!$B$13)*(1+'Read Me'!$B$12),-1)</f>
        <v/>
      </c>
      <c r="W4989" s="16">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1 of 1, 15 kW</t>
        </is>
      </c>
      <c r="E4990" s="12" t="inlineStr"/>
      <c r="F4990" s="12" t="inlineStr">
        <is>
          <t>PCM: power control module</t>
        </is>
      </c>
      <c r="G4990" s="12" t="inlineStr"/>
      <c r="H4990" s="12" t="inlineStr">
        <is>
          <t>RICE 8 SCR + oxidation catalyst and stack</t>
        </is>
      </c>
      <c r="I4990" s="12" t="inlineStr">
        <is>
          <t>LV 600 V</t>
        </is>
      </c>
      <c r="J4990" s="12" t="inlineStr">
        <is>
          <t>Type TC-ER 600 V 3/C Cu XHHW-2 + ground, PVC jacket</t>
        </is>
      </c>
      <c r="K4990" s="12" t="inlineStr">
        <is>
          <t>LV|3/C+G|8</t>
        </is>
      </c>
      <c r="L4990" s="12" t="inlineStr">
        <is>
          <t>3/C+G</t>
        </is>
      </c>
      <c r="M4990" s="12" t="inlineStr">
        <is>
          <t>8</t>
        </is>
      </c>
      <c r="N4990" s="12" t="n">
        <v>1</v>
      </c>
      <c r="O4990" s="12" t="n">
        <v>1</v>
      </c>
      <c r="P4990" s="12" t="n">
        <v>480</v>
      </c>
      <c r="Q4990" s="12" t="n">
        <v>15</v>
      </c>
      <c r="R4990" s="12" t="n">
        <v>21.2</v>
      </c>
      <c r="S4990" s="12" t="inlineStr">
        <is>
          <t>Duct bank</t>
        </is>
      </c>
      <c r="T4990" s="16" t="n">
        <v>322</v>
      </c>
      <c r="U4990" s="16" t="n">
        <v>112</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I-P-0089</t>
        </is>
      </c>
      <c r="B4991" s="12" t="inlineStr">
        <is>
          <t>I</t>
        </is>
      </c>
      <c r="C4991" s="12" t="inlineStr">
        <is>
          <t>Modular / portable power</t>
        </is>
      </c>
      <c r="D4991" s="12" t="inlineStr">
        <is>
          <t>Area / platform lighting circuit 1 (6 fixtures)</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3</v>
      </c>
      <c r="R4991" s="12" t="n">
        <v>5</v>
      </c>
      <c r="S4991" s="12" t="inlineStr">
        <is>
          <t>Duct bank</t>
        </is>
      </c>
      <c r="T4991" s="16" t="n">
        <v>622</v>
      </c>
      <c r="U4991" s="16" t="n">
        <v>112</v>
      </c>
      <c r="V4991" s="16">
        <f>ROUNDUP((T4991+U4991+2*'Read Me'!$B$13)*(1+'Read Me'!$B$12),-1)</f>
        <v/>
      </c>
      <c r="W4991" s="16">
        <f>V4991*N4991*O4991</f>
        <v/>
      </c>
      <c r="X4991" s="12">
        <f>IF(LEFT(I4991,2)="MV",2*N4991*IF(L4991="1/C",O4991,1),0)</f>
        <v/>
      </c>
      <c r="Y4991" s="12">
        <f>IF(OR(LEFT(K4991,4)="LVAX",LEFT(K4991,6)="MV15AX",LEFT(K4991,4)="CTAX",LEFT(K4991,2)="W|"),2*N4991*O4991,0)</f>
        <v/>
      </c>
      <c r="Z4991" s="12" t="inlineStr">
        <is>
          <t>fixture-to-fixture run included</t>
        </is>
      </c>
      <c r="AA4991" s="12">
        <f>N4991*O4991</f>
        <v/>
      </c>
    </row>
    <row r="4992">
      <c r="A4992" s="12" t="inlineStr">
        <is>
          <t>I-P-0090</t>
        </is>
      </c>
      <c r="B4992" s="12" t="inlineStr">
        <is>
          <t>I</t>
        </is>
      </c>
      <c r="C4992" s="12" t="inlineStr">
        <is>
          <t>Modular / portable power</t>
        </is>
      </c>
      <c r="D4992" s="12" t="inlineStr">
        <is>
          <t>Motor 1 of 5, 30 kW (VFD output)</t>
        </is>
      </c>
      <c r="E4992" s="12" t="inlineStr"/>
      <c r="F4992" s="12" t="inlineStr">
        <is>
          <t>PCM: power control module</t>
        </is>
      </c>
      <c r="G4992" s="12" t="inlineStr"/>
      <c r="H4992" s="12" t="inlineStr">
        <is>
          <t>RICE 8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94</v>
      </c>
      <c r="V4992" s="16">
        <f>ROUNDUP((T4992+U4992+2*'Read Me'!$B$13)*(1+'Read Me'!$B$12),-1)</f>
        <v/>
      </c>
      <c r="W4992" s="16">
        <f>V4992*N4992*O4992</f>
        <v/>
      </c>
      <c r="X4992" s="12">
        <f>IF(LEFT(I4992,2)="MV",2*N4992*IF(L4992="1/C",O4992,1),0)</f>
        <v/>
      </c>
      <c r="Y4992" s="12">
        <f>IF(OR(LEFT(K4992,4)="LVAX",LEFT(K4992,6)="MV15AX",LEFT(K4992,4)="CTAX",LEFT(K4992,2)="W|"),2*N4992*O4992,0)</f>
        <v/>
      </c>
      <c r="Z4992" s="12" t="inlineStr">
        <is>
          <t>VD 1.4 %</t>
        </is>
      </c>
      <c r="AA4992" s="12">
        <f>N4992*O4992</f>
        <v/>
      </c>
    </row>
    <row r="4993">
      <c r="A4993" s="12" t="inlineStr">
        <is>
          <t>I-P-0091</t>
        </is>
      </c>
      <c r="B4993" s="12" t="inlineStr">
        <is>
          <t>I</t>
        </is>
      </c>
      <c r="C4993" s="12" t="inlineStr">
        <is>
          <t>Modular / portable power</t>
        </is>
      </c>
      <c r="D4993" s="12" t="inlineStr">
        <is>
          <t>Motor 2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94</v>
      </c>
      <c r="V4993" s="16">
        <f>ROUNDUP((T4993+U4993+2*'Read Me'!$B$13)*(1+'Read Me'!$B$12),-1)</f>
        <v/>
      </c>
      <c r="W4993" s="16">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3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94</v>
      </c>
      <c r="V4994" s="16">
        <f>ROUNDUP((T4994+U4994+2*'Read Me'!$B$13)*(1+'Read Me'!$B$12),-1)</f>
        <v/>
      </c>
      <c r="W4994" s="16">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4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6" t="n">
        <v>80</v>
      </c>
      <c r="U4995" s="16" t="n">
        <v>94</v>
      </c>
      <c r="V4995" s="16">
        <f>ROUNDUP((T4995+U4995+2*'Read Me'!$B$13)*(1+'Read Me'!$B$12),-1)</f>
        <v/>
      </c>
      <c r="W4995" s="16">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5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6" t="n">
        <v>80</v>
      </c>
      <c r="U4996" s="16" t="n">
        <v>94</v>
      </c>
      <c r="V4996" s="16">
        <f>ROUNDUP((T4996+U4996+2*'Read Me'!$B$13)*(1+'Read Me'!$B$12),-1)</f>
        <v/>
      </c>
      <c r="W4996" s="16">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LV panel / distribution feeder</t>
        </is>
      </c>
      <c r="E4997" s="12" t="inlineStr"/>
      <c r="F4997" s="12" t="inlineStr">
        <is>
          <t>PCM: power control module</t>
        </is>
      </c>
      <c r="G4997" s="12" t="inlineStr"/>
      <c r="H4997" s="12" t="inlineStr">
        <is>
          <t>RICE CEMS</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30</v>
      </c>
      <c r="R4997" s="12" t="n">
        <v>42.5</v>
      </c>
      <c r="S4997" s="12" t="inlineStr">
        <is>
          <t>Duct bank</t>
        </is>
      </c>
      <c r="T4997" s="16" t="n">
        <v>260</v>
      </c>
      <c r="U4997" s="16" t="n">
        <v>131</v>
      </c>
      <c r="V4997" s="16">
        <f>ROUNDUP((T4997+U4997+2*'Read Me'!$B$13)*(1+'Read Me'!$B$12),-1)</f>
        <v/>
      </c>
      <c r="W4997" s="16">
        <f>V4997*N4997*O4997</f>
        <v/>
      </c>
      <c r="X4997" s="12">
        <f>IF(LEFT(I4997,2)="MV",2*N4997*IF(L4997="1/C",O4997,1),0)</f>
        <v/>
      </c>
      <c r="Y4997" s="12">
        <f>IF(OR(LEFT(K4997,4)="LVAX",LEFT(K4997,6)="MV15AX",LEFT(K4997,4)="CTAX",LEFT(K4997,2)="W|"),2*N4997*O4997,0)</f>
        <v/>
      </c>
      <c r="Z4997" s="12" t="inlineStr">
        <is>
          <t>VD 2.0 %</t>
        </is>
      </c>
      <c r="AA4997" s="12">
        <f>N4997*O4997</f>
        <v/>
      </c>
    </row>
    <row r="4998">
      <c r="A4998" s="12" t="inlineStr">
        <is>
          <t>I-P-0096</t>
        </is>
      </c>
      <c r="B4998" s="12" t="inlineStr">
        <is>
          <t>I</t>
        </is>
      </c>
      <c r="C4998" s="12" t="inlineStr">
        <is>
          <t>Modular / portable power</t>
        </is>
      </c>
      <c r="D4998" s="12" t="inlineStr">
        <is>
          <t>LV power feeder</t>
        </is>
      </c>
      <c r="E4998" s="12" t="inlineStr"/>
      <c r="F4998" s="12" t="inlineStr">
        <is>
          <t>PCM: power control module</t>
        </is>
      </c>
      <c r="G4998" s="12" t="inlineStr">
        <is>
          <t>RICE</t>
        </is>
      </c>
      <c r="H4998" s="12" t="inlineStr">
        <is>
          <t>RICE engine hall (8 engines)</t>
        </is>
      </c>
      <c r="I4998" s="12" t="inlineStr">
        <is>
          <t>LV 600 V</t>
        </is>
      </c>
      <c r="J4998" s="12" t="inlineStr">
        <is>
          <t>Type TC-ER 600 V 3/C Cu XHHW-2 + ground, PVC jacket</t>
        </is>
      </c>
      <c r="K4998" s="12" t="inlineStr">
        <is>
          <t>LV|3/C+G|8</t>
        </is>
      </c>
      <c r="L4998" s="12" t="inlineStr">
        <is>
          <t>3/C+G</t>
        </is>
      </c>
      <c r="M4998" s="12" t="inlineStr">
        <is>
          <t>8</t>
        </is>
      </c>
      <c r="N4998" s="12" t="n">
        <v>1</v>
      </c>
      <c r="O4998" s="12" t="n">
        <v>1</v>
      </c>
      <c r="P4998" s="12" t="n">
        <v>480</v>
      </c>
      <c r="Q4998" s="12" t="n">
        <v>15</v>
      </c>
      <c r="R4998" s="12" t="n">
        <v>21.2</v>
      </c>
      <c r="S4998" s="12" t="inlineStr">
        <is>
          <t>Duct bank</t>
        </is>
      </c>
      <c r="T4998" s="16" t="n">
        <v>367</v>
      </c>
      <c r="U4998" s="16" t="n">
        <v>95</v>
      </c>
      <c r="V4998" s="16">
        <f>ROUNDUP((T4998+U4998+2*'Read Me'!$B$13)*(1+'Read Me'!$B$12),-1)</f>
        <v/>
      </c>
      <c r="W4998" s="16">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I-P-0097</t>
        </is>
      </c>
      <c r="B4999" s="12" t="inlineStr">
        <is>
          <t>I</t>
        </is>
      </c>
      <c r="C4999" s="12" t="inlineStr">
        <is>
          <t>Modular / portable power</t>
        </is>
      </c>
      <c r="D4999" s="12" t="inlineStr">
        <is>
          <t>Motor 1 of 6, 22 kW</t>
        </is>
      </c>
      <c r="E4999" s="12" t="inlineStr"/>
      <c r="F4999" s="12" t="inlineStr">
        <is>
          <t>PCM: power control module</t>
        </is>
      </c>
      <c r="G4999" s="12" t="inlineStr">
        <is>
          <t>RICE-1</t>
        </is>
      </c>
      <c r="H4999" s="12" t="inlineStr">
        <is>
          <t>RICE engine-generator 1</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6" t="n">
        <v>550</v>
      </c>
      <c r="U4999" s="16" t="n">
        <v>137</v>
      </c>
      <c r="V4999" s="16">
        <f>ROUNDUP((T4999+U4999+2*'Read Me'!$B$13)*(1+'Read Me'!$B$12),-1)</f>
        <v/>
      </c>
      <c r="W4999" s="16">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I-P-0098</t>
        </is>
      </c>
      <c r="B5000" s="12" t="inlineStr">
        <is>
          <t>I</t>
        </is>
      </c>
      <c r="C5000" s="12" t="inlineStr">
        <is>
          <t>Modular / portable power</t>
        </is>
      </c>
      <c r="D5000" s="12" t="inlineStr">
        <is>
          <t>Motor 2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6" t="n">
        <v>550</v>
      </c>
      <c r="U5000" s="16" t="n">
        <v>137</v>
      </c>
      <c r="V5000" s="16">
        <f>ROUNDUP((T5000+U5000+2*'Read Me'!$B$13)*(1+'Read Me'!$B$12),-1)</f>
        <v/>
      </c>
      <c r="W5000" s="16">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3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6" t="n">
        <v>550</v>
      </c>
      <c r="U5001" s="16" t="n">
        <v>137</v>
      </c>
      <c r="V5001" s="16">
        <f>ROUNDUP((T5001+U5001+2*'Read Me'!$B$13)*(1+'Read Me'!$B$12),-1)</f>
        <v/>
      </c>
      <c r="W5001" s="16">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4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6" t="n">
        <v>550</v>
      </c>
      <c r="U5002" s="16" t="n">
        <v>137</v>
      </c>
      <c r="V5002" s="16">
        <f>ROUNDUP((T5002+U5002+2*'Read Me'!$B$13)*(1+'Read Me'!$B$12),-1)</f>
        <v/>
      </c>
      <c r="W5002" s="16">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5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550</v>
      </c>
      <c r="U5003" s="16" t="n">
        <v>137</v>
      </c>
      <c r="V5003" s="16">
        <f>ROUNDUP((T5003+U5003+2*'Read Me'!$B$13)*(1+'Read Me'!$B$12),-1)</f>
        <v/>
      </c>
      <c r="W5003" s="16">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6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480 V welding receptacle 1</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LV|3/C+G|1/0</t>
        </is>
      </c>
      <c r="L5005" s="12" t="inlineStr">
        <is>
          <t>3/C+G</t>
        </is>
      </c>
      <c r="M5005" s="12" t="inlineStr">
        <is>
          <t>1/0</t>
        </is>
      </c>
      <c r="N5005" s="12" t="n">
        <v>1</v>
      </c>
      <c r="O5005" s="12" t="n">
        <v>1</v>
      </c>
      <c r="P5005" s="12" t="n">
        <v>480</v>
      </c>
      <c r="Q5005" s="12" t="n">
        <v>60</v>
      </c>
      <c r="R5005" s="12" t="n">
        <v>76</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I-P-0104</t>
        </is>
      </c>
      <c r="B5006" s="12" t="inlineStr">
        <is>
          <t>I</t>
        </is>
      </c>
      <c r="C5006" s="12" t="inlineStr">
        <is>
          <t>Modular / portable power</t>
        </is>
      </c>
      <c r="D5006" s="12" t="inlineStr">
        <is>
          <t>480 V welding receptacle 2</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3</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4</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Motor 1 of 6, 22 kW</t>
        </is>
      </c>
      <c r="E5009" s="12" t="inlineStr"/>
      <c r="F5009" s="12" t="inlineStr">
        <is>
          <t>PCM: power control module</t>
        </is>
      </c>
      <c r="G5009" s="12" t="inlineStr">
        <is>
          <t>RICE-2</t>
        </is>
      </c>
      <c r="H5009" s="12" t="inlineStr">
        <is>
          <t>RICE engine-generator 2</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109</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2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6" t="n">
        <v>550</v>
      </c>
      <c r="U5010" s="16" t="n">
        <v>109</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3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6" t="n">
        <v>550</v>
      </c>
      <c r="U5011" s="16" t="n">
        <v>109</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4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6" t="n">
        <v>550</v>
      </c>
      <c r="U5012" s="16" t="n">
        <v>109</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5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6" t="n">
        <v>550</v>
      </c>
      <c r="U5013" s="16" t="n">
        <v>109</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6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480 V welding receptacle 1</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LV|3/C+G|1/0</t>
        </is>
      </c>
      <c r="L5015" s="12" t="inlineStr">
        <is>
          <t>3/C+G</t>
        </is>
      </c>
      <c r="M5015" s="12" t="inlineStr">
        <is>
          <t>1/0</t>
        </is>
      </c>
      <c r="N5015" s="12" t="n">
        <v>1</v>
      </c>
      <c r="O5015" s="12" t="n">
        <v>1</v>
      </c>
      <c r="P5015" s="12" t="n">
        <v>480</v>
      </c>
      <c r="Q5015" s="12" t="n">
        <v>60</v>
      </c>
      <c r="R5015" s="12" t="n">
        <v>76</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2.4 %</t>
        </is>
      </c>
      <c r="AA5015" s="12">
        <f>N5015*O5015</f>
        <v/>
      </c>
    </row>
    <row r="5016">
      <c r="A5016" s="12" t="inlineStr">
        <is>
          <t>I-P-0114</t>
        </is>
      </c>
      <c r="B5016" s="12" t="inlineStr">
        <is>
          <t>I</t>
        </is>
      </c>
      <c r="C5016" s="12" t="inlineStr">
        <is>
          <t>Modular / portable power</t>
        </is>
      </c>
      <c r="D5016" s="12" t="inlineStr">
        <is>
          <t>480 V welding receptacle 2</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3</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4</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Motor 1 of 6, 22 kW</t>
        </is>
      </c>
      <c r="E5019" s="12" t="inlineStr"/>
      <c r="F5019" s="12" t="inlineStr">
        <is>
          <t>PCM: power control module</t>
        </is>
      </c>
      <c r="G5019" s="12" t="inlineStr">
        <is>
          <t>RICE-3</t>
        </is>
      </c>
      <c r="H5019" s="12" t="inlineStr">
        <is>
          <t>RICE engine-generator 3</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81</v>
      </c>
      <c r="V5019" s="16">
        <f>ROUNDUP((T5019+U5019+2*'Read Me'!$B$13)*(1+'Read Me'!$B$12),-1)</f>
        <v/>
      </c>
      <c r="W5019" s="16">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2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6" t="n">
        <v>550</v>
      </c>
      <c r="U5020" s="16" t="n">
        <v>81</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3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6" t="n">
        <v>550</v>
      </c>
      <c r="U5021" s="16" t="n">
        <v>81</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4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6" t="n">
        <v>550</v>
      </c>
      <c r="U5022" s="16" t="n">
        <v>81</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5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6" t="n">
        <v>550</v>
      </c>
      <c r="U5023" s="16" t="n">
        <v>81</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6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480 V welding receptacle 1</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2.9 %</t>
        </is>
      </c>
      <c r="AA5025" s="12">
        <f>N5025*O5025</f>
        <v/>
      </c>
    </row>
    <row r="5026">
      <c r="A5026" s="12" t="inlineStr">
        <is>
          <t>I-P-0124</t>
        </is>
      </c>
      <c r="B5026" s="12" t="inlineStr">
        <is>
          <t>I</t>
        </is>
      </c>
      <c r="C5026" s="12" t="inlineStr">
        <is>
          <t>Modular / portable power</t>
        </is>
      </c>
      <c r="D5026" s="12" t="inlineStr">
        <is>
          <t>480 V welding receptacle 2</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3</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4</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Motor 1 of 6, 22 kW</t>
        </is>
      </c>
      <c r="E5029" s="12" t="inlineStr"/>
      <c r="F5029" s="12" t="inlineStr">
        <is>
          <t>PCM: power control module</t>
        </is>
      </c>
      <c r="G5029" s="12" t="inlineStr">
        <is>
          <t>RICE-4</t>
        </is>
      </c>
      <c r="H5029" s="12" t="inlineStr">
        <is>
          <t>RICE engine-generator 4</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53</v>
      </c>
      <c r="V5029" s="16">
        <f>ROUNDUP((T5029+U5029+2*'Read Me'!$B$13)*(1+'Read Me'!$B$12),-1)</f>
        <v/>
      </c>
      <c r="W5029" s="16">
        <f>V5029*N5029*O5029</f>
        <v/>
      </c>
      <c r="X5029" s="12">
        <f>IF(LEFT(I5029,2)="MV",2*N5029*IF(L5029="1/C",O5029,1),0)</f>
        <v/>
      </c>
      <c r="Y5029" s="12">
        <f>IF(OR(LEFT(K5029,4)="LVAX",LEFT(K5029,6)="MV15AX",LEFT(K5029,4)="CTAX",LEFT(K5029,2)="W|"),2*N5029*O5029,0)</f>
        <v/>
      </c>
      <c r="Z5029" s="12" t="inlineStr">
        <is>
          <t>VD 2.3 %</t>
        </is>
      </c>
      <c r="AA5029" s="12">
        <f>N5029*O5029</f>
        <v/>
      </c>
    </row>
    <row r="5030">
      <c r="A5030" s="12" t="inlineStr">
        <is>
          <t>I-P-0128</t>
        </is>
      </c>
      <c r="B5030" s="12" t="inlineStr">
        <is>
          <t>I</t>
        </is>
      </c>
      <c r="C5030" s="12" t="inlineStr">
        <is>
          <t>Modular / portable power</t>
        </is>
      </c>
      <c r="D5030" s="12" t="inlineStr">
        <is>
          <t>Motor 2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6" t="n">
        <v>550</v>
      </c>
      <c r="U5030" s="16" t="n">
        <v>53</v>
      </c>
      <c r="V5030" s="16">
        <f>ROUNDUP((T5030+U5030+2*'Read Me'!$B$13)*(1+'Read Me'!$B$12),-1)</f>
        <v/>
      </c>
      <c r="W5030" s="16">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3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6" t="n">
        <v>550</v>
      </c>
      <c r="U5031" s="16" t="n">
        <v>53</v>
      </c>
      <c r="V5031" s="16">
        <f>ROUNDUP((T5031+U5031+2*'Read Me'!$B$13)*(1+'Read Me'!$B$12),-1)</f>
        <v/>
      </c>
      <c r="W5031" s="16">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4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6" t="n">
        <v>550</v>
      </c>
      <c r="U5032" s="16" t="n">
        <v>53</v>
      </c>
      <c r="V5032" s="16">
        <f>ROUNDUP((T5032+U5032+2*'Read Me'!$B$13)*(1+'Read Me'!$B$12),-1)</f>
        <v/>
      </c>
      <c r="W5032" s="16">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5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6" t="n">
        <v>550</v>
      </c>
      <c r="U5033" s="16" t="n">
        <v>53</v>
      </c>
      <c r="V5033" s="16">
        <f>ROUNDUP((T5033+U5033+2*'Read Me'!$B$13)*(1+'Read Me'!$B$12),-1)</f>
        <v/>
      </c>
      <c r="W5033" s="16">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6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480 V welding receptacle 1</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LV|3/C+G|1</t>
        </is>
      </c>
      <c r="L5035" s="12" t="inlineStr">
        <is>
          <t>3/C+G</t>
        </is>
      </c>
      <c r="M5035" s="12" t="inlineStr">
        <is>
          <t>1</t>
        </is>
      </c>
      <c r="N5035" s="12" t="n">
        <v>1</v>
      </c>
      <c r="O5035" s="12" t="n">
        <v>1</v>
      </c>
      <c r="P5035" s="12" t="n">
        <v>480</v>
      </c>
      <c r="Q5035" s="12" t="n">
        <v>60</v>
      </c>
      <c r="R5035" s="12" t="n">
        <v>76</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2.8 %</t>
        </is>
      </c>
      <c r="AA5035" s="12">
        <f>N5035*O5035</f>
        <v/>
      </c>
    </row>
    <row r="5036">
      <c r="A5036" s="12" t="inlineStr">
        <is>
          <t>I-P-0134</t>
        </is>
      </c>
      <c r="B5036" s="12" t="inlineStr">
        <is>
          <t>I</t>
        </is>
      </c>
      <c r="C5036" s="12" t="inlineStr">
        <is>
          <t>Modular / portable power</t>
        </is>
      </c>
      <c r="D5036" s="12" t="inlineStr">
        <is>
          <t>480 V welding receptacle 2</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3</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4</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Motor 1 of 6, 22 kW</t>
        </is>
      </c>
      <c r="E5039" s="12" t="inlineStr"/>
      <c r="F5039" s="12" t="inlineStr">
        <is>
          <t>PCM: power control module</t>
        </is>
      </c>
      <c r="G5039" s="12" t="inlineStr">
        <is>
          <t>RICE-5</t>
        </is>
      </c>
      <c r="H5039" s="12" t="inlineStr">
        <is>
          <t>RICE engine-generator 5</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367</v>
      </c>
      <c r="U5039" s="16" t="n">
        <v>208</v>
      </c>
      <c r="V5039" s="16">
        <f>ROUNDUP((T5039+U5039+2*'Read Me'!$B$13)*(1+'Read Me'!$B$12),-1)</f>
        <v/>
      </c>
      <c r="W5039" s="16">
        <f>V5039*N5039*O5039</f>
        <v/>
      </c>
      <c r="X5039" s="12">
        <f>IF(LEFT(I5039,2)="MV",2*N5039*IF(L5039="1/C",O5039,1),0)</f>
        <v/>
      </c>
      <c r="Y5039" s="12">
        <f>IF(OR(LEFT(K5039,4)="LVAX",LEFT(K5039,6)="MV15AX",LEFT(K5039,4)="CTAX",LEFT(K5039,2)="W|"),2*N5039*O5039,0)</f>
        <v/>
      </c>
      <c r="Z5039" s="12" t="inlineStr">
        <is>
          <t>VD 2.2 %</t>
        </is>
      </c>
      <c r="AA5039" s="12">
        <f>N5039*O5039</f>
        <v/>
      </c>
    </row>
    <row r="5040">
      <c r="A5040" s="12" t="inlineStr">
        <is>
          <t>I-P-0138</t>
        </is>
      </c>
      <c r="B5040" s="12" t="inlineStr">
        <is>
          <t>I</t>
        </is>
      </c>
      <c r="C5040" s="12" t="inlineStr">
        <is>
          <t>Modular / portable power</t>
        </is>
      </c>
      <c r="D5040" s="12" t="inlineStr">
        <is>
          <t>Motor 2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6" t="n">
        <v>367</v>
      </c>
      <c r="U5040" s="16" t="n">
        <v>208</v>
      </c>
      <c r="V5040" s="16">
        <f>ROUNDUP((T5040+U5040+2*'Read Me'!$B$13)*(1+'Read Me'!$B$12),-1)</f>
        <v/>
      </c>
      <c r="W5040" s="16">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3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6" t="n">
        <v>367</v>
      </c>
      <c r="U5041" s="16" t="n">
        <v>208</v>
      </c>
      <c r="V5041" s="16">
        <f>ROUNDUP((T5041+U5041+2*'Read Me'!$B$13)*(1+'Read Me'!$B$12),-1)</f>
        <v/>
      </c>
      <c r="W5041" s="16">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4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6" t="n">
        <v>367</v>
      </c>
      <c r="U5042" s="16" t="n">
        <v>208</v>
      </c>
      <c r="V5042" s="16">
        <f>ROUNDUP((T5042+U5042+2*'Read Me'!$B$13)*(1+'Read Me'!$B$12),-1)</f>
        <v/>
      </c>
      <c r="W5042" s="16">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5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6" t="n">
        <v>367</v>
      </c>
      <c r="U5043" s="16" t="n">
        <v>208</v>
      </c>
      <c r="V5043" s="16">
        <f>ROUNDUP((T5043+U5043+2*'Read Me'!$B$13)*(1+'Read Me'!$B$12),-1)</f>
        <v/>
      </c>
      <c r="W5043" s="16">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6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480 V welding receptacle 1</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LV|3/C+G|1</t>
        </is>
      </c>
      <c r="L5045" s="12" t="inlineStr">
        <is>
          <t>3/C+G</t>
        </is>
      </c>
      <c r="M5045" s="12" t="inlineStr">
        <is>
          <t>1</t>
        </is>
      </c>
      <c r="N5045" s="12" t="n">
        <v>1</v>
      </c>
      <c r="O5045" s="12" t="n">
        <v>1</v>
      </c>
      <c r="P5045" s="12" t="n">
        <v>480</v>
      </c>
      <c r="Q5045" s="12" t="n">
        <v>60</v>
      </c>
      <c r="R5045" s="12" t="n">
        <v>76</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I-P-0144</t>
        </is>
      </c>
      <c r="B5046" s="12" t="inlineStr">
        <is>
          <t>I</t>
        </is>
      </c>
      <c r="C5046" s="12" t="inlineStr">
        <is>
          <t>Modular / portable power</t>
        </is>
      </c>
      <c r="D5046" s="12" t="inlineStr">
        <is>
          <t>480 V welding receptacle 2</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3</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4</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Motor 1 of 6, 22 kW</t>
        </is>
      </c>
      <c r="E5049" s="12" t="inlineStr"/>
      <c r="F5049" s="12" t="inlineStr">
        <is>
          <t>PCM: power control module</t>
        </is>
      </c>
      <c r="G5049" s="12" t="inlineStr">
        <is>
          <t>RICE-6</t>
        </is>
      </c>
      <c r="H5049" s="12" t="inlineStr">
        <is>
          <t>RICE engine-generator 6</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180</v>
      </c>
      <c r="V5049" s="16">
        <f>ROUNDUP((T5049+U5049+2*'Read Me'!$B$13)*(1+'Read Me'!$B$12),-1)</f>
        <v/>
      </c>
      <c r="W5049" s="16">
        <f>V5049*N5049*O5049</f>
        <v/>
      </c>
      <c r="X5049" s="12">
        <f>IF(LEFT(I5049,2)="MV",2*N5049*IF(L5049="1/C",O5049,1),0)</f>
        <v/>
      </c>
      <c r="Y5049" s="12">
        <f>IF(OR(LEFT(K5049,4)="LVAX",LEFT(K5049,6)="MV15AX",LEFT(K5049,4)="CTAX",LEFT(K5049,2)="W|"),2*N5049*O5049,0)</f>
        <v/>
      </c>
      <c r="Z5049" s="12" t="inlineStr">
        <is>
          <t>VD 2.1 %</t>
        </is>
      </c>
      <c r="AA5049" s="12">
        <f>N5049*O5049</f>
        <v/>
      </c>
    </row>
    <row r="5050">
      <c r="A5050" s="12" t="inlineStr">
        <is>
          <t>I-P-0148</t>
        </is>
      </c>
      <c r="B5050" s="12" t="inlineStr">
        <is>
          <t>I</t>
        </is>
      </c>
      <c r="C5050" s="12" t="inlineStr">
        <is>
          <t>Modular / portable power</t>
        </is>
      </c>
      <c r="D5050" s="12" t="inlineStr">
        <is>
          <t>Motor 2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6" t="n">
        <v>367</v>
      </c>
      <c r="U5050" s="16" t="n">
        <v>180</v>
      </c>
      <c r="V5050" s="16">
        <f>ROUNDUP((T5050+U5050+2*'Read Me'!$B$13)*(1+'Read Me'!$B$12),-1)</f>
        <v/>
      </c>
      <c r="W5050" s="16">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3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6" t="n">
        <v>367</v>
      </c>
      <c r="U5051" s="16" t="n">
        <v>180</v>
      </c>
      <c r="V5051" s="16">
        <f>ROUNDUP((T5051+U5051+2*'Read Me'!$B$13)*(1+'Read Me'!$B$12),-1)</f>
        <v/>
      </c>
      <c r="W5051" s="16">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4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6" t="n">
        <v>367</v>
      </c>
      <c r="U5052" s="16" t="n">
        <v>180</v>
      </c>
      <c r="V5052" s="16">
        <f>ROUNDUP((T5052+U5052+2*'Read Me'!$B$13)*(1+'Read Me'!$B$12),-1)</f>
        <v/>
      </c>
      <c r="W5052" s="16">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5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6" t="n">
        <v>367</v>
      </c>
      <c r="U5053" s="16" t="n">
        <v>180</v>
      </c>
      <c r="V5053" s="16">
        <f>ROUNDUP((T5053+U5053+2*'Read Me'!$B$13)*(1+'Read Me'!$B$12),-1)</f>
        <v/>
      </c>
      <c r="W5053" s="16">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6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480 V welding receptacle 1</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LV|3/C+G|1</t>
        </is>
      </c>
      <c r="L5055" s="12" t="inlineStr">
        <is>
          <t>3/C+G</t>
        </is>
      </c>
      <c r="M5055" s="12" t="inlineStr">
        <is>
          <t>1</t>
        </is>
      </c>
      <c r="N5055" s="12" t="n">
        <v>1</v>
      </c>
      <c r="O5055" s="12" t="n">
        <v>1</v>
      </c>
      <c r="P5055" s="12" t="n">
        <v>480</v>
      </c>
      <c r="Q5055" s="12" t="n">
        <v>60</v>
      </c>
      <c r="R5055" s="12" t="n">
        <v>76</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I-P-0154</t>
        </is>
      </c>
      <c r="B5056" s="12" t="inlineStr">
        <is>
          <t>I</t>
        </is>
      </c>
      <c r="C5056" s="12" t="inlineStr">
        <is>
          <t>Modular / portable power</t>
        </is>
      </c>
      <c r="D5056" s="12" t="inlineStr">
        <is>
          <t>480 V welding receptacle 2</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3</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4</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Motor 1 of 6, 22 kW</t>
        </is>
      </c>
      <c r="E5059" s="12" t="inlineStr"/>
      <c r="F5059" s="12" t="inlineStr">
        <is>
          <t>PCM: power control module</t>
        </is>
      </c>
      <c r="G5059" s="12" t="inlineStr">
        <is>
          <t>RICE-7</t>
        </is>
      </c>
      <c r="H5059" s="12" t="inlineStr">
        <is>
          <t>RICE engine-generator 7</t>
        </is>
      </c>
      <c r="I5059" s="12" t="inlineStr">
        <is>
          <t>LV 600 V</t>
        </is>
      </c>
      <c r="J5059" s="12" t="inlineStr">
        <is>
          <t>Type TC-ER 600 V 3/C Cu XHHW-2 + ground, PVC jacket</t>
        </is>
      </c>
      <c r="K5059" s="12" t="inlineStr">
        <is>
          <t>LV|3/C+G|8</t>
        </is>
      </c>
      <c r="L5059" s="12" t="inlineStr">
        <is>
          <t>3/C+G</t>
        </is>
      </c>
      <c r="M5059" s="12" t="inlineStr">
        <is>
          <t>8</t>
        </is>
      </c>
      <c r="N5059" s="12" t="n">
        <v>1</v>
      </c>
      <c r="O5059" s="12" t="n">
        <v>1</v>
      </c>
      <c r="P5059" s="12" t="n">
        <v>480</v>
      </c>
      <c r="Q5059" s="12" t="n">
        <v>22</v>
      </c>
      <c r="R5059" s="12" t="n">
        <v>31.1</v>
      </c>
      <c r="S5059" s="12" t="inlineStr">
        <is>
          <t>Tray</t>
        </is>
      </c>
      <c r="T5059" s="16" t="n">
        <v>0</v>
      </c>
      <c r="U5059" s="16" t="n">
        <v>189</v>
      </c>
      <c r="V5059" s="16">
        <f>ROUNDUP((T5059+U5059+2*'Read Me'!$B$13)*(1+'Read Me'!$B$12),-1)</f>
        <v/>
      </c>
      <c r="W5059" s="16">
        <f>V5059*N5059*O5059</f>
        <v/>
      </c>
      <c r="X5059" s="12">
        <f>IF(LEFT(I5059,2)="MV",2*N5059*IF(L5059="1/C",O5059,1),0)</f>
        <v/>
      </c>
      <c r="Y5059" s="12">
        <f>IF(OR(LEFT(K5059,4)="LVAX",LEFT(K5059,6)="MV15AX",LEFT(K5059,4)="CTAX",LEFT(K5059,2)="W|"),2*N5059*O5059,0)</f>
        <v/>
      </c>
      <c r="Z5059" s="12" t="inlineStr">
        <is>
          <t>VD 1.8 %</t>
        </is>
      </c>
      <c r="AA5059" s="12">
        <f>N5059*O5059</f>
        <v/>
      </c>
    </row>
    <row r="5060">
      <c r="A5060" s="12" t="inlineStr">
        <is>
          <t>I-P-0158</t>
        </is>
      </c>
      <c r="B5060" s="12" t="inlineStr">
        <is>
          <t>I</t>
        </is>
      </c>
      <c r="C5060" s="12" t="inlineStr">
        <is>
          <t>Modular / portable power</t>
        </is>
      </c>
      <c r="D5060" s="12" t="inlineStr">
        <is>
          <t>Motor 2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6" t="n">
        <v>0</v>
      </c>
      <c r="U5060" s="16" t="n">
        <v>189</v>
      </c>
      <c r="V5060" s="16">
        <f>ROUNDUP((T5060+U5060+2*'Read Me'!$B$13)*(1+'Read Me'!$B$12),-1)</f>
        <v/>
      </c>
      <c r="W5060" s="16">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3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6" t="n">
        <v>0</v>
      </c>
      <c r="U5061" s="16" t="n">
        <v>189</v>
      </c>
      <c r="V5061" s="16">
        <f>ROUNDUP((T5061+U5061+2*'Read Me'!$B$13)*(1+'Read Me'!$B$12),-1)</f>
        <v/>
      </c>
      <c r="W5061" s="16">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4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6" t="n">
        <v>0</v>
      </c>
      <c r="U5062" s="16" t="n">
        <v>189</v>
      </c>
      <c r="V5062" s="16">
        <f>ROUNDUP((T5062+U5062+2*'Read Me'!$B$13)*(1+'Read Me'!$B$12),-1)</f>
        <v/>
      </c>
      <c r="W5062" s="16">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5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6" t="n">
        <v>0</v>
      </c>
      <c r="U5063" s="16" t="n">
        <v>189</v>
      </c>
      <c r="V5063" s="16">
        <f>ROUNDUP((T5063+U5063+2*'Read Me'!$B$13)*(1+'Read Me'!$B$12),-1)</f>
        <v/>
      </c>
      <c r="W5063" s="16">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6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480 V welding receptacle 1</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LV|3/C+G|2</t>
        </is>
      </c>
      <c r="L5065" s="12" t="inlineStr">
        <is>
          <t>3/C+G</t>
        </is>
      </c>
      <c r="M5065" s="12" t="inlineStr">
        <is>
          <t>2</t>
        </is>
      </c>
      <c r="N5065" s="12" t="n">
        <v>1</v>
      </c>
      <c r="O5065" s="12" t="n">
        <v>1</v>
      </c>
      <c r="P5065" s="12" t="n">
        <v>480</v>
      </c>
      <c r="Q5065" s="12" t="n">
        <v>60</v>
      </c>
      <c r="R5065" s="12" t="n">
        <v>76</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I-P-0164</t>
        </is>
      </c>
      <c r="B5066" s="12" t="inlineStr">
        <is>
          <t>I</t>
        </is>
      </c>
      <c r="C5066" s="12" t="inlineStr">
        <is>
          <t>Modular / portable power</t>
        </is>
      </c>
      <c r="D5066" s="12" t="inlineStr">
        <is>
          <t>480 V welding receptacle 2</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3</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4</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Motor 1 of 6, 22 kW</t>
        </is>
      </c>
      <c r="E5069" s="12" t="inlineStr"/>
      <c r="F5069" s="12" t="inlineStr">
        <is>
          <t>PCM: power control module</t>
        </is>
      </c>
      <c r="G5069" s="12" t="inlineStr">
        <is>
          <t>RICE-8</t>
        </is>
      </c>
      <c r="H5069" s="12" t="inlineStr">
        <is>
          <t>RICE engine-generator 8</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161</v>
      </c>
      <c r="V5069" s="16">
        <f>ROUNDUP((T5069+U5069+2*'Read Me'!$B$13)*(1+'Read Me'!$B$12),-1)</f>
        <v/>
      </c>
      <c r="W5069" s="16">
        <f>V5069*N5069*O5069</f>
        <v/>
      </c>
      <c r="X5069" s="12">
        <f>IF(LEFT(I5069,2)="MV",2*N5069*IF(L5069="1/C",O5069,1),0)</f>
        <v/>
      </c>
      <c r="Y5069" s="12">
        <f>IF(OR(LEFT(K5069,4)="LVAX",LEFT(K5069,6)="MV15AX",LEFT(K5069,4)="CTAX",LEFT(K5069,2)="W|"),2*N5069*O5069,0)</f>
        <v/>
      </c>
      <c r="Z5069" s="12" t="inlineStr">
        <is>
          <t>VD 1.5 %</t>
        </is>
      </c>
      <c r="AA5069" s="12">
        <f>N5069*O5069</f>
        <v/>
      </c>
    </row>
    <row r="5070">
      <c r="A5070" s="12" t="inlineStr">
        <is>
          <t>I-P-0168</t>
        </is>
      </c>
      <c r="B5070" s="12" t="inlineStr">
        <is>
          <t>I</t>
        </is>
      </c>
      <c r="C5070" s="12" t="inlineStr">
        <is>
          <t>Modular / portable power</t>
        </is>
      </c>
      <c r="D5070" s="12" t="inlineStr">
        <is>
          <t>Motor 2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6" t="n">
        <v>0</v>
      </c>
      <c r="U5070" s="16" t="n">
        <v>161</v>
      </c>
      <c r="V5070" s="16">
        <f>ROUNDUP((T5070+U5070+2*'Read Me'!$B$13)*(1+'Read Me'!$B$12),-1)</f>
        <v/>
      </c>
      <c r="W5070" s="16">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3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6" t="n">
        <v>0</v>
      </c>
      <c r="U5071" s="16" t="n">
        <v>161</v>
      </c>
      <c r="V5071" s="16">
        <f>ROUNDUP((T5071+U5071+2*'Read Me'!$B$13)*(1+'Read Me'!$B$12),-1)</f>
        <v/>
      </c>
      <c r="W5071" s="16">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4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6" t="n">
        <v>0</v>
      </c>
      <c r="U5072" s="16" t="n">
        <v>161</v>
      </c>
      <c r="V5072" s="16">
        <f>ROUNDUP((T5072+U5072+2*'Read Me'!$B$13)*(1+'Read Me'!$B$12),-1)</f>
        <v/>
      </c>
      <c r="W5072" s="16">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5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6" t="n">
        <v>0</v>
      </c>
      <c r="U5073" s="16" t="n">
        <v>161</v>
      </c>
      <c r="V5073" s="16">
        <f>ROUNDUP((T5073+U5073+2*'Read Me'!$B$13)*(1+'Read Me'!$B$12),-1)</f>
        <v/>
      </c>
      <c r="W5073" s="16">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6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480 V welding receptacle 1</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LV|3/C+G|2</t>
        </is>
      </c>
      <c r="L5075" s="12" t="inlineStr">
        <is>
          <t>3/C+G</t>
        </is>
      </c>
      <c r="M5075" s="12" t="inlineStr">
        <is>
          <t>2</t>
        </is>
      </c>
      <c r="N5075" s="12" t="n">
        <v>1</v>
      </c>
      <c r="O5075" s="12" t="n">
        <v>1</v>
      </c>
      <c r="P5075" s="12" t="n">
        <v>480</v>
      </c>
      <c r="Q5075" s="12" t="n">
        <v>60</v>
      </c>
      <c r="R5075" s="12" t="n">
        <v>76</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0.9 %</t>
        </is>
      </c>
      <c r="AA5075" s="12">
        <f>N5075*O5075</f>
        <v/>
      </c>
    </row>
    <row r="5076">
      <c r="A5076" s="12" t="inlineStr">
        <is>
          <t>I-P-0174</t>
        </is>
      </c>
      <c r="B5076" s="12" t="inlineStr">
        <is>
          <t>I</t>
        </is>
      </c>
      <c r="C5076" s="12" t="inlineStr">
        <is>
          <t>Modular / portable power</t>
        </is>
      </c>
      <c r="D5076" s="12" t="inlineStr">
        <is>
          <t>480 V welding receptacle 2</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3</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4</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LV power feeder</t>
        </is>
      </c>
      <c r="E5079" s="12" t="inlineStr"/>
      <c r="F5079" s="12" t="inlineStr">
        <is>
          <t>PCM: power control module</t>
        </is>
      </c>
      <c r="G5079" s="12" t="inlineStr"/>
      <c r="H5079" s="12" t="inlineStr">
        <is>
          <t>Reagent storage</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21.2</v>
      </c>
      <c r="S5079" s="12" t="inlineStr">
        <is>
          <t>Tray</t>
        </is>
      </c>
      <c r="T5079" s="16" t="n">
        <v>32</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I-P-0178</t>
        </is>
      </c>
      <c r="B5080" s="12" t="inlineStr">
        <is>
          <t>I</t>
        </is>
      </c>
      <c r="C5080" s="12" t="inlineStr">
        <is>
          <t>Modular / portable power</t>
        </is>
      </c>
      <c r="D5080" s="12" t="inlineStr">
        <is>
          <t>Motor 1 of 2, 30 kW</t>
        </is>
      </c>
      <c r="E5080" s="12" t="inlineStr"/>
      <c r="F5080" s="12" t="inlineStr">
        <is>
          <t>PCM: power control module</t>
        </is>
      </c>
      <c r="G5080" s="12" t="inlineStr"/>
      <c r="H5080" s="12" t="inlineStr">
        <is>
          <t>SC-1 SCR / CO catalyst</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30</v>
      </c>
      <c r="R5080" s="12" t="n">
        <v>42.5</v>
      </c>
      <c r="S5080" s="12" t="inlineStr">
        <is>
          <t>Duct bank</t>
        </is>
      </c>
      <c r="T5080" s="16" t="n">
        <v>40</v>
      </c>
      <c r="U5080" s="16" t="n">
        <v>142</v>
      </c>
      <c r="V5080" s="16">
        <f>ROUNDUP((T5080+U5080+2*'Read Me'!$B$13)*(1+'Read Me'!$B$12),-1)</f>
        <v/>
      </c>
      <c r="W5080" s="16">
        <f>V5080*N5080*O5080</f>
        <v/>
      </c>
      <c r="X5080" s="12">
        <f>IF(LEFT(I5080,2)="MV",2*N5080*IF(L5080="1/C",O5080,1),0)</f>
        <v/>
      </c>
      <c r="Y5080" s="12">
        <f>IF(OR(LEFT(K5080,4)="LVAX",LEFT(K5080,6)="MV15AX",LEFT(K5080,4)="CTAX",LEFT(K5080,2)="W|"),2*N5080*O5080,0)</f>
        <v/>
      </c>
      <c r="Z5080" s="12" t="inlineStr">
        <is>
          <t>VD 1.5 %</t>
        </is>
      </c>
      <c r="AA5080" s="12">
        <f>N5080*O5080</f>
        <v/>
      </c>
    </row>
    <row r="5081">
      <c r="A5081" s="12" t="inlineStr">
        <is>
          <t>I-P-0179</t>
        </is>
      </c>
      <c r="B5081" s="12" t="inlineStr">
        <is>
          <t>I</t>
        </is>
      </c>
      <c r="C5081" s="12" t="inlineStr">
        <is>
          <t>Modular / portable power</t>
        </is>
      </c>
      <c r="D5081" s="12" t="inlineStr">
        <is>
          <t>Motor 2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6" t="n">
        <v>40</v>
      </c>
      <c r="U5081" s="16" t="n">
        <v>142</v>
      </c>
      <c r="V5081" s="16">
        <f>ROUNDUP((T5081+U5081+2*'Read Me'!$B$13)*(1+'Read Me'!$B$12),-1)</f>
        <v/>
      </c>
      <c r="W5081" s="16">
        <f>V5081*N5081*O5081</f>
        <v/>
      </c>
      <c r="X5081" s="12">
        <f>IF(LEFT(I5081,2)="MV",2*N5081*IF(L5081="1/C",O5081,1),0)</f>
        <v/>
      </c>
      <c r="Y5081" s="12">
        <f>IF(OR(LEFT(K5081,4)="LVAX",LEFT(K5081,6)="MV15AX",LEFT(K5081,4)="CTAX",LEFT(K5081,2)="W|"),2*N5081*O5081,0)</f>
        <v/>
      </c>
      <c r="Z5081" s="12" t="inlineStr">
        <is>
          <t>VD 1.5 %</t>
        </is>
      </c>
      <c r="AA5081" s="12">
        <f>N5081*O5081</f>
        <v/>
      </c>
    </row>
    <row r="5082">
      <c r="A5082" s="12" t="inlineStr">
        <is>
          <t>I-P-0180</t>
        </is>
      </c>
      <c r="B5082" s="12" t="inlineStr">
        <is>
          <t>I</t>
        </is>
      </c>
      <c r="C5082" s="12" t="inlineStr">
        <is>
          <t>Modular / portable power</t>
        </is>
      </c>
      <c r="D5082" s="12" t="inlineStr">
        <is>
          <t>Motor 1 of 4, 15 kW</t>
        </is>
      </c>
      <c r="E5082" s="12" t="inlineStr"/>
      <c r="F5082" s="12" t="inlineStr">
        <is>
          <t>PCM: power control module</t>
        </is>
      </c>
      <c r="G5082" s="12" t="inlineStr"/>
      <c r="H5082" s="12" t="inlineStr">
        <is>
          <t>SC-1 lube-oil fin-fan cooler</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21.2</v>
      </c>
      <c r="S5082" s="12" t="inlineStr">
        <is>
          <t>Duct bank</t>
        </is>
      </c>
      <c r="T5082" s="16" t="n">
        <v>82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1.7 %</t>
        </is>
      </c>
      <c r="AA5082" s="12">
        <f>N5082*O5082</f>
        <v/>
      </c>
    </row>
    <row r="5083">
      <c r="A5083" s="12" t="inlineStr">
        <is>
          <t>I-P-0181</t>
        </is>
      </c>
      <c r="B5083" s="12" t="inlineStr">
        <is>
          <t>I</t>
        </is>
      </c>
      <c r="C5083" s="12" t="inlineStr">
        <is>
          <t>Modular / portable power</t>
        </is>
      </c>
      <c r="D5083" s="12" t="inlineStr">
        <is>
          <t>Motor 2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6" t="n">
        <v>82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1.7 %</t>
        </is>
      </c>
      <c r="AA5083" s="12">
        <f>N5083*O5083</f>
        <v/>
      </c>
    </row>
    <row r="5084">
      <c r="A5084" s="12" t="inlineStr">
        <is>
          <t>I-P-0182</t>
        </is>
      </c>
      <c r="B5084" s="12" t="inlineStr">
        <is>
          <t>I</t>
        </is>
      </c>
      <c r="C5084" s="12" t="inlineStr">
        <is>
          <t>Modular / portable power</t>
        </is>
      </c>
      <c r="D5084" s="12" t="inlineStr">
        <is>
          <t>Motor 3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6" t="n">
        <v>82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1.7 %</t>
        </is>
      </c>
      <c r="AA5084" s="12">
        <f>N5084*O5084</f>
        <v/>
      </c>
    </row>
    <row r="5085">
      <c r="A5085" s="12" t="inlineStr">
        <is>
          <t>I-P-0183</t>
        </is>
      </c>
      <c r="B5085" s="12" t="inlineStr">
        <is>
          <t>I</t>
        </is>
      </c>
      <c r="C5085" s="12" t="inlineStr">
        <is>
          <t>Modular / portable power</t>
        </is>
      </c>
      <c r="D5085" s="12" t="inlineStr">
        <is>
          <t>Motor 4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6" t="n">
        <v>82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1.7 %</t>
        </is>
      </c>
      <c r="AA5085" s="12">
        <f>N5085*O5085</f>
        <v/>
      </c>
    </row>
    <row r="5086">
      <c r="A5086" s="12" t="inlineStr">
        <is>
          <t>I-P-0184</t>
        </is>
      </c>
      <c r="B5086" s="12" t="inlineStr">
        <is>
          <t>I</t>
        </is>
      </c>
      <c r="C5086" s="12" t="inlineStr">
        <is>
          <t>Modular / portable power</t>
        </is>
      </c>
      <c r="D5086" s="12" t="inlineStr">
        <is>
          <t>Area / platform lighting circuit 1 (4 fixtures)</t>
        </is>
      </c>
      <c r="E5086" s="12" t="inlineStr"/>
      <c r="F5086" s="12" t="inlineStr">
        <is>
          <t>PCM: power control module</t>
        </is>
      </c>
      <c r="G5086" s="12" t="inlineStr"/>
      <c r="H5086" s="12" t="inlineStr">
        <is>
          <t>SC-1 stack (80 ft)</t>
        </is>
      </c>
      <c r="I5086" s="12" t="inlineStr">
        <is>
          <t>LV 600 V</t>
        </is>
      </c>
      <c r="J5086" s="12" t="inlineStr">
        <is>
          <t>Type TC-ER 600 V 3/C Cu XHHW-2 + ground, PVC jacket</t>
        </is>
      </c>
      <c r="K5086" s="12" t="inlineStr">
        <is>
          <t>LV|3/C+G|2</t>
        </is>
      </c>
      <c r="L5086" s="12" t="inlineStr">
        <is>
          <t>3/C+G</t>
        </is>
      </c>
      <c r="M5086" s="12" t="inlineStr">
        <is>
          <t>2</t>
        </is>
      </c>
      <c r="N5086" s="12" t="n">
        <v>1</v>
      </c>
      <c r="O5086" s="12" t="n">
        <v>1</v>
      </c>
      <c r="P5086" s="12" t="n">
        <v>480</v>
      </c>
      <c r="Q5086" s="12" t="n">
        <v>3</v>
      </c>
      <c r="R5086" s="12" t="n">
        <v>5</v>
      </c>
      <c r="S5086" s="12" t="inlineStr">
        <is>
          <t>HV duct bank</t>
        </is>
      </c>
      <c r="T5086" s="16" t="n">
        <v>4778</v>
      </c>
      <c r="U5086" s="16" t="n">
        <v>144</v>
      </c>
      <c r="V5086" s="16">
        <f>ROUNDUP((T5086+U5086+2*'Read Me'!$B$13)*(1+'Read Me'!$B$12),-1)</f>
        <v/>
      </c>
      <c r="W5086" s="16">
        <f>V5086*N5086*O5086</f>
        <v/>
      </c>
      <c r="X5086" s="12">
        <f>IF(LEFT(I5086,2)="MV",2*N5086*IF(L5086="1/C",O5086,1),0)</f>
        <v/>
      </c>
      <c r="Y5086" s="12">
        <f>IF(OR(LEFT(K5086,4)="LVAX",LEFT(K5086,6)="MV15AX",LEFT(K5086,4)="CTAX",LEFT(K5086,2)="W|"),2*N5086*O5086,0)</f>
        <v/>
      </c>
      <c r="Z5086" s="12" t="inlineStr">
        <is>
          <t>fixture-to-fixture run included</t>
        </is>
      </c>
      <c r="AA5086" s="12">
        <f>N5086*O5086</f>
        <v/>
      </c>
    </row>
    <row r="5087">
      <c r="A5087" s="12" t="inlineStr">
        <is>
          <t>I-P-0185</t>
        </is>
      </c>
      <c r="B5087" s="12" t="inlineStr">
        <is>
          <t>I</t>
        </is>
      </c>
      <c r="C5087" s="12" t="inlineStr">
        <is>
          <t>Modular / portable power</t>
        </is>
      </c>
      <c r="D5087" s="12" t="inlineStr">
        <is>
          <t>Motor 1 of 10, 30 kW</t>
        </is>
      </c>
      <c r="E5087" s="12" t="inlineStr"/>
      <c r="F5087" s="12" t="inlineStr">
        <is>
          <t>PCM: power control module</t>
        </is>
      </c>
      <c r="G5087" s="12" t="inlineStr">
        <is>
          <t>SC-1</t>
        </is>
      </c>
      <c r="H5087" s="12" t="inlineStr">
        <is>
          <t>SC-1: aeroderivative simple-cycle unit (LM6000 class)</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30</v>
      </c>
      <c r="R5087" s="12" t="n">
        <v>42.5</v>
      </c>
      <c r="S5087" s="12" t="inlineStr">
        <is>
          <t>Duct bank</t>
        </is>
      </c>
      <c r="T5087" s="16" t="n">
        <v>40</v>
      </c>
      <c r="U5087" s="16" t="n">
        <v>52</v>
      </c>
      <c r="V5087" s="16">
        <f>ROUNDUP((T5087+U5087+2*'Read Me'!$B$13)*(1+'Read Me'!$B$12),-1)</f>
        <v/>
      </c>
      <c r="W5087" s="16">
        <f>V5087*N5087*O5087</f>
        <v/>
      </c>
      <c r="X5087" s="12">
        <f>IF(LEFT(I5087,2)="MV",2*N5087*IF(L5087="1/C",O5087,1),0)</f>
        <v/>
      </c>
      <c r="Y5087" s="12">
        <f>IF(OR(LEFT(K5087,4)="LVAX",LEFT(K5087,6)="MV15AX",LEFT(K5087,4)="CTAX",LEFT(K5087,2)="W|"),2*N5087*O5087,0)</f>
        <v/>
      </c>
      <c r="Z5087" s="12" t="inlineStr">
        <is>
          <t>VD 0.8 %</t>
        </is>
      </c>
      <c r="AA5087" s="12">
        <f>N5087*O5087</f>
        <v/>
      </c>
    </row>
    <row r="5088">
      <c r="A5088" s="12" t="inlineStr">
        <is>
          <t>I-P-0186</t>
        </is>
      </c>
      <c r="B5088" s="12" t="inlineStr">
        <is>
          <t>I</t>
        </is>
      </c>
      <c r="C5088" s="12" t="inlineStr">
        <is>
          <t>Modular / portable power</t>
        </is>
      </c>
      <c r="D5088" s="12" t="inlineStr">
        <is>
          <t>Motor 2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6" t="n">
        <v>40</v>
      </c>
      <c r="U5088" s="16" t="n">
        <v>52</v>
      </c>
      <c r="V5088" s="16">
        <f>ROUNDUP((T5088+U5088+2*'Read Me'!$B$13)*(1+'Read Me'!$B$12),-1)</f>
        <v/>
      </c>
      <c r="W5088" s="16">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3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6" t="n">
        <v>40</v>
      </c>
      <c r="U5089" s="16" t="n">
        <v>52</v>
      </c>
      <c r="V5089" s="16">
        <f>ROUNDUP((T5089+U5089+2*'Read Me'!$B$13)*(1+'Read Me'!$B$12),-1)</f>
        <v/>
      </c>
      <c r="W5089" s="16">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4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6" t="n">
        <v>40</v>
      </c>
      <c r="U5090" s="16" t="n">
        <v>52</v>
      </c>
      <c r="V5090" s="16">
        <f>ROUNDUP((T5090+U5090+2*'Read Me'!$B$13)*(1+'Read Me'!$B$12),-1)</f>
        <v/>
      </c>
      <c r="W5090" s="16">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5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6" t="n">
        <v>40</v>
      </c>
      <c r="U5091" s="16" t="n">
        <v>52</v>
      </c>
      <c r="V5091" s="16">
        <f>ROUNDUP((T5091+U5091+2*'Read Me'!$B$13)*(1+'Read Me'!$B$12),-1)</f>
        <v/>
      </c>
      <c r="W5091" s="16">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6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7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8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9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10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 of 2, 30 kW</t>
        </is>
      </c>
      <c r="E5097" s="12" t="inlineStr"/>
      <c r="F5097" s="12" t="inlineStr">
        <is>
          <t>MOD-LV 480 V board + 480 V : 13.8 kV step-up</t>
        </is>
      </c>
      <c r="G5097" s="12" t="inlineStr"/>
      <c r="H5097" s="12" t="inlineStr">
        <is>
          <t>SC-2 SCR / CO catalyst</t>
        </is>
      </c>
      <c r="I5097" s="12" t="inlineStr">
        <is>
          <t>LV 600 V</t>
        </is>
      </c>
      <c r="J5097" s="12" t="inlineStr">
        <is>
          <t>Type TC-ER 600 V 3/C Cu XHHW-2 + ground, PVC jacket</t>
        </is>
      </c>
      <c r="K5097" s="12" t="inlineStr">
        <is>
          <t>LV|3/C+G|350</t>
        </is>
      </c>
      <c r="L5097" s="12" t="inlineStr">
        <is>
          <t>3/C+G</t>
        </is>
      </c>
      <c r="M5097" s="12" t="inlineStr">
        <is>
          <t>350 kcmil</t>
        </is>
      </c>
      <c r="N5097" s="12" t="n">
        <v>1</v>
      </c>
      <c r="O5097" s="12" t="n">
        <v>1</v>
      </c>
      <c r="P5097" s="12" t="n">
        <v>480</v>
      </c>
      <c r="Q5097" s="12" t="n">
        <v>30</v>
      </c>
      <c r="R5097" s="12" t="n">
        <v>42.5</v>
      </c>
      <c r="S5097" s="12" t="inlineStr">
        <is>
          <t>HV duct bank</t>
        </is>
      </c>
      <c r="T5097" s="16" t="n">
        <v>4341</v>
      </c>
      <c r="U5097" s="16" t="n">
        <v>60</v>
      </c>
      <c r="V5097" s="16">
        <f>ROUNDUP((T5097+U5097+2*'Read Me'!$B$13)*(1+'Read Me'!$B$12),-1)</f>
        <v/>
      </c>
      <c r="W5097" s="16">
        <f>V5097*N5097*O5097</f>
        <v/>
      </c>
      <c r="X5097" s="12">
        <f>IF(LEFT(I5097,2)="MV",2*N5097*IF(L5097="1/C",O5097,1),0)</f>
        <v/>
      </c>
      <c r="Y5097" s="12">
        <f>IF(OR(LEFT(K5097,4)="LVAX",LEFT(K5097,6)="MV15AX",LEFT(K5097,4)="CTAX",LEFT(K5097,2)="W|"),2*N5097*O5097,0)</f>
        <v/>
      </c>
      <c r="Z5097" s="12" t="inlineStr">
        <is>
          <t>VD 2.7 %</t>
        </is>
      </c>
      <c r="AA5097" s="12">
        <f>N5097*O5097</f>
        <v/>
      </c>
    </row>
    <row r="5098">
      <c r="A5098" s="12" t="inlineStr">
        <is>
          <t>I-P-0196</t>
        </is>
      </c>
      <c r="B5098" s="12" t="inlineStr">
        <is>
          <t>I</t>
        </is>
      </c>
      <c r="C5098" s="12" t="inlineStr">
        <is>
          <t>Modular / portable power</t>
        </is>
      </c>
      <c r="D5098" s="12" t="inlineStr">
        <is>
          <t>Motor 2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LV|3/C+G|350</t>
        </is>
      </c>
      <c r="L5098" s="12" t="inlineStr">
        <is>
          <t>3/C+G</t>
        </is>
      </c>
      <c r="M5098" s="12" t="inlineStr">
        <is>
          <t>350 kcmil</t>
        </is>
      </c>
      <c r="N5098" s="12" t="n">
        <v>1</v>
      </c>
      <c r="O5098" s="12" t="n">
        <v>1</v>
      </c>
      <c r="P5098" s="12" t="n">
        <v>480</v>
      </c>
      <c r="Q5098" s="12" t="n">
        <v>30</v>
      </c>
      <c r="R5098" s="12" t="n">
        <v>42.5</v>
      </c>
      <c r="S5098" s="12" t="inlineStr">
        <is>
          <t>HV duct bank</t>
        </is>
      </c>
      <c r="T5098" s="16" t="n">
        <v>4341</v>
      </c>
      <c r="U5098" s="16" t="n">
        <v>60</v>
      </c>
      <c r="V5098" s="16">
        <f>ROUNDUP((T5098+U5098+2*'Read Me'!$B$13)*(1+'Read Me'!$B$12),-1)</f>
        <v/>
      </c>
      <c r="W5098" s="16">
        <f>V5098*N5098*O5098</f>
        <v/>
      </c>
      <c r="X5098" s="12">
        <f>IF(LEFT(I5098,2)="MV",2*N5098*IF(L5098="1/C",O5098,1),0)</f>
        <v/>
      </c>
      <c r="Y5098" s="12">
        <f>IF(OR(LEFT(K5098,4)="LVAX",LEFT(K5098,6)="MV15AX",LEFT(K5098,4)="CTAX",LEFT(K5098,2)="W|"),2*N5098*O5098,0)</f>
        <v/>
      </c>
      <c r="Z5098" s="12" t="inlineStr">
        <is>
          <t>VD 2.7 %</t>
        </is>
      </c>
      <c r="AA5098" s="12">
        <f>N5098*O5098</f>
        <v/>
      </c>
    </row>
    <row r="5099">
      <c r="A5099" s="12" t="inlineStr">
        <is>
          <t>I-P-0197</t>
        </is>
      </c>
      <c r="B5099" s="12" t="inlineStr">
        <is>
          <t>I</t>
        </is>
      </c>
      <c r="C5099" s="12" t="inlineStr">
        <is>
          <t>Modular / portable power</t>
        </is>
      </c>
      <c r="D5099" s="12" t="inlineStr">
        <is>
          <t>Motor 1 of 4, 15 kW</t>
        </is>
      </c>
      <c r="E5099" s="12" t="inlineStr"/>
      <c r="F5099" s="12" t="inlineStr">
        <is>
          <t>MOD-LV 480 V board + 480 V : 13.8 kV step-up</t>
        </is>
      </c>
      <c r="G5099" s="12" t="inlineStr"/>
      <c r="H5099" s="12" t="inlineStr">
        <is>
          <t>SC-2 lube-oil fin-fan cooler</t>
        </is>
      </c>
      <c r="I5099" s="12" t="inlineStr">
        <is>
          <t>LV 600 V</t>
        </is>
      </c>
      <c r="J5099" s="12" t="inlineStr">
        <is>
          <t>Type TC-ER 600 V 3/C Cu XHHW-2 + ground, PVC jacket</t>
        </is>
      </c>
      <c r="K5099" s="12" t="inlineStr">
        <is>
          <t>LV|3/C+G|3/0</t>
        </is>
      </c>
      <c r="L5099" s="12" t="inlineStr">
        <is>
          <t>3/C+G</t>
        </is>
      </c>
      <c r="M5099" s="12" t="inlineStr">
        <is>
          <t>3/0</t>
        </is>
      </c>
      <c r="N5099" s="12" t="n">
        <v>1</v>
      </c>
      <c r="O5099" s="12" t="n">
        <v>1</v>
      </c>
      <c r="P5099" s="12" t="n">
        <v>480</v>
      </c>
      <c r="Q5099" s="12" t="n">
        <v>15</v>
      </c>
      <c r="R5099" s="12" t="n">
        <v>21.2</v>
      </c>
      <c r="S5099" s="12" t="inlineStr">
        <is>
          <t>HV duct bank</t>
        </is>
      </c>
      <c r="T5099" s="16" t="n">
        <v>4329</v>
      </c>
      <c r="U5099" s="16" t="n">
        <v>95</v>
      </c>
      <c r="V5099" s="16">
        <f>ROUNDUP((T5099+U5099+2*'Read Me'!$B$13)*(1+'Read Me'!$B$12),-1)</f>
        <v/>
      </c>
      <c r="W5099" s="16">
        <f>V5099*N5099*O5099</f>
        <v/>
      </c>
      <c r="X5099" s="12">
        <f>IF(LEFT(I5099,2)="MV",2*N5099*IF(L5099="1/C",O5099,1),0)</f>
        <v/>
      </c>
      <c r="Y5099" s="12">
        <f>IF(OR(LEFT(K5099,4)="LVAX",LEFT(K5099,6)="MV15AX",LEFT(K5099,4)="CTAX",LEFT(K5099,2)="W|"),2*N5099*O5099,0)</f>
        <v/>
      </c>
      <c r="Z5099" s="12" t="inlineStr">
        <is>
          <t>VD 2.9 %</t>
        </is>
      </c>
      <c r="AA5099" s="12">
        <f>N5099*O5099</f>
        <v/>
      </c>
    </row>
    <row r="5100">
      <c r="A5100" s="12" t="inlineStr">
        <is>
          <t>I-P-0198</t>
        </is>
      </c>
      <c r="B5100" s="12" t="inlineStr">
        <is>
          <t>I</t>
        </is>
      </c>
      <c r="C5100" s="12" t="inlineStr">
        <is>
          <t>Modular / portable power</t>
        </is>
      </c>
      <c r="D5100" s="12" t="inlineStr">
        <is>
          <t>Motor 2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LV|3/C+G|3/0</t>
        </is>
      </c>
      <c r="L5100" s="12" t="inlineStr">
        <is>
          <t>3/C+G</t>
        </is>
      </c>
      <c r="M5100" s="12" t="inlineStr">
        <is>
          <t>3/0</t>
        </is>
      </c>
      <c r="N5100" s="12" t="n">
        <v>1</v>
      </c>
      <c r="O5100" s="12" t="n">
        <v>1</v>
      </c>
      <c r="P5100" s="12" t="n">
        <v>480</v>
      </c>
      <c r="Q5100" s="12" t="n">
        <v>15</v>
      </c>
      <c r="R5100" s="12" t="n">
        <v>21.2</v>
      </c>
      <c r="S5100" s="12" t="inlineStr">
        <is>
          <t>HV duct bank</t>
        </is>
      </c>
      <c r="T5100" s="16" t="n">
        <v>4329</v>
      </c>
      <c r="U5100" s="16" t="n">
        <v>95</v>
      </c>
      <c r="V5100" s="16">
        <f>ROUNDUP((T5100+U5100+2*'Read Me'!$B$13)*(1+'Read Me'!$B$12),-1)</f>
        <v/>
      </c>
      <c r="W5100" s="16">
        <f>V5100*N5100*O5100</f>
        <v/>
      </c>
      <c r="X5100" s="12">
        <f>IF(LEFT(I5100,2)="MV",2*N5100*IF(L5100="1/C",O5100,1),0)</f>
        <v/>
      </c>
      <c r="Y5100" s="12">
        <f>IF(OR(LEFT(K5100,4)="LVAX",LEFT(K5100,6)="MV15AX",LEFT(K5100,4)="CTAX",LEFT(K5100,2)="W|"),2*N5100*O5100,0)</f>
        <v/>
      </c>
      <c r="Z5100" s="12" t="inlineStr">
        <is>
          <t>VD 2.9 %</t>
        </is>
      </c>
      <c r="AA5100" s="12">
        <f>N5100*O5100</f>
        <v/>
      </c>
    </row>
    <row r="5101">
      <c r="A5101" s="12" t="inlineStr">
        <is>
          <t>I-P-0199</t>
        </is>
      </c>
      <c r="B5101" s="12" t="inlineStr">
        <is>
          <t>I</t>
        </is>
      </c>
      <c r="C5101" s="12" t="inlineStr">
        <is>
          <t>Modular / portable power</t>
        </is>
      </c>
      <c r="D5101" s="12" t="inlineStr">
        <is>
          <t>Motor 3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LV|3/C+G|3/0</t>
        </is>
      </c>
      <c r="L5101" s="12" t="inlineStr">
        <is>
          <t>3/C+G</t>
        </is>
      </c>
      <c r="M5101" s="12" t="inlineStr">
        <is>
          <t>3/0</t>
        </is>
      </c>
      <c r="N5101" s="12" t="n">
        <v>1</v>
      </c>
      <c r="O5101" s="12" t="n">
        <v>1</v>
      </c>
      <c r="P5101" s="12" t="n">
        <v>480</v>
      </c>
      <c r="Q5101" s="12" t="n">
        <v>15</v>
      </c>
      <c r="R5101" s="12" t="n">
        <v>21.2</v>
      </c>
      <c r="S5101" s="12" t="inlineStr">
        <is>
          <t>HV duct bank</t>
        </is>
      </c>
      <c r="T5101" s="16" t="n">
        <v>4329</v>
      </c>
      <c r="U5101" s="16" t="n">
        <v>95</v>
      </c>
      <c r="V5101" s="16">
        <f>ROUNDUP((T5101+U5101+2*'Read Me'!$B$13)*(1+'Read Me'!$B$12),-1)</f>
        <v/>
      </c>
      <c r="W5101" s="16">
        <f>V5101*N5101*O5101</f>
        <v/>
      </c>
      <c r="X5101" s="12">
        <f>IF(LEFT(I5101,2)="MV",2*N5101*IF(L5101="1/C",O5101,1),0)</f>
        <v/>
      </c>
      <c r="Y5101" s="12">
        <f>IF(OR(LEFT(K5101,4)="LVAX",LEFT(K5101,6)="MV15AX",LEFT(K5101,4)="CTAX",LEFT(K5101,2)="W|"),2*N5101*O5101,0)</f>
        <v/>
      </c>
      <c r="Z5101" s="12" t="inlineStr">
        <is>
          <t>VD 2.9 %</t>
        </is>
      </c>
      <c r="AA5101" s="12">
        <f>N5101*O5101</f>
        <v/>
      </c>
    </row>
    <row r="5102">
      <c r="A5102" s="12" t="inlineStr">
        <is>
          <t>I-P-0200</t>
        </is>
      </c>
      <c r="B5102" s="12" t="inlineStr">
        <is>
          <t>I</t>
        </is>
      </c>
      <c r="C5102" s="12" t="inlineStr">
        <is>
          <t>Modular / portable power</t>
        </is>
      </c>
      <c r="D5102" s="12" t="inlineStr">
        <is>
          <t>Motor 4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LV|3/C+G|3/0</t>
        </is>
      </c>
      <c r="L5102" s="12" t="inlineStr">
        <is>
          <t>3/C+G</t>
        </is>
      </c>
      <c r="M5102" s="12" t="inlineStr">
        <is>
          <t>3/0</t>
        </is>
      </c>
      <c r="N5102" s="12" t="n">
        <v>1</v>
      </c>
      <c r="O5102" s="12" t="n">
        <v>1</v>
      </c>
      <c r="P5102" s="12" t="n">
        <v>480</v>
      </c>
      <c r="Q5102" s="12" t="n">
        <v>15</v>
      </c>
      <c r="R5102" s="12" t="n">
        <v>21.2</v>
      </c>
      <c r="S5102" s="12" t="inlineStr">
        <is>
          <t>HV duct bank</t>
        </is>
      </c>
      <c r="T5102" s="16" t="n">
        <v>4329</v>
      </c>
      <c r="U5102" s="16" t="n">
        <v>95</v>
      </c>
      <c r="V5102" s="16">
        <f>ROUNDUP((T5102+U5102+2*'Read Me'!$B$13)*(1+'Read Me'!$B$12),-1)</f>
        <v/>
      </c>
      <c r="W5102" s="16">
        <f>V5102*N5102*O5102</f>
        <v/>
      </c>
      <c r="X5102" s="12">
        <f>IF(LEFT(I5102,2)="MV",2*N5102*IF(L5102="1/C",O5102,1),0)</f>
        <v/>
      </c>
      <c r="Y5102" s="12">
        <f>IF(OR(LEFT(K5102,4)="LVAX",LEFT(K5102,6)="MV15AX",LEFT(K5102,4)="CTAX",LEFT(K5102,2)="W|"),2*N5102*O5102,0)</f>
        <v/>
      </c>
      <c r="Z5102" s="12" t="inlineStr">
        <is>
          <t>VD 2.9 %</t>
        </is>
      </c>
      <c r="AA5102" s="12">
        <f>N5102*O5102</f>
        <v/>
      </c>
    </row>
    <row r="5103">
      <c r="A5103" s="12" t="inlineStr">
        <is>
          <t>I-P-0201</t>
        </is>
      </c>
      <c r="B5103" s="12" t="inlineStr">
        <is>
          <t>I</t>
        </is>
      </c>
      <c r="C5103" s="12" t="inlineStr">
        <is>
          <t>Modular / portable power</t>
        </is>
      </c>
      <c r="D5103" s="12" t="inlineStr">
        <is>
          <t>Area / platform lighting circuit 1 (4 fixtures)</t>
        </is>
      </c>
      <c r="E5103" s="12" t="inlineStr"/>
      <c r="F5103" s="12" t="inlineStr">
        <is>
          <t>MOD-LV 480 V board + 480 V : 13.8 kV step-up</t>
        </is>
      </c>
      <c r="G5103" s="12" t="inlineStr"/>
      <c r="H5103" s="12" t="inlineStr">
        <is>
          <t>SC-2 stack (80 ft)</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3</v>
      </c>
      <c r="R5103" s="12" t="n">
        <v>5</v>
      </c>
      <c r="S5103" s="12" t="inlineStr">
        <is>
          <t>HV duct bank</t>
        </is>
      </c>
      <c r="T5103" s="16" t="n">
        <v>4641</v>
      </c>
      <c r="U5103" s="16" t="n">
        <v>80</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I-P-0202</t>
        </is>
      </c>
      <c r="B5104" s="12" t="inlineStr">
        <is>
          <t>I</t>
        </is>
      </c>
      <c r="C5104" s="12" t="inlineStr">
        <is>
          <t>Modular / portable power</t>
        </is>
      </c>
      <c r="D5104" s="12" t="inlineStr">
        <is>
          <t>Motor 1 of 10, 30 kW</t>
        </is>
      </c>
      <c r="E5104" s="12" t="inlineStr"/>
      <c r="F5104" s="12" t="inlineStr">
        <is>
          <t>MOD-LV 480 V board + 480 V : 13.8 kV step-up</t>
        </is>
      </c>
      <c r="G5104" s="12" t="inlineStr">
        <is>
          <t>SC-2</t>
        </is>
      </c>
      <c r="H5104" s="12" t="inlineStr">
        <is>
          <t>SC-2: aeroderivative simple-cycle unit (LM6000 class)</t>
        </is>
      </c>
      <c r="I5104" s="12" t="inlineStr">
        <is>
          <t>LV 600 V</t>
        </is>
      </c>
      <c r="J5104" s="12" t="inlineStr">
        <is>
          <t>Type TC-ER 600 V 3/C Cu XHHW-2 + ground, PVC jacket</t>
        </is>
      </c>
      <c r="K5104" s="12" t="inlineStr">
        <is>
          <t>LV|3/C+G|350</t>
        </is>
      </c>
      <c r="L5104" s="12" t="inlineStr">
        <is>
          <t>3/C+G</t>
        </is>
      </c>
      <c r="M5104" s="12" t="inlineStr">
        <is>
          <t>350 kcmil</t>
        </is>
      </c>
      <c r="N5104" s="12" t="n">
        <v>1</v>
      </c>
      <c r="O5104" s="12" t="n">
        <v>1</v>
      </c>
      <c r="P5104" s="12" t="n">
        <v>480</v>
      </c>
      <c r="Q5104" s="12" t="n">
        <v>30</v>
      </c>
      <c r="R5104" s="12" t="n">
        <v>42.5</v>
      </c>
      <c r="S5104" s="12" t="inlineStr">
        <is>
          <t>HV duct bank</t>
        </is>
      </c>
      <c r="T5104" s="16" t="n">
        <v>4441</v>
      </c>
      <c r="U5104" s="16" t="n">
        <v>40</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I-P-0203</t>
        </is>
      </c>
      <c r="B5105" s="12" t="inlineStr">
        <is>
          <t>I</t>
        </is>
      </c>
      <c r="C5105" s="12" t="inlineStr">
        <is>
          <t>Modular / portable power</t>
        </is>
      </c>
      <c r="D5105" s="12" t="inlineStr">
        <is>
          <t>Motor 2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LV|3/C+G|350</t>
        </is>
      </c>
      <c r="L5105" s="12" t="inlineStr">
        <is>
          <t>3/C+G</t>
        </is>
      </c>
      <c r="M5105" s="12" t="inlineStr">
        <is>
          <t>350 kcmil</t>
        </is>
      </c>
      <c r="N5105" s="12" t="n">
        <v>1</v>
      </c>
      <c r="O5105" s="12" t="n">
        <v>1</v>
      </c>
      <c r="P5105" s="12" t="n">
        <v>480</v>
      </c>
      <c r="Q5105" s="12" t="n">
        <v>30</v>
      </c>
      <c r="R5105" s="12" t="n">
        <v>42.5</v>
      </c>
      <c r="S5105" s="12" t="inlineStr">
        <is>
          <t>HV duct bank</t>
        </is>
      </c>
      <c r="T5105" s="16" t="n">
        <v>4441</v>
      </c>
      <c r="U5105" s="16" t="n">
        <v>40</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I-P-0204</t>
        </is>
      </c>
      <c r="B5106" s="12" t="inlineStr">
        <is>
          <t>I</t>
        </is>
      </c>
      <c r="C5106" s="12" t="inlineStr">
        <is>
          <t>Modular / portable power</t>
        </is>
      </c>
      <c r="D5106" s="12" t="inlineStr">
        <is>
          <t>Motor 3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LV|3/C+G|350</t>
        </is>
      </c>
      <c r="L5106" s="12" t="inlineStr">
        <is>
          <t>3/C+G</t>
        </is>
      </c>
      <c r="M5106" s="12" t="inlineStr">
        <is>
          <t>350 kcmil</t>
        </is>
      </c>
      <c r="N5106" s="12" t="n">
        <v>1</v>
      </c>
      <c r="O5106" s="12" t="n">
        <v>1</v>
      </c>
      <c r="P5106" s="12" t="n">
        <v>480</v>
      </c>
      <c r="Q5106" s="12" t="n">
        <v>30</v>
      </c>
      <c r="R5106" s="12" t="n">
        <v>42.5</v>
      </c>
      <c r="S5106" s="12" t="inlineStr">
        <is>
          <t>HV duct bank</t>
        </is>
      </c>
      <c r="T5106" s="16" t="n">
        <v>4441</v>
      </c>
      <c r="U5106" s="16" t="n">
        <v>40</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I-P-0205</t>
        </is>
      </c>
      <c r="B5107" s="12" t="inlineStr">
        <is>
          <t>I</t>
        </is>
      </c>
      <c r="C5107" s="12" t="inlineStr">
        <is>
          <t>Modular / portable power</t>
        </is>
      </c>
      <c r="D5107" s="12" t="inlineStr">
        <is>
          <t>Motor 4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LV|3/C+G|350</t>
        </is>
      </c>
      <c r="L5107" s="12" t="inlineStr">
        <is>
          <t>3/C+G</t>
        </is>
      </c>
      <c r="M5107" s="12" t="inlineStr">
        <is>
          <t>350 kcmil</t>
        </is>
      </c>
      <c r="N5107" s="12" t="n">
        <v>1</v>
      </c>
      <c r="O5107" s="12" t="n">
        <v>1</v>
      </c>
      <c r="P5107" s="12" t="n">
        <v>480</v>
      </c>
      <c r="Q5107" s="12" t="n">
        <v>30</v>
      </c>
      <c r="R5107" s="12" t="n">
        <v>42.5</v>
      </c>
      <c r="S5107" s="12" t="inlineStr">
        <is>
          <t>HV duct bank</t>
        </is>
      </c>
      <c r="T5107" s="16" t="n">
        <v>4441</v>
      </c>
      <c r="U5107" s="16" t="n">
        <v>40</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I-P-0206</t>
        </is>
      </c>
      <c r="B5108" s="12" t="inlineStr">
        <is>
          <t>I</t>
        </is>
      </c>
      <c r="C5108" s="12" t="inlineStr">
        <is>
          <t>Modular / portable power</t>
        </is>
      </c>
      <c r="D5108" s="12" t="inlineStr">
        <is>
          <t>Motor 5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LV|3/C+G|350</t>
        </is>
      </c>
      <c r="L5108" s="12" t="inlineStr">
        <is>
          <t>3/C+G</t>
        </is>
      </c>
      <c r="M5108" s="12" t="inlineStr">
        <is>
          <t>350 kcmil</t>
        </is>
      </c>
      <c r="N5108" s="12" t="n">
        <v>1</v>
      </c>
      <c r="O5108" s="12" t="n">
        <v>1</v>
      </c>
      <c r="P5108" s="12" t="n">
        <v>480</v>
      </c>
      <c r="Q5108" s="12" t="n">
        <v>30</v>
      </c>
      <c r="R5108" s="12" t="n">
        <v>42.5</v>
      </c>
      <c r="S5108" s="12" t="inlineStr">
        <is>
          <t>HV duct bank</t>
        </is>
      </c>
      <c r="T5108" s="16" t="n">
        <v>4441</v>
      </c>
      <c r="U5108" s="16" t="n">
        <v>40</v>
      </c>
      <c r="V5108" s="16">
        <f>ROUNDUP((T5108+U5108+2*'Read Me'!$B$13)*(1+'Read Me'!$B$12),-1)</f>
        <v/>
      </c>
      <c r="W5108" s="16">
        <f>V5108*N5108*O5108</f>
        <v/>
      </c>
      <c r="X5108" s="12">
        <f>IF(LEFT(I5108,2)="MV",2*N5108*IF(L5108="1/C",O5108,1),0)</f>
        <v/>
      </c>
      <c r="Y5108" s="12">
        <f>IF(OR(LEFT(K5108,4)="LVAX",LEFT(K5108,6)="MV15AX",LEFT(K5108,4)="CTAX",LEFT(K5108,2)="W|"),2*N5108*O5108,0)</f>
        <v/>
      </c>
      <c r="Z5108" s="12" t="inlineStr">
        <is>
          <t>VD 2.8 %</t>
        </is>
      </c>
      <c r="AA5108" s="12">
        <f>N5108*O5108</f>
        <v/>
      </c>
    </row>
    <row r="5109">
      <c r="A5109" s="12" t="inlineStr">
        <is>
          <t>I-P-0207</t>
        </is>
      </c>
      <c r="B5109" s="12" t="inlineStr">
        <is>
          <t>I</t>
        </is>
      </c>
      <c r="C5109" s="12" t="inlineStr">
        <is>
          <t>Modular / portable power</t>
        </is>
      </c>
      <c r="D5109" s="12" t="inlineStr">
        <is>
          <t>Motor 6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4441</v>
      </c>
      <c r="U5109" s="16" t="n">
        <v>40</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I-P-0208</t>
        </is>
      </c>
      <c r="B5110" s="12" t="inlineStr">
        <is>
          <t>I</t>
        </is>
      </c>
      <c r="C5110" s="12" t="inlineStr">
        <is>
          <t>Modular / portable power</t>
        </is>
      </c>
      <c r="D5110" s="12" t="inlineStr">
        <is>
          <t>Motor 7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4441</v>
      </c>
      <c r="U5110" s="16" t="n">
        <v>40</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I-P-0209</t>
        </is>
      </c>
      <c r="B5111" s="12" t="inlineStr">
        <is>
          <t>I</t>
        </is>
      </c>
      <c r="C5111" s="12" t="inlineStr">
        <is>
          <t>Modular / portable power</t>
        </is>
      </c>
      <c r="D5111" s="12" t="inlineStr">
        <is>
          <t>Motor 8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4441</v>
      </c>
      <c r="U5111" s="16" t="n">
        <v>40</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I-P-0210</t>
        </is>
      </c>
      <c r="B5112" s="12" t="inlineStr">
        <is>
          <t>I</t>
        </is>
      </c>
      <c r="C5112" s="12" t="inlineStr">
        <is>
          <t>Modular / portable power</t>
        </is>
      </c>
      <c r="D5112" s="12" t="inlineStr">
        <is>
          <t>Motor 9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4441</v>
      </c>
      <c r="U5112" s="16" t="n">
        <v>40</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I-P-0211</t>
        </is>
      </c>
      <c r="B5113" s="12" t="inlineStr">
        <is>
          <t>I</t>
        </is>
      </c>
      <c r="C5113" s="12" t="inlineStr">
        <is>
          <t>Modular / portable power</t>
        </is>
      </c>
      <c r="D5113" s="12" t="inlineStr">
        <is>
          <t>Motor 10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4441</v>
      </c>
      <c r="U5113" s="16" t="n">
        <v>40</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I-P-0212</t>
        </is>
      </c>
      <c r="B5114" s="12" t="inlineStr">
        <is>
          <t>I</t>
        </is>
      </c>
      <c r="C5114" s="12" t="inlineStr">
        <is>
          <t>Modular / portable power</t>
        </is>
      </c>
      <c r="D5114" s="12" t="inlineStr">
        <is>
          <t>Motor 1 of 6, 2 kW</t>
        </is>
      </c>
      <c r="E5114" s="12" t="inlineStr"/>
      <c r="F5114" s="12" t="inlineStr">
        <is>
          <t>MOD-LV 480 V board + 480 V : 13.8 kV step-up</t>
        </is>
      </c>
      <c r="G5114" s="12" t="inlineStr"/>
      <c r="H5114" s="12" t="inlineStr">
        <is>
          <t>T-MOD 230 kV take-off gantry with arresters</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2</v>
      </c>
      <c r="R5114" s="12" t="n">
        <v>2.8</v>
      </c>
      <c r="S5114" s="12" t="inlineStr">
        <is>
          <t>Duct bank</t>
        </is>
      </c>
      <c r="T5114" s="16" t="n">
        <v>386</v>
      </c>
      <c r="U5114" s="16" t="n">
        <v>130</v>
      </c>
      <c r="V5114" s="16">
        <f>ROUNDUP((T5114+U5114+2*'Read Me'!$B$13)*(1+'Read Me'!$B$12),-1)</f>
        <v/>
      </c>
      <c r="W5114" s="16">
        <f>V5114*N5114*O5114</f>
        <v/>
      </c>
      <c r="X5114" s="12">
        <f>IF(LEFT(I5114,2)="MV",2*N5114*IF(L5114="1/C",O5114,1),0)</f>
        <v/>
      </c>
      <c r="Y5114" s="12">
        <f>IF(OR(LEFT(K5114,4)="LVAX",LEFT(K5114,6)="MV15AX",LEFT(K5114,4)="CTAX",LEFT(K5114,2)="W|"),2*N5114*O5114,0)</f>
        <v/>
      </c>
      <c r="Z5114" s="12" t="inlineStr">
        <is>
          <t>VD 0.7 %</t>
        </is>
      </c>
      <c r="AA5114" s="12">
        <f>N5114*O5114</f>
        <v/>
      </c>
    </row>
    <row r="5115">
      <c r="A5115" s="12" t="inlineStr">
        <is>
          <t>I-P-0213</t>
        </is>
      </c>
      <c r="B5115" s="12" t="inlineStr">
        <is>
          <t>I</t>
        </is>
      </c>
      <c r="C5115" s="12" t="inlineStr">
        <is>
          <t>Modular / portable power</t>
        </is>
      </c>
      <c r="D5115" s="12" t="inlineStr">
        <is>
          <t>Motor 2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6" t="n">
        <v>386</v>
      </c>
      <c r="U5115" s="16" t="n">
        <v>130</v>
      </c>
      <c r="V5115" s="16">
        <f>ROUNDUP((T5115+U5115+2*'Read Me'!$B$13)*(1+'Read Me'!$B$12),-1)</f>
        <v/>
      </c>
      <c r="W5115" s="16">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3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6" t="n">
        <v>386</v>
      </c>
      <c r="U5116" s="16" t="n">
        <v>130</v>
      </c>
      <c r="V5116" s="16">
        <f>ROUNDUP((T5116+U5116+2*'Read Me'!$B$13)*(1+'Read Me'!$B$12),-1)</f>
        <v/>
      </c>
      <c r="W5116" s="16">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4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6" t="n">
        <v>386</v>
      </c>
      <c r="U5117" s="16" t="n">
        <v>130</v>
      </c>
      <c r="V5117" s="16">
        <f>ROUNDUP((T5117+U5117+2*'Read Me'!$B$13)*(1+'Read Me'!$B$12),-1)</f>
        <v/>
      </c>
      <c r="W5117" s="16">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5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6" t="n">
        <v>386</v>
      </c>
      <c r="U5118" s="16" t="n">
        <v>130</v>
      </c>
      <c r="V5118" s="16">
        <f>ROUNDUP((T5118+U5118+2*'Read Me'!$B$13)*(1+'Read Me'!$B$12),-1)</f>
        <v/>
      </c>
      <c r="W5118" s="16">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6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386</v>
      </c>
      <c r="U5119" s="16" t="n">
        <v>130</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1 of 6, 2 kW</t>
        </is>
      </c>
      <c r="E5120" s="12" t="inlineStr"/>
      <c r="F5120" s="12" t="inlineStr">
        <is>
          <t>MOD-LV 480 V board + 480 V : 13.8 kV step-up</t>
        </is>
      </c>
      <c r="G5120" s="12" t="inlineStr"/>
      <c r="H5120" s="12" t="inlineStr">
        <is>
          <t>T-MOD-1 / T-MOD-2 firewall</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378</v>
      </c>
      <c r="U5120" s="16" t="n">
        <v>132</v>
      </c>
      <c r="V5120" s="16">
        <f>ROUNDUP((T5120+U5120+2*'Read Me'!$B$13)*(1+'Read Me'!$B$12),-1)</f>
        <v/>
      </c>
      <c r="W5120" s="16">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I-P-0219</t>
        </is>
      </c>
      <c r="B5121" s="12" t="inlineStr">
        <is>
          <t>I</t>
        </is>
      </c>
      <c r="C5121" s="12" t="inlineStr">
        <is>
          <t>Modular / portable power</t>
        </is>
      </c>
      <c r="D5121" s="12" t="inlineStr">
        <is>
          <t>Motor 2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378</v>
      </c>
      <c r="U5121" s="16" t="n">
        <v>132</v>
      </c>
      <c r="V5121" s="16">
        <f>ROUNDUP((T5121+U5121+2*'Read Me'!$B$13)*(1+'Read Me'!$B$12),-1)</f>
        <v/>
      </c>
      <c r="W5121" s="16">
        <f>V5121*N5121*O5121</f>
        <v/>
      </c>
      <c r="X5121" s="12">
        <f>IF(LEFT(I5121,2)="MV",2*N5121*IF(L5121="1/C",O5121,1),0)</f>
        <v/>
      </c>
      <c r="Y5121" s="12">
        <f>IF(OR(LEFT(K5121,4)="LVAX",LEFT(K5121,6)="MV15AX",LEFT(K5121,4)="CTAX",LEFT(K5121,2)="W|"),2*N5121*O5121,0)</f>
        <v/>
      </c>
      <c r="Z5121" s="12" t="inlineStr">
        <is>
          <t>VD 0.7 %</t>
        </is>
      </c>
      <c r="AA5121" s="12">
        <f>N5121*O5121</f>
        <v/>
      </c>
    </row>
    <row r="5122">
      <c r="A5122" s="12" t="inlineStr">
        <is>
          <t>I-P-0220</t>
        </is>
      </c>
      <c r="B5122" s="12" t="inlineStr">
        <is>
          <t>I</t>
        </is>
      </c>
      <c r="C5122" s="12" t="inlineStr">
        <is>
          <t>Modular / portable power</t>
        </is>
      </c>
      <c r="D5122" s="12" t="inlineStr">
        <is>
          <t>Motor 3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378</v>
      </c>
      <c r="U5122" s="16" t="n">
        <v>132</v>
      </c>
      <c r="V5122" s="16">
        <f>ROUNDUP((T5122+U5122+2*'Read Me'!$B$13)*(1+'Read Me'!$B$12),-1)</f>
        <v/>
      </c>
      <c r="W5122" s="16">
        <f>V5122*N5122*O5122</f>
        <v/>
      </c>
      <c r="X5122" s="12">
        <f>IF(LEFT(I5122,2)="MV",2*N5122*IF(L5122="1/C",O5122,1),0)</f>
        <v/>
      </c>
      <c r="Y5122" s="12">
        <f>IF(OR(LEFT(K5122,4)="LVAX",LEFT(K5122,6)="MV15AX",LEFT(K5122,4)="CTAX",LEFT(K5122,2)="W|"),2*N5122*O5122,0)</f>
        <v/>
      </c>
      <c r="Z5122" s="12" t="inlineStr">
        <is>
          <t>VD 0.7 %</t>
        </is>
      </c>
      <c r="AA5122" s="12">
        <f>N5122*O5122</f>
        <v/>
      </c>
    </row>
    <row r="5123">
      <c r="A5123" s="12" t="inlineStr">
        <is>
          <t>I-P-0221</t>
        </is>
      </c>
      <c r="B5123" s="12" t="inlineStr">
        <is>
          <t>I</t>
        </is>
      </c>
      <c r="C5123" s="12" t="inlineStr">
        <is>
          <t>Modular / portable power</t>
        </is>
      </c>
      <c r="D5123" s="12" t="inlineStr">
        <is>
          <t>Motor 4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378</v>
      </c>
      <c r="U5123" s="16" t="n">
        <v>132</v>
      </c>
      <c r="V5123" s="16">
        <f>ROUNDUP((T5123+U5123+2*'Read Me'!$B$13)*(1+'Read Me'!$B$12),-1)</f>
        <v/>
      </c>
      <c r="W5123" s="16">
        <f>V5123*N5123*O5123</f>
        <v/>
      </c>
      <c r="X5123" s="12">
        <f>IF(LEFT(I5123,2)="MV",2*N5123*IF(L5123="1/C",O5123,1),0)</f>
        <v/>
      </c>
      <c r="Y5123" s="12">
        <f>IF(OR(LEFT(K5123,4)="LVAX",LEFT(K5123,6)="MV15AX",LEFT(K5123,4)="CTAX",LEFT(K5123,2)="W|"),2*N5123*O5123,0)</f>
        <v/>
      </c>
      <c r="Z5123" s="12" t="inlineStr">
        <is>
          <t>VD 0.7 %</t>
        </is>
      </c>
      <c r="AA5123" s="12">
        <f>N5123*O5123</f>
        <v/>
      </c>
    </row>
    <row r="5124">
      <c r="A5124" s="12" t="inlineStr">
        <is>
          <t>I-P-0222</t>
        </is>
      </c>
      <c r="B5124" s="12" t="inlineStr">
        <is>
          <t>I</t>
        </is>
      </c>
      <c r="C5124" s="12" t="inlineStr">
        <is>
          <t>Modular / portable power</t>
        </is>
      </c>
      <c r="D5124" s="12" t="inlineStr">
        <is>
          <t>Motor 5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378</v>
      </c>
      <c r="U5124" s="16" t="n">
        <v>132</v>
      </c>
      <c r="V5124" s="16">
        <f>ROUNDUP((T5124+U5124+2*'Read Me'!$B$13)*(1+'Read Me'!$B$12),-1)</f>
        <v/>
      </c>
      <c r="W5124" s="16">
        <f>V5124*N5124*O5124</f>
        <v/>
      </c>
      <c r="X5124" s="12">
        <f>IF(LEFT(I5124,2)="MV",2*N5124*IF(L5124="1/C",O5124,1),0)</f>
        <v/>
      </c>
      <c r="Y5124" s="12">
        <f>IF(OR(LEFT(K5124,4)="LVAX",LEFT(K5124,6)="MV15AX",LEFT(K5124,4)="CTAX",LEFT(K5124,2)="W|"),2*N5124*O5124,0)</f>
        <v/>
      </c>
      <c r="Z5124" s="12" t="inlineStr">
        <is>
          <t>VD 0.7 %</t>
        </is>
      </c>
      <c r="AA5124" s="12">
        <f>N5124*O5124</f>
        <v/>
      </c>
    </row>
    <row r="5125">
      <c r="A5125" s="12" t="inlineStr">
        <is>
          <t>I-P-0223</t>
        </is>
      </c>
      <c r="B5125" s="12" t="inlineStr">
        <is>
          <t>I</t>
        </is>
      </c>
      <c r="C5125" s="12" t="inlineStr">
        <is>
          <t>Modular / portable power</t>
        </is>
      </c>
      <c r="D5125" s="12" t="inlineStr">
        <is>
          <t>Motor 6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378</v>
      </c>
      <c r="U5125" s="16" t="n">
        <v>132</v>
      </c>
      <c r="V5125" s="16">
        <f>ROUNDUP((T5125+U5125+2*'Read Me'!$B$13)*(1+'Read Me'!$B$12),-1)</f>
        <v/>
      </c>
      <c r="W5125" s="16">
        <f>V5125*N5125*O5125</f>
        <v/>
      </c>
      <c r="X5125" s="12">
        <f>IF(LEFT(I5125,2)="MV",2*N5125*IF(L5125="1/C",O5125,1),0)</f>
        <v/>
      </c>
      <c r="Y5125" s="12">
        <f>IF(OR(LEFT(K5125,4)="LVAX",LEFT(K5125,6)="MV15AX",LEFT(K5125,4)="CTAX",LEFT(K5125,2)="W|"),2*N5125*O5125,0)</f>
        <v/>
      </c>
      <c r="Z5125" s="12" t="inlineStr">
        <is>
          <t>VD 0.7 %</t>
        </is>
      </c>
      <c r="AA5125" s="12">
        <f>N5125*O5125</f>
        <v/>
      </c>
    </row>
    <row r="5126">
      <c r="A5126" s="12" t="inlineStr">
        <is>
          <t>I-P-0224</t>
        </is>
      </c>
      <c r="B5126" s="12" t="inlineStr">
        <is>
          <t>I</t>
        </is>
      </c>
      <c r="C5126" s="12" t="inlineStr">
        <is>
          <t>Modular / portable power</t>
        </is>
      </c>
      <c r="D5126" s="12" t="inlineStr">
        <is>
          <t>Motor 1 of 6, 2 kW</t>
        </is>
      </c>
      <c r="E5126" s="12" t="inlineStr"/>
      <c r="F5126" s="12" t="inlineStr">
        <is>
          <t>MOD-LV 480 V board + 480 V : 13.8 kV step-up</t>
        </is>
      </c>
      <c r="G5126" s="12" t="inlineStr">
        <is>
          <t>T-MOD-1</t>
        </is>
      </c>
      <c r="H5126" s="12" t="inlineStr">
        <is>
          <t>T-MOD-1: 13.8/230 kV</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378</v>
      </c>
      <c r="U5126" s="16" t="n">
        <v>84</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2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378</v>
      </c>
      <c r="U5127" s="16" t="n">
        <v>84</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3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378</v>
      </c>
      <c r="U5128" s="16" t="n">
        <v>84</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4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378</v>
      </c>
      <c r="U5129" s="16" t="n">
        <v>84</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5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378</v>
      </c>
      <c r="U5130" s="16" t="n">
        <v>84</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6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378</v>
      </c>
      <c r="U5131" s="16" t="n">
        <v>84</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1 of 6, 2 kW</t>
        </is>
      </c>
      <c r="E5132" s="12" t="inlineStr"/>
      <c r="F5132" s="12" t="inlineStr">
        <is>
          <t>MOD-LV 480 V board + 480 V : 13.8 kV step-up</t>
        </is>
      </c>
      <c r="G5132" s="12" t="inlineStr">
        <is>
          <t>T-MOD-2</t>
        </is>
      </c>
      <c r="H5132" s="12" t="inlineStr">
        <is>
          <t>T-MOD-2: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Tray</t>
        </is>
      </c>
      <c r="T5132" s="16" t="n">
        <v>0</v>
      </c>
      <c r="U5132" s="16" t="n">
        <v>189</v>
      </c>
      <c r="V5132" s="16">
        <f>ROUNDUP((T5132+U5132+2*'Read Me'!$B$13)*(1+'Read Me'!$B$12),-1)</f>
        <v/>
      </c>
      <c r="W5132" s="16">
        <f>V5132*N5132*O5132</f>
        <v/>
      </c>
      <c r="X5132" s="12">
        <f>IF(LEFT(I5132,2)="MV",2*N5132*IF(L5132="1/C",O5132,1),0)</f>
        <v/>
      </c>
      <c r="Y5132" s="12">
        <f>IF(OR(LEFT(K5132,4)="LVAX",LEFT(K5132,6)="MV15AX",LEFT(K5132,4)="CTAX",LEFT(K5132,2)="W|"),2*N5132*O5132,0)</f>
        <v/>
      </c>
      <c r="Z5132" s="12" t="inlineStr">
        <is>
          <t>VD 0.3 %</t>
        </is>
      </c>
      <c r="AA5132" s="12">
        <f>N5132*O5132</f>
        <v/>
      </c>
    </row>
    <row r="5133">
      <c r="A5133" s="12" t="inlineStr">
        <is>
          <t>I-P-0231</t>
        </is>
      </c>
      <c r="B5133" s="12" t="inlineStr">
        <is>
          <t>I</t>
        </is>
      </c>
      <c r="C5133" s="12" t="inlineStr">
        <is>
          <t>Modular / portable power</t>
        </is>
      </c>
      <c r="D5133" s="12" t="inlineStr">
        <is>
          <t>Motor 2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Tray</t>
        </is>
      </c>
      <c r="T5133" s="16" t="n">
        <v>0</v>
      </c>
      <c r="U5133" s="16" t="n">
        <v>189</v>
      </c>
      <c r="V5133" s="16">
        <f>ROUNDUP((T5133+U5133+2*'Read Me'!$B$13)*(1+'Read Me'!$B$12),-1)</f>
        <v/>
      </c>
      <c r="W5133" s="16">
        <f>V5133*N5133*O5133</f>
        <v/>
      </c>
      <c r="X5133" s="12">
        <f>IF(LEFT(I5133,2)="MV",2*N5133*IF(L5133="1/C",O5133,1),0)</f>
        <v/>
      </c>
      <c r="Y5133" s="12">
        <f>IF(OR(LEFT(K5133,4)="LVAX",LEFT(K5133,6)="MV15AX",LEFT(K5133,4)="CTAX",LEFT(K5133,2)="W|"),2*N5133*O5133,0)</f>
        <v/>
      </c>
      <c r="Z5133" s="12" t="inlineStr">
        <is>
          <t>VD 0.3 %</t>
        </is>
      </c>
      <c r="AA5133" s="12">
        <f>N5133*O5133</f>
        <v/>
      </c>
    </row>
    <row r="5134">
      <c r="A5134" s="12" t="inlineStr">
        <is>
          <t>I-P-0232</t>
        </is>
      </c>
      <c r="B5134" s="12" t="inlineStr">
        <is>
          <t>I</t>
        </is>
      </c>
      <c r="C5134" s="12" t="inlineStr">
        <is>
          <t>Modular / portable power</t>
        </is>
      </c>
      <c r="D5134" s="12" t="inlineStr">
        <is>
          <t>Motor 3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Tray</t>
        </is>
      </c>
      <c r="T5134" s="16" t="n">
        <v>0</v>
      </c>
      <c r="U5134" s="16" t="n">
        <v>189</v>
      </c>
      <c r="V5134" s="16">
        <f>ROUNDUP((T5134+U5134+2*'Read Me'!$B$13)*(1+'Read Me'!$B$12),-1)</f>
        <v/>
      </c>
      <c r="W5134" s="16">
        <f>V5134*N5134*O5134</f>
        <v/>
      </c>
      <c r="X5134" s="12">
        <f>IF(LEFT(I5134,2)="MV",2*N5134*IF(L5134="1/C",O5134,1),0)</f>
        <v/>
      </c>
      <c r="Y5134" s="12">
        <f>IF(OR(LEFT(K5134,4)="LVAX",LEFT(K5134,6)="MV15AX",LEFT(K5134,4)="CTAX",LEFT(K5134,2)="W|"),2*N5134*O5134,0)</f>
        <v/>
      </c>
      <c r="Z5134" s="12" t="inlineStr">
        <is>
          <t>VD 0.3 %</t>
        </is>
      </c>
      <c r="AA5134" s="12">
        <f>N5134*O5134</f>
        <v/>
      </c>
    </row>
    <row r="5135">
      <c r="A5135" s="12" t="inlineStr">
        <is>
          <t>I-P-0233</t>
        </is>
      </c>
      <c r="B5135" s="12" t="inlineStr">
        <is>
          <t>I</t>
        </is>
      </c>
      <c r="C5135" s="12" t="inlineStr">
        <is>
          <t>Modular / portable power</t>
        </is>
      </c>
      <c r="D5135" s="12" t="inlineStr">
        <is>
          <t>Motor 4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Tray</t>
        </is>
      </c>
      <c r="T5135" s="16" t="n">
        <v>0</v>
      </c>
      <c r="U5135" s="16" t="n">
        <v>189</v>
      </c>
      <c r="V5135" s="16">
        <f>ROUNDUP((T5135+U5135+2*'Read Me'!$B$13)*(1+'Read Me'!$B$12),-1)</f>
        <v/>
      </c>
      <c r="W5135" s="16">
        <f>V5135*N5135*O5135</f>
        <v/>
      </c>
      <c r="X5135" s="12">
        <f>IF(LEFT(I5135,2)="MV",2*N5135*IF(L5135="1/C",O5135,1),0)</f>
        <v/>
      </c>
      <c r="Y5135" s="12">
        <f>IF(OR(LEFT(K5135,4)="LVAX",LEFT(K5135,6)="MV15AX",LEFT(K5135,4)="CTAX",LEFT(K5135,2)="W|"),2*N5135*O5135,0)</f>
        <v/>
      </c>
      <c r="Z5135" s="12" t="inlineStr">
        <is>
          <t>VD 0.3 %</t>
        </is>
      </c>
      <c r="AA5135" s="12">
        <f>N5135*O5135</f>
        <v/>
      </c>
    </row>
    <row r="5136">
      <c r="A5136" s="12" t="inlineStr">
        <is>
          <t>I-P-0234</t>
        </is>
      </c>
      <c r="B5136" s="12" t="inlineStr">
        <is>
          <t>I</t>
        </is>
      </c>
      <c r="C5136" s="12" t="inlineStr">
        <is>
          <t>Modular / portable power</t>
        </is>
      </c>
      <c r="D5136" s="12" t="inlineStr">
        <is>
          <t>Motor 5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Tray</t>
        </is>
      </c>
      <c r="T5136" s="16" t="n">
        <v>0</v>
      </c>
      <c r="U5136" s="16" t="n">
        <v>189</v>
      </c>
      <c r="V5136" s="16">
        <f>ROUNDUP((T5136+U5136+2*'Read Me'!$B$13)*(1+'Read Me'!$B$12),-1)</f>
        <v/>
      </c>
      <c r="W5136" s="16">
        <f>V5136*N5136*O5136</f>
        <v/>
      </c>
      <c r="X5136" s="12">
        <f>IF(LEFT(I5136,2)="MV",2*N5136*IF(L5136="1/C",O5136,1),0)</f>
        <v/>
      </c>
      <c r="Y5136" s="12">
        <f>IF(OR(LEFT(K5136,4)="LVAX",LEFT(K5136,6)="MV15AX",LEFT(K5136,4)="CTAX",LEFT(K5136,2)="W|"),2*N5136*O5136,0)</f>
        <v/>
      </c>
      <c r="Z5136" s="12" t="inlineStr">
        <is>
          <t>VD 0.3 %</t>
        </is>
      </c>
      <c r="AA5136" s="12">
        <f>N5136*O5136</f>
        <v/>
      </c>
    </row>
    <row r="5137">
      <c r="A5137" s="12" t="inlineStr">
        <is>
          <t>I-P-0235</t>
        </is>
      </c>
      <c r="B5137" s="12" t="inlineStr">
        <is>
          <t>I</t>
        </is>
      </c>
      <c r="C5137" s="12" t="inlineStr">
        <is>
          <t>Modular / portable power</t>
        </is>
      </c>
      <c r="D5137" s="12" t="inlineStr">
        <is>
          <t>Motor 6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I-P-0236</t>
        </is>
      </c>
      <c r="B5138" s="12" t="inlineStr">
        <is>
          <t>I</t>
        </is>
      </c>
      <c r="C5138" s="12" t="inlineStr">
        <is>
          <t>Modular / portable power</t>
        </is>
      </c>
      <c r="D5138" s="12" t="inlineStr">
        <is>
          <t>Motor 1 of 6, 22 kW</t>
        </is>
      </c>
      <c r="E5138" s="12" t="inlineStr"/>
      <c r="F5138" s="12" t="inlineStr">
        <is>
          <t>MOD-LV 480 V board + 480 V : 13.8 kV step-up</t>
        </is>
      </c>
      <c r="G5138" s="12" t="inlineStr">
        <is>
          <t>TM-1</t>
        </is>
      </c>
      <c r="H5138" s="12" t="inlineStr">
        <is>
          <t>TM-1: trailer-mounted aeroderivative GT (TM2500 class, ~35 MW)</t>
        </is>
      </c>
      <c r="I5138" s="12" t="inlineStr">
        <is>
          <t>LV 600 V</t>
        </is>
      </c>
      <c r="J5138" s="12" t="inlineStr">
        <is>
          <t>Type TC-ER 600 V 3/C Cu XHHW-2 + ground, PVC jacket</t>
        </is>
      </c>
      <c r="K5138" s="12" t="inlineStr">
        <is>
          <t>LV|3/C+G|4/0</t>
        </is>
      </c>
      <c r="L5138" s="12" t="inlineStr">
        <is>
          <t>3/C+G</t>
        </is>
      </c>
      <c r="M5138" s="12" t="inlineStr">
        <is>
          <t>4/0</t>
        </is>
      </c>
      <c r="N5138" s="12" t="n">
        <v>1</v>
      </c>
      <c r="O5138" s="12" t="n">
        <v>1</v>
      </c>
      <c r="P5138" s="12" t="n">
        <v>480</v>
      </c>
      <c r="Q5138" s="12" t="n">
        <v>22</v>
      </c>
      <c r="R5138" s="12" t="n">
        <v>31.1</v>
      </c>
      <c r="S5138" s="12" t="inlineStr">
        <is>
          <t>Duct bank</t>
        </is>
      </c>
      <c r="T5138" s="16" t="n">
        <v>3194</v>
      </c>
      <c r="U5138" s="16" t="n">
        <v>70</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I-P-0237</t>
        </is>
      </c>
      <c r="B5139" s="12" t="inlineStr">
        <is>
          <t>I</t>
        </is>
      </c>
      <c r="C5139" s="12" t="inlineStr">
        <is>
          <t>Modular / portable power</t>
        </is>
      </c>
      <c r="D5139" s="12" t="inlineStr">
        <is>
          <t>Motor 2 of 6, 22 kW</t>
        </is>
      </c>
      <c r="E5139" s="12" t="inlineStr"/>
      <c r="F5139" s="12" t="inlineStr">
        <is>
          <t>MOD-LV 480 V board + 480 V : 13.8 kV step-up</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LV|3/C+G|4/0</t>
        </is>
      </c>
      <c r="L5139" s="12" t="inlineStr">
        <is>
          <t>3/C+G</t>
        </is>
      </c>
      <c r="M5139" s="12" t="inlineStr">
        <is>
          <t>4/0</t>
        </is>
      </c>
      <c r="N5139" s="12" t="n">
        <v>1</v>
      </c>
      <c r="O5139" s="12" t="n">
        <v>1</v>
      </c>
      <c r="P5139" s="12" t="n">
        <v>480</v>
      </c>
      <c r="Q5139" s="12" t="n">
        <v>22</v>
      </c>
      <c r="R5139" s="12" t="n">
        <v>31.1</v>
      </c>
      <c r="S5139" s="12" t="inlineStr">
        <is>
          <t>Duct bank</t>
        </is>
      </c>
      <c r="T5139" s="16" t="n">
        <v>3194</v>
      </c>
      <c r="U5139" s="16" t="n">
        <v>70</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I-P-0238</t>
        </is>
      </c>
      <c r="B5140" s="12" t="inlineStr">
        <is>
          <t>I</t>
        </is>
      </c>
      <c r="C5140" s="12" t="inlineStr">
        <is>
          <t>Modular / portable power</t>
        </is>
      </c>
      <c r="D5140" s="12" t="inlineStr">
        <is>
          <t>Motor 3 of 6, 22 kW</t>
        </is>
      </c>
      <c r="E5140" s="12" t="inlineStr"/>
      <c r="F5140" s="12" t="inlineStr">
        <is>
          <t>MOD-LV 480 V board + 480 V : 13.8 kV step-up</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LV|3/C+G|4/0</t>
        </is>
      </c>
      <c r="L5140" s="12" t="inlineStr">
        <is>
          <t>3/C+G</t>
        </is>
      </c>
      <c r="M5140" s="12" t="inlineStr">
        <is>
          <t>4/0</t>
        </is>
      </c>
      <c r="N5140" s="12" t="n">
        <v>1</v>
      </c>
      <c r="O5140" s="12" t="n">
        <v>1</v>
      </c>
      <c r="P5140" s="12" t="n">
        <v>480</v>
      </c>
      <c r="Q5140" s="12" t="n">
        <v>22</v>
      </c>
      <c r="R5140" s="12" t="n">
        <v>31.1</v>
      </c>
      <c r="S5140" s="12" t="inlineStr">
        <is>
          <t>Duct bank</t>
        </is>
      </c>
      <c r="T5140" s="16" t="n">
        <v>3194</v>
      </c>
      <c r="U5140" s="16" t="n">
        <v>70</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I-P-0239</t>
        </is>
      </c>
      <c r="B5141" s="12" t="inlineStr">
        <is>
          <t>I</t>
        </is>
      </c>
      <c r="C5141" s="12" t="inlineStr">
        <is>
          <t>Modular / portable power</t>
        </is>
      </c>
      <c r="D5141" s="12" t="inlineStr">
        <is>
          <t>Motor 4 of 6, 22 kW</t>
        </is>
      </c>
      <c r="E5141" s="12" t="inlineStr"/>
      <c r="F5141" s="12" t="inlineStr">
        <is>
          <t>MOD-LV 480 V board + 480 V : 13.8 kV step-up</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LV|3/C+G|4/0</t>
        </is>
      </c>
      <c r="L5141" s="12" t="inlineStr">
        <is>
          <t>3/C+G</t>
        </is>
      </c>
      <c r="M5141" s="12" t="inlineStr">
        <is>
          <t>4/0</t>
        </is>
      </c>
      <c r="N5141" s="12" t="n">
        <v>1</v>
      </c>
      <c r="O5141" s="12" t="n">
        <v>1</v>
      </c>
      <c r="P5141" s="12" t="n">
        <v>480</v>
      </c>
      <c r="Q5141" s="12" t="n">
        <v>22</v>
      </c>
      <c r="R5141" s="12" t="n">
        <v>31.1</v>
      </c>
      <c r="S5141" s="12" t="inlineStr">
        <is>
          <t>Duct bank</t>
        </is>
      </c>
      <c r="T5141" s="16" t="n">
        <v>3194</v>
      </c>
      <c r="U5141" s="16" t="n">
        <v>70</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I-P-0240</t>
        </is>
      </c>
      <c r="B5142" s="12" t="inlineStr">
        <is>
          <t>I</t>
        </is>
      </c>
      <c r="C5142" s="12" t="inlineStr">
        <is>
          <t>Modular / portable power</t>
        </is>
      </c>
      <c r="D5142" s="12" t="inlineStr">
        <is>
          <t>Motor 5 of 6, 22 kW</t>
        </is>
      </c>
      <c r="E5142" s="12" t="inlineStr"/>
      <c r="F5142" s="12" t="inlineStr">
        <is>
          <t>MOD-LV 480 V board + 480 V : 13.8 kV step-up</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LV|3/C+G|4/0</t>
        </is>
      </c>
      <c r="L5142" s="12" t="inlineStr">
        <is>
          <t>3/C+G</t>
        </is>
      </c>
      <c r="M5142" s="12" t="inlineStr">
        <is>
          <t>4/0</t>
        </is>
      </c>
      <c r="N5142" s="12" t="n">
        <v>1</v>
      </c>
      <c r="O5142" s="12" t="n">
        <v>1</v>
      </c>
      <c r="P5142" s="12" t="n">
        <v>480</v>
      </c>
      <c r="Q5142" s="12" t="n">
        <v>22</v>
      </c>
      <c r="R5142" s="12" t="n">
        <v>31.1</v>
      </c>
      <c r="S5142" s="12" t="inlineStr">
        <is>
          <t>Duct bank</t>
        </is>
      </c>
      <c r="T5142" s="16" t="n">
        <v>3194</v>
      </c>
      <c r="U5142" s="16" t="n">
        <v>70</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I-P-0241</t>
        </is>
      </c>
      <c r="B5143" s="12" t="inlineStr">
        <is>
          <t>I</t>
        </is>
      </c>
      <c r="C5143" s="12" t="inlineStr">
        <is>
          <t>Modular / portable power</t>
        </is>
      </c>
      <c r="D5143" s="12" t="inlineStr">
        <is>
          <t>Motor 6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Duct bank</t>
        </is>
      </c>
      <c r="T5143" s="16" t="n">
        <v>3194</v>
      </c>
      <c r="U5143" s="16" t="n">
        <v>70</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I-P-0242</t>
        </is>
      </c>
      <c r="B5144" s="12" t="inlineStr">
        <is>
          <t>I</t>
        </is>
      </c>
      <c r="C5144" s="12" t="inlineStr">
        <is>
          <t>Modular / portable power</t>
        </is>
      </c>
      <c r="D5144" s="12" t="inlineStr">
        <is>
          <t>Motor 1 of 6, 22 kW</t>
        </is>
      </c>
      <c r="E5144" s="12" t="inlineStr"/>
      <c r="F5144" s="12" t="inlineStr">
        <is>
          <t>MOD-LV 480 V board + 480 V : 13.8 kV step-up</t>
        </is>
      </c>
      <c r="G5144" s="12" t="inlineStr">
        <is>
          <t>TM-2</t>
        </is>
      </c>
      <c r="H5144" s="12" t="inlineStr">
        <is>
          <t>TM-2: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Duct bank</t>
        </is>
      </c>
      <c r="T5144" s="16" t="n">
        <v>3194</v>
      </c>
      <c r="U5144" s="16" t="n">
        <v>76</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I-P-0243</t>
        </is>
      </c>
      <c r="B5145" s="12" t="inlineStr">
        <is>
          <t>I</t>
        </is>
      </c>
      <c r="C5145" s="12" t="inlineStr">
        <is>
          <t>Modular / portable power</t>
        </is>
      </c>
      <c r="D5145" s="12" t="inlineStr">
        <is>
          <t>Motor 2 of 6, 22 kW</t>
        </is>
      </c>
      <c r="E5145" s="12" t="inlineStr"/>
      <c r="F5145" s="12" t="inlineStr">
        <is>
          <t>MOD-LV 480 V board + 480 V : 13.8 kV step-up</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Duct bank</t>
        </is>
      </c>
      <c r="T5145" s="16" t="n">
        <v>3194</v>
      </c>
      <c r="U5145" s="16" t="n">
        <v>76</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I-P-0244</t>
        </is>
      </c>
      <c r="B5146" s="12" t="inlineStr">
        <is>
          <t>I</t>
        </is>
      </c>
      <c r="C5146" s="12" t="inlineStr">
        <is>
          <t>Modular / portable power</t>
        </is>
      </c>
      <c r="D5146" s="12" t="inlineStr">
        <is>
          <t>Motor 3 of 6, 22 kW</t>
        </is>
      </c>
      <c r="E5146" s="12" t="inlineStr"/>
      <c r="F5146" s="12" t="inlineStr">
        <is>
          <t>MOD-LV 480 V board + 480 V : 13.8 kV step-up</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Duct bank</t>
        </is>
      </c>
      <c r="T5146" s="16" t="n">
        <v>3194</v>
      </c>
      <c r="U5146" s="16" t="n">
        <v>76</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I-P-0245</t>
        </is>
      </c>
      <c r="B5147" s="12" t="inlineStr">
        <is>
          <t>I</t>
        </is>
      </c>
      <c r="C5147" s="12" t="inlineStr">
        <is>
          <t>Modular / portable power</t>
        </is>
      </c>
      <c r="D5147" s="12" t="inlineStr">
        <is>
          <t>Motor 4 of 6, 22 kW</t>
        </is>
      </c>
      <c r="E5147" s="12" t="inlineStr"/>
      <c r="F5147" s="12" t="inlineStr">
        <is>
          <t>MOD-LV 480 V board + 480 V : 13.8 kV step-up</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Duct bank</t>
        </is>
      </c>
      <c r="T5147" s="16" t="n">
        <v>3194</v>
      </c>
      <c r="U5147" s="16" t="n">
        <v>76</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I-P-0246</t>
        </is>
      </c>
      <c r="B5148" s="12" t="inlineStr">
        <is>
          <t>I</t>
        </is>
      </c>
      <c r="C5148" s="12" t="inlineStr">
        <is>
          <t>Modular / portable power</t>
        </is>
      </c>
      <c r="D5148" s="12" t="inlineStr">
        <is>
          <t>Motor 5 of 6, 22 kW</t>
        </is>
      </c>
      <c r="E5148" s="12" t="inlineStr"/>
      <c r="F5148" s="12" t="inlineStr">
        <is>
          <t>MOD-LV 480 V board + 480 V : 13.8 kV step-up</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Duct bank</t>
        </is>
      </c>
      <c r="T5148" s="16" t="n">
        <v>3194</v>
      </c>
      <c r="U5148" s="16" t="n">
        <v>76</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I-P-0247</t>
        </is>
      </c>
      <c r="B5149" s="12" t="inlineStr">
        <is>
          <t>I</t>
        </is>
      </c>
      <c r="C5149" s="12" t="inlineStr">
        <is>
          <t>Modular / portable power</t>
        </is>
      </c>
      <c r="D5149" s="12" t="inlineStr">
        <is>
          <t>Motor 6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Duct bank</t>
        </is>
      </c>
      <c r="T5149" s="16" t="n">
        <v>3194</v>
      </c>
      <c r="U5149" s="16" t="n">
        <v>76</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I-P-0248</t>
        </is>
      </c>
      <c r="B5150" s="12" t="inlineStr">
        <is>
          <t>I</t>
        </is>
      </c>
      <c r="C5150" s="12" t="inlineStr">
        <is>
          <t>Modular / portable power</t>
        </is>
      </c>
      <c r="D5150" s="12" t="inlineStr">
        <is>
          <t>LV power feeder</t>
        </is>
      </c>
      <c r="E5150" s="12" t="inlineStr"/>
      <c r="F5150" s="12" t="inlineStr">
        <is>
          <t>MOD-LV 480 V board + 480 V : 13.8 kV step-up</t>
        </is>
      </c>
      <c r="G5150" s="12" t="inlineStr"/>
      <c r="H5150" s="12" t="inlineStr">
        <is>
          <t>Water-injection skid</t>
        </is>
      </c>
      <c r="I5150" s="12" t="inlineStr">
        <is>
          <t>LV 600 V</t>
        </is>
      </c>
      <c r="J5150" s="12" t="inlineStr">
        <is>
          <t>Type TC-ER 600 V 3/C Cu XHHW-2 + ground, PVC jacket</t>
        </is>
      </c>
      <c r="K5150" s="12" t="inlineStr">
        <is>
          <t>LV|3/C+G|3/0</t>
        </is>
      </c>
      <c r="L5150" s="12" t="inlineStr">
        <is>
          <t>3/C+G</t>
        </is>
      </c>
      <c r="M5150" s="12" t="inlineStr">
        <is>
          <t>3/0</t>
        </is>
      </c>
      <c r="N5150" s="12" t="n">
        <v>1</v>
      </c>
      <c r="O5150" s="12" t="n">
        <v>1</v>
      </c>
      <c r="P5150" s="12" t="n">
        <v>480</v>
      </c>
      <c r="Q5150" s="12" t="n">
        <v>15</v>
      </c>
      <c r="R5150" s="12" t="n">
        <v>21.2</v>
      </c>
      <c r="S5150" s="12" t="inlineStr">
        <is>
          <t>HV duct bank</t>
        </is>
      </c>
      <c r="T5150" s="16" t="n">
        <v>4262</v>
      </c>
      <c r="U5150" s="16" t="n">
        <v>89</v>
      </c>
      <c r="V5150" s="16">
        <f>ROUNDUP((T5150+U5150+2*'Read Me'!$B$13)*(1+'Read Me'!$B$12),-1)</f>
        <v/>
      </c>
      <c r="W5150" s="16">
        <f>V5150*N5150*O5150</f>
        <v/>
      </c>
      <c r="X5150" s="12">
        <f>IF(LEFT(I5150,2)="MV",2*N5150*IF(L5150="1/C",O5150,1),0)</f>
        <v/>
      </c>
      <c r="Y5150" s="12">
        <f>IF(OR(LEFT(K5150,4)="LVAX",LEFT(K5150,6)="MV15AX",LEFT(K5150,4)="CTAX",LEFT(K5150,2)="W|"),2*N5150*O5150,0)</f>
        <v/>
      </c>
      <c r="Z5150" s="12" t="inlineStr">
        <is>
          <t>VD 2.8 %</t>
        </is>
      </c>
      <c r="AA5150" s="12">
        <f>N5150*O5150</f>
        <v/>
      </c>
    </row>
    <row r="5151">
      <c r="A5151" s="12" t="inlineStr">
        <is>
          <t>I-MV-0001</t>
        </is>
      </c>
      <c r="B5151" s="12" t="inlineStr">
        <is>
          <t>I</t>
        </is>
      </c>
      <c r="C5151" s="12" t="inlineStr">
        <is>
          <t>Modular / portable power</t>
        </is>
      </c>
      <c r="D5151" s="12" t="inlineStr">
        <is>
          <t>Modular-yard fuel-gas compressor</t>
        </is>
      </c>
      <c r="E5151" s="12" t="inlineStr">
        <is>
          <t>MOD-EH</t>
        </is>
      </c>
      <c r="F5151" s="12" t="inlineStr">
        <is>
          <t>MOD-EH: 13.8 kV modular collector e-house</t>
        </is>
      </c>
      <c r="G5151" s="12" t="inlineStr"/>
      <c r="H5151" s="12" t="inlineStr">
        <is>
          <t>Fuel-gas compressors 3 x 100% electric</t>
        </is>
      </c>
      <c r="I5151" s="12" t="inlineStr">
        <is>
          <t>MV 15 kV</t>
        </is>
      </c>
      <c r="J5151" s="12" t="inlineStr">
        <is>
          <t>ARMOR-X MC-HL / MV-105 15 kV 3/C Cu, EPR 133%, tape shield, gnd, CWA, red PVC</t>
        </is>
      </c>
      <c r="K5151" s="12" t="inlineStr">
        <is>
          <t>MV15AX|3/C|2</t>
        </is>
      </c>
      <c r="L5151" s="12" t="inlineStr">
        <is>
          <t>3/C</t>
        </is>
      </c>
      <c r="M5151" s="12" t="inlineStr">
        <is>
          <t>2</t>
        </is>
      </c>
      <c r="N5151" s="12" t="n">
        <v>1</v>
      </c>
      <c r="O5151" s="12" t="n">
        <v>1</v>
      </c>
      <c r="P5151" s="12" t="n">
        <v>13800</v>
      </c>
      <c r="Q5151" s="12" t="n">
        <v>1500</v>
      </c>
      <c r="R5151" s="12" t="n">
        <v>70</v>
      </c>
      <c r="S5151" s="12" t="inlineStr">
        <is>
          <t>HV duct bank</t>
        </is>
      </c>
      <c r="T5151" s="16" t="n">
        <v>4010</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I-MV-0002</t>
        </is>
      </c>
      <c r="B5152" s="12" t="inlineStr">
        <is>
          <t>I</t>
        </is>
      </c>
      <c r="C5152" s="12" t="inlineStr">
        <is>
          <t>Modular / portable power</t>
        </is>
      </c>
      <c r="D5152" s="12" t="inlineStr">
        <is>
          <t>Modular-yard fuel-gas compressor</t>
        </is>
      </c>
      <c r="E5152" s="12" t="inlineStr">
        <is>
          <t>MOD-EH</t>
        </is>
      </c>
      <c r="F5152" s="12" t="inlineStr">
        <is>
          <t>MOD-EH: 13.8 kV modular collector e-house</t>
        </is>
      </c>
      <c r="G5152" s="12" t="inlineStr"/>
      <c r="H5152" s="12" t="inlineStr">
        <is>
          <t>Fuel-gas compressors 3 x 100% electric</t>
        </is>
      </c>
      <c r="I5152" s="12" t="inlineStr">
        <is>
          <t>MV 15 kV</t>
        </is>
      </c>
      <c r="J5152" s="12" t="inlineStr">
        <is>
          <t>ARMOR-X MC-HL / MV-105 15 kV 3/C Cu, EPR 133%, tape shield, gnd, CWA, red PVC</t>
        </is>
      </c>
      <c r="K5152" s="12" t="inlineStr">
        <is>
          <t>MV15AX|3/C|2</t>
        </is>
      </c>
      <c r="L5152" s="12" t="inlineStr">
        <is>
          <t>3/C</t>
        </is>
      </c>
      <c r="M5152" s="12" t="inlineStr">
        <is>
          <t>2</t>
        </is>
      </c>
      <c r="N5152" s="12" t="n">
        <v>1</v>
      </c>
      <c r="O5152" s="12" t="n">
        <v>1</v>
      </c>
      <c r="P5152" s="12" t="n">
        <v>13800</v>
      </c>
      <c r="Q5152" s="12" t="n">
        <v>1500</v>
      </c>
      <c r="R5152" s="12" t="n">
        <v>70</v>
      </c>
      <c r="S5152" s="12" t="inlineStr">
        <is>
          <t>HV duct bank</t>
        </is>
      </c>
      <c r="T5152" s="16" t="n">
        <v>4010</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I-MV-0003</t>
        </is>
      </c>
      <c r="B5153" s="12" t="inlineStr">
        <is>
          <t>I</t>
        </is>
      </c>
      <c r="C5153" s="12" t="inlineStr">
        <is>
          <t>Modular / portable power</t>
        </is>
      </c>
      <c r="D5153" s="12" t="inlineStr">
        <is>
          <t>Modular-yard fuel-gas compressor</t>
        </is>
      </c>
      <c r="E5153" s="12" t="inlineStr">
        <is>
          <t>MOD-EH</t>
        </is>
      </c>
      <c r="F5153" s="12" t="inlineStr">
        <is>
          <t>MOD-EH: 13.8 kV modular collector e-house</t>
        </is>
      </c>
      <c r="G5153" s="12" t="inlineStr"/>
      <c r="H5153" s="12" t="inlineStr">
        <is>
          <t>Fuel-gas compressors 3 x 100% electric</t>
        </is>
      </c>
      <c r="I5153" s="12" t="inlineStr">
        <is>
          <t>MV 15 kV</t>
        </is>
      </c>
      <c r="J5153" s="12" t="inlineStr">
        <is>
          <t>ARMOR-X MC-HL / MV-105 15 kV 3/C Cu, EPR 133%, tape shield, gnd, CWA, red PVC</t>
        </is>
      </c>
      <c r="K5153" s="12" t="inlineStr">
        <is>
          <t>MV15AX|3/C|2</t>
        </is>
      </c>
      <c r="L5153" s="12" t="inlineStr">
        <is>
          <t>3/C</t>
        </is>
      </c>
      <c r="M5153" s="12" t="inlineStr">
        <is>
          <t>2</t>
        </is>
      </c>
      <c r="N5153" s="12" t="n">
        <v>1</v>
      </c>
      <c r="O5153" s="12" t="n">
        <v>1</v>
      </c>
      <c r="P5153" s="12" t="n">
        <v>13800</v>
      </c>
      <c r="Q5153" s="12" t="n">
        <v>1500</v>
      </c>
      <c r="R5153" s="12" t="n">
        <v>70</v>
      </c>
      <c r="S5153" s="12" t="inlineStr">
        <is>
          <t>HV duct bank</t>
        </is>
      </c>
      <c r="T5153" s="16" t="n">
        <v>4010</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I-MV-0004</t>
        </is>
      </c>
      <c r="B5154" s="12" t="inlineStr">
        <is>
          <t>I</t>
        </is>
      </c>
      <c r="C5154" s="12" t="inlineStr">
        <is>
          <t>Modular / portable power</t>
        </is>
      </c>
      <c r="D5154" s="12" t="inlineStr">
        <is>
          <t>SC-1 PCM to MOD-EH</t>
        </is>
      </c>
      <c r="E5154" s="12" t="inlineStr"/>
      <c r="F5154" s="12" t="inlineStr">
        <is>
          <t>SC-1 PCM + 15 kV GCB</t>
        </is>
      </c>
      <c r="G5154" s="12" t="inlineStr">
        <is>
          <t>MOD-EH</t>
        </is>
      </c>
      <c r="H5154" s="12" t="inlineStr">
        <is>
          <t>MOD-EH: 13.8 kV modular collector e-house</t>
        </is>
      </c>
      <c r="I5154" s="12" t="inlineStr">
        <is>
          <t>MV 15 kV</t>
        </is>
      </c>
      <c r="J5154" s="12" t="inlineStr">
        <is>
          <t>MV-105 15 kV 1/C Cu, EPR 133%, Cu tape shield, PVC jacket (triplexed)</t>
        </is>
      </c>
      <c r="K5154" s="12" t="inlineStr">
        <is>
          <t>MV15|1/C|750</t>
        </is>
      </c>
      <c r="L5154" s="12" t="inlineStr">
        <is>
          <t>1/C</t>
        </is>
      </c>
      <c r="M5154" s="12" t="inlineStr">
        <is>
          <t>750 kcmil</t>
        </is>
      </c>
      <c r="N5154" s="12" t="n">
        <v>5</v>
      </c>
      <c r="O5154" s="12" t="n">
        <v>3</v>
      </c>
      <c r="P5154" s="12" t="n">
        <v>13800</v>
      </c>
      <c r="Q5154" s="12" t="n">
        <v>50000</v>
      </c>
      <c r="R5154" s="12" t="n">
        <v>2092</v>
      </c>
      <c r="S5154" s="12" t="inlineStr">
        <is>
          <t>Duct bank</t>
        </is>
      </c>
      <c r="T5154" s="16" t="n">
        <v>390</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I-MV-0005</t>
        </is>
      </c>
      <c r="B5155" s="12" t="inlineStr">
        <is>
          <t>I</t>
        </is>
      </c>
      <c r="C5155" s="12" t="inlineStr">
        <is>
          <t>Modular / portable power</t>
        </is>
      </c>
      <c r="D5155" s="12" t="inlineStr">
        <is>
          <t>SC-2 PCM to MOD-EH</t>
        </is>
      </c>
      <c r="E5155" s="12" t="inlineStr"/>
      <c r="F5155" s="12" t="inlineStr">
        <is>
          <t>SC-2 PCM + 15 kV GCB</t>
        </is>
      </c>
      <c r="G5155" s="12" t="inlineStr">
        <is>
          <t>MOD-EH</t>
        </is>
      </c>
      <c r="H5155" s="12" t="inlineStr">
        <is>
          <t>MOD-EH: 13.8 kV modular collector e-house</t>
        </is>
      </c>
      <c r="I5155" s="12" t="inlineStr">
        <is>
          <t>MV 15 kV</t>
        </is>
      </c>
      <c r="J5155" s="12" t="inlineStr">
        <is>
          <t>MV-105 15 kV 1/C Cu, EPR 133%, Cu tape shield, PVC jacket (triplexed)</t>
        </is>
      </c>
      <c r="K5155" s="12" t="inlineStr">
        <is>
          <t>MV15|1/C|750</t>
        </is>
      </c>
      <c r="L5155" s="12" t="inlineStr">
        <is>
          <t>1/C</t>
        </is>
      </c>
      <c r="M5155" s="12" t="inlineStr">
        <is>
          <t>750 kcmil</t>
        </is>
      </c>
      <c r="N5155" s="12" t="n">
        <v>5</v>
      </c>
      <c r="O5155" s="12" t="n">
        <v>3</v>
      </c>
      <c r="P5155" s="12" t="n">
        <v>13800</v>
      </c>
      <c r="Q5155" s="12" t="n">
        <v>50000</v>
      </c>
      <c r="R5155" s="12" t="n">
        <v>2092</v>
      </c>
      <c r="S5155" s="12" t="inlineStr">
        <is>
          <t>HV duct bank</t>
        </is>
      </c>
      <c r="T5155" s="16" t="n">
        <v>4028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I-MV-0006</t>
        </is>
      </c>
      <c r="B5156" s="12" t="inlineStr">
        <is>
          <t>I</t>
        </is>
      </c>
      <c r="C5156" s="12" t="inlineStr">
        <is>
          <t>Modular / portable power</t>
        </is>
      </c>
      <c r="D5156" s="12" t="inlineStr">
        <is>
          <t>MOD-LV step-up to MOD-EH</t>
        </is>
      </c>
      <c r="E5156" s="12" t="inlineStr"/>
      <c r="F5156" s="12" t="inlineStr">
        <is>
          <t>MOD-LV 480 V board + 480 V : 13.8 kV step-up</t>
        </is>
      </c>
      <c r="G5156" s="12" t="inlineStr">
        <is>
          <t>MOD-EH</t>
        </is>
      </c>
      <c r="H5156" s="12" t="inlineStr">
        <is>
          <t>MOD-EH: 13.8 kV modular collector e-house</t>
        </is>
      </c>
      <c r="I5156" s="12" t="inlineStr">
        <is>
          <t>MV 15 kV</t>
        </is>
      </c>
      <c r="J5156" s="12" t="inlineStr">
        <is>
          <t>MV-105 15 kV 1/C Cu, EPR 133%, Cu tape shield, PVC jacket (triplexed)</t>
        </is>
      </c>
      <c r="K5156" s="12" t="inlineStr">
        <is>
          <t>MV15|1/C|500</t>
        </is>
      </c>
      <c r="L5156" s="12" t="inlineStr">
        <is>
          <t>1/C</t>
        </is>
      </c>
      <c r="M5156" s="12" t="inlineStr">
        <is>
          <t>500 kcmil</t>
        </is>
      </c>
      <c r="N5156" s="12" t="n">
        <v>1</v>
      </c>
      <c r="O5156" s="12" t="n">
        <v>3</v>
      </c>
      <c r="P5156" s="12" t="n">
        <v>13800</v>
      </c>
      <c r="Q5156" s="12" t="n">
        <v>7500</v>
      </c>
      <c r="R5156" s="12" t="n">
        <v>314</v>
      </c>
      <c r="S5156" s="12" t="inlineStr">
        <is>
          <t>Duct bank</t>
        </is>
      </c>
      <c r="T5156" s="16" t="n">
        <v>368</v>
      </c>
      <c r="U5156" s="16" t="n">
        <v>34</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I-MV-0007</t>
        </is>
      </c>
      <c r="B5157" s="12" t="inlineStr">
        <is>
          <t>I</t>
        </is>
      </c>
      <c r="C5157" s="12" t="inlineStr">
        <is>
          <t>Modular / portable power</t>
        </is>
      </c>
      <c r="D5157" s="12" t="inlineStr">
        <is>
          <t>CONT-3 13.8 kV to PAD-EH (extension section, ground tray)</t>
        </is>
      </c>
      <c r="E5157" s="12" t="inlineStr">
        <is>
          <t>CONT-3</t>
        </is>
      </c>
      <c r="F5157" s="12" t="inlineStr">
        <is>
          <t>CONT-3: containerized gas genset 13.8 kV (40 ft)</t>
        </is>
      </c>
      <c r="G5157" s="12" t="inlineStr">
        <is>
          <t>PAD-EH</t>
        </is>
      </c>
      <c r="H5157" s="12" t="inlineStr">
        <is>
          <t>PAD-EH 13.8 kV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191</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I-MV-0008</t>
        </is>
      </c>
      <c r="B5158" s="12" t="inlineStr">
        <is>
          <t>I</t>
        </is>
      </c>
      <c r="C5158" s="12" t="inlineStr">
        <is>
          <t>Modular / portable power</t>
        </is>
      </c>
      <c r="D5158" s="12" t="inlineStr">
        <is>
          <t>CONT-4 13.8 kV to PAD-EH (extension section, ground tray)</t>
        </is>
      </c>
      <c r="E5158" s="12" t="inlineStr">
        <is>
          <t>CONT-4</t>
        </is>
      </c>
      <c r="F5158" s="12" t="inlineStr">
        <is>
          <t>CONT-4: containerized gas genset 13.8 kV (40 ft)</t>
        </is>
      </c>
      <c r="G5158" s="12" t="inlineStr">
        <is>
          <t>PAD-EH</t>
        </is>
      </c>
      <c r="H5158" s="12" t="inlineStr">
        <is>
          <t>PAD-EH 13.8 kV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Surface</t>
        </is>
      </c>
      <c r="T5158" s="16" t="n">
        <v>71</v>
      </c>
      <c r="U5158" s="16" t="n">
        <v>72</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I-MV-0009</t>
        </is>
      </c>
      <c r="B5159" s="12" t="inlineStr">
        <is>
          <t>I</t>
        </is>
      </c>
      <c r="C5159" s="12" t="inlineStr">
        <is>
          <t>Modular / portable power</t>
        </is>
      </c>
      <c r="D5159" s="12" t="inlineStr">
        <is>
          <t>CONT-5 13.8 kV to PAD-EH (extension section, ground tray)</t>
        </is>
      </c>
      <c r="E5159" s="12" t="inlineStr">
        <is>
          <t>CONT-5</t>
        </is>
      </c>
      <c r="F5159" s="12" t="inlineStr">
        <is>
          <t>CONT-5: containerized gas genset 13.8 kV (40 ft)</t>
        </is>
      </c>
      <c r="G5159" s="12" t="inlineStr">
        <is>
          <t>PAD-EH</t>
        </is>
      </c>
      <c r="H5159" s="12" t="inlineStr">
        <is>
          <t>PAD-EH 13.8 kV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Duct bank</t>
        </is>
      </c>
      <c r="T5159" s="16" t="n">
        <v>47</v>
      </c>
      <c r="U5159" s="16" t="n">
        <v>36</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I-MV-0010</t>
        </is>
      </c>
      <c r="B5160" s="12" t="inlineStr">
        <is>
          <t>I</t>
        </is>
      </c>
      <c r="C5160" s="12" t="inlineStr">
        <is>
          <t>Modular / portable power</t>
        </is>
      </c>
      <c r="D5160" s="12" t="inlineStr">
        <is>
          <t>CONT-6 13.8 kV to PAD-EH (extension section, ground tray)</t>
        </is>
      </c>
      <c r="E5160" s="12" t="inlineStr">
        <is>
          <t>CONT-6</t>
        </is>
      </c>
      <c r="F5160" s="12" t="inlineStr">
        <is>
          <t>CONT-6: containerized gas genset 13.8 kV (40 ft)</t>
        </is>
      </c>
      <c r="G5160" s="12" t="inlineStr">
        <is>
          <t>PAD-EH</t>
        </is>
      </c>
      <c r="H5160" s="12" t="inlineStr">
        <is>
          <t>PAD-EH 13.8 kV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242</v>
      </c>
      <c r="U5160" s="16" t="n">
        <v>32</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I-MV-0011</t>
        </is>
      </c>
      <c r="B5161" s="12" t="inlineStr">
        <is>
          <t>I</t>
        </is>
      </c>
      <c r="C5161" s="12" t="inlineStr">
        <is>
          <t>Modular / portable power</t>
        </is>
      </c>
      <c r="D5161" s="12" t="inlineStr">
        <is>
          <t>CONT-7 13.8 kV to PAD-EH (extension section, ground tray)</t>
        </is>
      </c>
      <c r="E5161" s="12" t="inlineStr">
        <is>
          <t>CONT-7</t>
        </is>
      </c>
      <c r="F5161" s="12" t="inlineStr">
        <is>
          <t>CONT-7: containerized gas genset 13.8 kV (40 ft)</t>
        </is>
      </c>
      <c r="G5161" s="12" t="inlineStr">
        <is>
          <t>PAD-EH</t>
        </is>
      </c>
      <c r="H5161" s="12" t="inlineStr">
        <is>
          <t>PAD-EH 13.8 kV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228</v>
      </c>
      <c r="U5161" s="16" t="n">
        <v>46</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I-MV-0012</t>
        </is>
      </c>
      <c r="B5162" s="12" t="inlineStr">
        <is>
          <t>I</t>
        </is>
      </c>
      <c r="C5162" s="12" t="inlineStr">
        <is>
          <t>Modular / portable power</t>
        </is>
      </c>
      <c r="D5162" s="12" t="inlineStr">
        <is>
          <t>CONT-8 13.8 kV to PAD-EH (extension section, ground tray)</t>
        </is>
      </c>
      <c r="E5162" s="12" t="inlineStr">
        <is>
          <t>CONT-8</t>
        </is>
      </c>
      <c r="F5162" s="12" t="inlineStr">
        <is>
          <t>CONT-8: containerized gas genset 13.8 kV (40 ft)</t>
        </is>
      </c>
      <c r="G5162" s="12" t="inlineStr">
        <is>
          <t>PAD-EH</t>
        </is>
      </c>
      <c r="H5162" s="12" t="inlineStr">
        <is>
          <t>PAD-EH 13.8 kV switchgear e-house</t>
        </is>
      </c>
      <c r="I5162" s="12" t="inlineStr">
        <is>
          <t>MV 15 kV</t>
        </is>
      </c>
      <c r="J5162" s="12" t="inlineStr">
        <is>
          <t>MV-105 15 kV 1/C Cu, EPR 133%, Cu tape shield, PVC jacket (triplexed)</t>
        </is>
      </c>
      <c r="K5162" s="12" t="inlineStr">
        <is>
          <t>MV15|1/C|2</t>
        </is>
      </c>
      <c r="L5162" s="12" t="inlineStr">
        <is>
          <t>1/C</t>
        </is>
      </c>
      <c r="M5162" s="12" t="inlineStr">
        <is>
          <t>2</t>
        </is>
      </c>
      <c r="N5162" s="12" t="n">
        <v>1</v>
      </c>
      <c r="O5162" s="12" t="n">
        <v>3</v>
      </c>
      <c r="P5162" s="12" t="n">
        <v>13800</v>
      </c>
      <c r="Q5162" s="12" t="n">
        <v>2000</v>
      </c>
      <c r="R5162" s="12" t="n">
        <v>93</v>
      </c>
      <c r="S5162" s="12" t="inlineStr">
        <is>
          <t>Surface</t>
        </is>
      </c>
      <c r="T5162" s="16" t="n">
        <v>97</v>
      </c>
      <c r="U5162" s="16" t="n">
        <v>36</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I-MV-0013</t>
        </is>
      </c>
      <c r="B5163" s="12" t="inlineStr">
        <is>
          <t>I</t>
        </is>
      </c>
      <c r="C5163" s="12" t="inlineStr">
        <is>
          <t>Modular / portable power</t>
        </is>
      </c>
      <c r="D5163" s="12" t="inlineStr">
        <is>
          <t>TM-1 (TM2500) generator leads to PAD-EH</t>
        </is>
      </c>
      <c r="E5163" s="12" t="inlineStr">
        <is>
          <t>TM-1</t>
        </is>
      </c>
      <c r="F5163" s="12" t="inlineStr">
        <is>
          <t>TM-1: trailer-mounted aeroderivative GT (TM2500 class, ~35 MW)</t>
        </is>
      </c>
      <c r="G5163" s="12" t="inlineStr">
        <is>
          <t>PAD-EH</t>
        </is>
      </c>
      <c r="H5163" s="12" t="inlineStr">
        <is>
          <t>PAD-EH 13.8 kV switchgear e-house</t>
        </is>
      </c>
      <c r="I5163" s="12" t="inlineStr">
        <is>
          <t>MV 15 kV</t>
        </is>
      </c>
      <c r="J5163" s="12" t="inlineStr">
        <is>
          <t>MV-105 15 kV 1/C Cu, EPR 133%, Cu tape shield, PVC jacket (triplexed)</t>
        </is>
      </c>
      <c r="K5163" s="12" t="inlineStr">
        <is>
          <t>MV15|1/C|1000</t>
        </is>
      </c>
      <c r="L5163" s="12" t="inlineStr">
        <is>
          <t>1/C</t>
        </is>
      </c>
      <c r="M5163" s="12" t="inlineStr">
        <is>
          <t>1000 kcmil</t>
        </is>
      </c>
      <c r="N5163" s="12" t="n">
        <v>3</v>
      </c>
      <c r="O5163" s="12" t="n">
        <v>3</v>
      </c>
      <c r="P5163" s="12" t="n">
        <v>13800</v>
      </c>
      <c r="Q5163" s="12" t="n">
        <v>35000</v>
      </c>
      <c r="R5163" s="12" t="n">
        <v>1464</v>
      </c>
      <c r="S5163" s="12" t="inlineStr">
        <is>
          <t>Surface</t>
        </is>
      </c>
      <c r="T5163" s="16" t="n">
        <v>405</v>
      </c>
      <c r="U5163" s="16" t="n">
        <v>27</v>
      </c>
      <c r="V5163" s="16">
        <f>ROUNDUP((T5163+U5163+2*'Read Me'!$B$13)*(1+'Read Me'!$B$12),-1)</f>
        <v/>
      </c>
      <c r="W5163" s="16">
        <f>V5163*N5163*O5163</f>
        <v/>
      </c>
      <c r="X5163" s="12">
        <f>IF(LEFT(I5163,2)="MV",2*N5163*IF(L5163="1/C",O5163,1),0)</f>
        <v/>
      </c>
      <c r="Y5163" s="12">
        <f>IF(OR(LEFT(K5163,4)="LVAX",LEFT(K5163,6)="MV15AX",LEFT(K5163,4)="CTAX",LEFT(K5163,2)="W|"),2*N5163*O5163,0)</f>
        <v/>
      </c>
      <c r="Z5163" s="12" t="inlineStr">
        <is>
          <t>3 per phase for 125 % (the model shows 2 per phase: update the model)</t>
        </is>
      </c>
      <c r="AA5163" s="12">
        <f>N5163*O5163</f>
        <v/>
      </c>
    </row>
    <row r="5164">
      <c r="A5164" s="12" t="inlineStr">
        <is>
          <t>I-MV-0014</t>
        </is>
      </c>
      <c r="B5164" s="12" t="inlineStr">
        <is>
          <t>I</t>
        </is>
      </c>
      <c r="C5164" s="12" t="inlineStr">
        <is>
          <t>Modular / portable power</t>
        </is>
      </c>
      <c r="D5164" s="12" t="inlineStr">
        <is>
          <t>TM-2 (TM2500) generator leads to PAD-EH</t>
        </is>
      </c>
      <c r="E5164" s="12" t="inlineStr">
        <is>
          <t>TM-2</t>
        </is>
      </c>
      <c r="F5164" s="12" t="inlineStr">
        <is>
          <t>TM-2: trailer-mounted aeroderivative GT (TM2500 class, ~35 MW)</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MV15|1/C|1000</t>
        </is>
      </c>
      <c r="L5164" s="12" t="inlineStr">
        <is>
          <t>1/C</t>
        </is>
      </c>
      <c r="M5164" s="12" t="inlineStr">
        <is>
          <t>1000 kcmil</t>
        </is>
      </c>
      <c r="N5164" s="12" t="n">
        <v>3</v>
      </c>
      <c r="O5164" s="12" t="n">
        <v>3</v>
      </c>
      <c r="P5164" s="12" t="n">
        <v>13800</v>
      </c>
      <c r="Q5164" s="12" t="n">
        <v>35000</v>
      </c>
      <c r="R5164" s="12" t="n">
        <v>1464</v>
      </c>
      <c r="S5164" s="12" t="inlineStr">
        <is>
          <t>Surface</t>
        </is>
      </c>
      <c r="T5164" s="16" t="n">
        <v>411</v>
      </c>
      <c r="U5164" s="16" t="n">
        <v>27</v>
      </c>
      <c r="V5164" s="16">
        <f>ROUNDUP((T5164+U5164+2*'Read Me'!$B$13)*(1+'Read Me'!$B$12),-1)</f>
        <v/>
      </c>
      <c r="W5164" s="16">
        <f>V5164*N5164*O5164</f>
        <v/>
      </c>
      <c r="X5164" s="12">
        <f>IF(LEFT(I5164,2)="MV",2*N5164*IF(L5164="1/C",O5164,1),0)</f>
        <v/>
      </c>
      <c r="Y5164" s="12">
        <f>IF(OR(LEFT(K5164,4)="LVAX",LEFT(K5164,6)="MV15AX",LEFT(K5164,4)="CTAX",LEFT(K5164,2)="W|"),2*N5164*O5164,0)</f>
        <v/>
      </c>
      <c r="Z5164" s="12" t="inlineStr">
        <is>
          <t>3 per phase for 125 % (the model shows 2 per phase: update the model)</t>
        </is>
      </c>
      <c r="AA5164" s="12">
        <f>N5164*O5164</f>
        <v/>
      </c>
    </row>
    <row r="5165">
      <c r="A5165" s="12" t="inlineStr">
        <is>
          <t>I-MV-0015</t>
        </is>
      </c>
      <c r="B5165" s="12" t="inlineStr">
        <is>
          <t>I</t>
        </is>
      </c>
      <c r="C5165" s="12" t="inlineStr">
        <is>
          <t>Modular / portable power</t>
        </is>
      </c>
      <c r="D5165" s="12" t="inlineStr">
        <is>
          <t>RICE-1 generator leads to the PCM</t>
        </is>
      </c>
      <c r="E5165" s="12" t="inlineStr">
        <is>
          <t>RICE-1</t>
        </is>
      </c>
      <c r="F5165" s="12" t="inlineStr">
        <is>
          <t>RICE engine-generator 1</t>
        </is>
      </c>
      <c r="G5165" s="12" t="inlineStr"/>
      <c r="H5165" s="12" t="inlineStr">
        <is>
          <t>PCM: power control module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2</v>
      </c>
      <c r="O5165" s="12" t="n">
        <v>3</v>
      </c>
      <c r="P5165" s="12" t="n">
        <v>13800</v>
      </c>
      <c r="Q5165" s="12" t="n">
        <v>18400</v>
      </c>
      <c r="R5165" s="12" t="n">
        <v>770</v>
      </c>
      <c r="S5165" s="12" t="inlineStr">
        <is>
          <t>Duct bank</t>
        </is>
      </c>
      <c r="T5165" s="16" t="n">
        <v>576</v>
      </c>
      <c r="U5165" s="16" t="n">
        <v>111</v>
      </c>
      <c r="V5165" s="16">
        <f>ROUNDUP((T5165+U5165+2*'Read Me'!$B$13)*(1+'Read Me'!$B$12),-1)</f>
        <v/>
      </c>
      <c r="W5165" s="16">
        <f>V5165*N5165*O5165</f>
        <v/>
      </c>
      <c r="X5165" s="12">
        <f>IF(LEFT(I5165,2)="MV",2*N5165*IF(L5165="1/C",O5165,1),0)</f>
        <v/>
      </c>
      <c r="Y5165" s="12">
        <f>IF(OR(LEFT(K5165,4)="LVAX",LEFT(K5165,6)="MV15AX",LEFT(K5165,4)="CTAX",LEFT(K5165,2)="W|"),2*N5165*O5165,0)</f>
        <v/>
      </c>
      <c r="Z5165" s="12" t="inlineStr">
        <is>
          <t>18V50 class ~18 MW (typ.)</t>
        </is>
      </c>
      <c r="AA5165" s="12">
        <f>N5165*O5165</f>
        <v/>
      </c>
    </row>
    <row r="5166">
      <c r="A5166" s="12" t="inlineStr">
        <is>
          <t>I-MV-0016</t>
        </is>
      </c>
      <c r="B5166" s="12" t="inlineStr">
        <is>
          <t>I</t>
        </is>
      </c>
      <c r="C5166" s="12" t="inlineStr">
        <is>
          <t>Modular / portable power</t>
        </is>
      </c>
      <c r="D5166" s="12" t="inlineStr">
        <is>
          <t>RICE-2 generator leads to the PCM</t>
        </is>
      </c>
      <c r="E5166" s="12" t="inlineStr">
        <is>
          <t>RICE-2</t>
        </is>
      </c>
      <c r="F5166" s="12" t="inlineStr">
        <is>
          <t>RICE engine-generator 2</t>
        </is>
      </c>
      <c r="G5166" s="12" t="inlineStr"/>
      <c r="H5166" s="12" t="inlineStr">
        <is>
          <t>PCM: power control module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2</v>
      </c>
      <c r="O5166" s="12" t="n">
        <v>3</v>
      </c>
      <c r="P5166" s="12" t="n">
        <v>13800</v>
      </c>
      <c r="Q5166" s="12" t="n">
        <v>18400</v>
      </c>
      <c r="R5166" s="12" t="n">
        <v>770</v>
      </c>
      <c r="S5166" s="12" t="inlineStr">
        <is>
          <t>Duct bank</t>
        </is>
      </c>
      <c r="T5166" s="16" t="n">
        <v>550</v>
      </c>
      <c r="U5166" s="16" t="n">
        <v>109</v>
      </c>
      <c r="V5166" s="16">
        <f>ROUNDUP((T5166+U5166+2*'Read Me'!$B$13)*(1+'Read Me'!$B$12),-1)</f>
        <v/>
      </c>
      <c r="W5166" s="16">
        <f>V5166*N5166*O5166</f>
        <v/>
      </c>
      <c r="X5166" s="12">
        <f>IF(LEFT(I5166,2)="MV",2*N5166*IF(L5166="1/C",O5166,1),0)</f>
        <v/>
      </c>
      <c r="Y5166" s="12">
        <f>IF(OR(LEFT(K5166,4)="LVAX",LEFT(K5166,6)="MV15AX",LEFT(K5166,4)="CTAX",LEFT(K5166,2)="W|"),2*N5166*O5166,0)</f>
        <v/>
      </c>
      <c r="Z5166" s="12" t="inlineStr">
        <is>
          <t>18V50 class ~18 MW (typ.)</t>
        </is>
      </c>
      <c r="AA5166" s="12">
        <f>N5166*O5166</f>
        <v/>
      </c>
    </row>
    <row r="5167">
      <c r="A5167" s="12" t="inlineStr">
        <is>
          <t>I-MV-0017</t>
        </is>
      </c>
      <c r="B5167" s="12" t="inlineStr">
        <is>
          <t>I</t>
        </is>
      </c>
      <c r="C5167" s="12" t="inlineStr">
        <is>
          <t>Modular / portable power</t>
        </is>
      </c>
      <c r="D5167" s="12" t="inlineStr">
        <is>
          <t>RICE-3 generator leads to the PCM</t>
        </is>
      </c>
      <c r="E5167" s="12" t="inlineStr">
        <is>
          <t>RICE-3</t>
        </is>
      </c>
      <c r="F5167" s="12" t="inlineStr">
        <is>
          <t>RICE engine-generator 3</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I-MV-0018</t>
        </is>
      </c>
      <c r="B5168" s="12" t="inlineStr">
        <is>
          <t>I</t>
        </is>
      </c>
      <c r="C5168" s="12" t="inlineStr">
        <is>
          <t>Modular / portable power</t>
        </is>
      </c>
      <c r="D5168" s="12" t="inlineStr">
        <is>
          <t>RICE-4 generator leads to the PCM</t>
        </is>
      </c>
      <c r="E5168" s="12" t="inlineStr">
        <is>
          <t>RICE-4</t>
        </is>
      </c>
      <c r="F5168" s="12" t="inlineStr">
        <is>
          <t>RICE engine-generator 4</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I-MV-0019</t>
        </is>
      </c>
      <c r="B5169" s="12" t="inlineStr">
        <is>
          <t>I</t>
        </is>
      </c>
      <c r="C5169" s="12" t="inlineStr">
        <is>
          <t>Modular / portable power</t>
        </is>
      </c>
      <c r="D5169" s="12" t="inlineStr">
        <is>
          <t>RICE-5 generator leads to the PCM</t>
        </is>
      </c>
      <c r="E5169" s="12" t="inlineStr">
        <is>
          <t>RICE-5</t>
        </is>
      </c>
      <c r="F5169" s="12" t="inlineStr">
        <is>
          <t>RICE engine-generator 5</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6" t="n">
        <v>525</v>
      </c>
      <c r="U5169" s="16" t="n">
        <v>50</v>
      </c>
      <c r="V5169" s="16">
        <f>ROUNDUP((T5169+U5169+2*'Read Me'!$B$13)*(1+'Read Me'!$B$12),-1)</f>
        <v/>
      </c>
      <c r="W5169" s="16">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I-MV-0020</t>
        </is>
      </c>
      <c r="B5170" s="12" t="inlineStr">
        <is>
          <t>I</t>
        </is>
      </c>
      <c r="C5170" s="12" t="inlineStr">
        <is>
          <t>Modular / portable power</t>
        </is>
      </c>
      <c r="D5170" s="12" t="inlineStr">
        <is>
          <t>RICE-6 generator leads to the PCM</t>
        </is>
      </c>
      <c r="E5170" s="12" t="inlineStr">
        <is>
          <t>RICE-6</t>
        </is>
      </c>
      <c r="F5170" s="12" t="inlineStr">
        <is>
          <t>RICE engine-generator 6</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6" t="n">
        <v>469</v>
      </c>
      <c r="U5170" s="16" t="n">
        <v>78</v>
      </c>
      <c r="V5170" s="16">
        <f>ROUNDUP((T5170+U5170+2*'Read Me'!$B$13)*(1+'Read Me'!$B$12),-1)</f>
        <v/>
      </c>
      <c r="W5170" s="16">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I-MV-0021</t>
        </is>
      </c>
      <c r="B5171" s="12" t="inlineStr">
        <is>
          <t>I</t>
        </is>
      </c>
      <c r="C5171" s="12" t="inlineStr">
        <is>
          <t>Modular / portable power</t>
        </is>
      </c>
      <c r="D5171" s="12" t="inlineStr">
        <is>
          <t>RICE-7 generator leads to the PCM</t>
        </is>
      </c>
      <c r="E5171" s="12" t="inlineStr">
        <is>
          <t>RICE-7</t>
        </is>
      </c>
      <c r="F5171" s="12" t="inlineStr">
        <is>
          <t>RICE engine-generator 7</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Tray</t>
        </is>
      </c>
      <c r="T5171" s="16" t="n">
        <v>83</v>
      </c>
      <c r="U5171" s="16" t="n">
        <v>106</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I-MV-0022</t>
        </is>
      </c>
      <c r="B5172" s="12" t="inlineStr">
        <is>
          <t>I</t>
        </is>
      </c>
      <c r="C5172" s="12" t="inlineStr">
        <is>
          <t>Modular / portable power</t>
        </is>
      </c>
      <c r="D5172" s="12" t="inlineStr">
        <is>
          <t>RICE-8 generator leads to the PCM</t>
        </is>
      </c>
      <c r="E5172" s="12" t="inlineStr">
        <is>
          <t>RICE-8</t>
        </is>
      </c>
      <c r="F5172" s="12" t="inlineStr">
        <is>
          <t>RICE engine-generator 8</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Tray</t>
        </is>
      </c>
      <c r="T5172" s="16" t="n">
        <v>37</v>
      </c>
      <c r="U5172" s="16" t="n">
        <v>124</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I-MV-0023</t>
        </is>
      </c>
      <c r="B5173" s="12" t="inlineStr">
        <is>
          <t>I</t>
        </is>
      </c>
      <c r="C5173" s="12" t="inlineStr">
        <is>
          <t>Modular / portable power</t>
        </is>
      </c>
      <c r="D5173" s="12" t="inlineStr">
        <is>
          <t>SC-1 (LM6000 class) generator leads to its PCM / GCB</t>
        </is>
      </c>
      <c r="E5173" s="12" t="inlineStr">
        <is>
          <t>SC-1</t>
        </is>
      </c>
      <c r="F5173" s="12" t="inlineStr">
        <is>
          <t>SC-1: aeroderivative simple-cycle unit (LM6000 class)</t>
        </is>
      </c>
      <c r="G5173" s="12" t="inlineStr"/>
      <c r="H5173" s="12" t="inlineStr">
        <is>
          <t>SC-1 PCM + 15 kV GCB</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5</v>
      </c>
      <c r="O5173" s="12" t="n">
        <v>3</v>
      </c>
      <c r="P5173" s="12" t="n">
        <v>13800</v>
      </c>
      <c r="Q5173" s="12" t="n">
        <v>50000</v>
      </c>
      <c r="R5173" s="12" t="n">
        <v>2092</v>
      </c>
      <c r="S5173" s="12" t="inlineStr">
        <is>
          <t>Tray</t>
        </is>
      </c>
      <c r="T5173" s="16" t="n">
        <v>12</v>
      </c>
      <c r="U5173" s="16" t="n">
        <v>52</v>
      </c>
      <c r="V5173" s="16">
        <f>ROUNDUP((T5173+U5173+2*'Read Me'!$B$13)*(1+'Read Me'!$B$12),-1)</f>
        <v/>
      </c>
      <c r="W5173" s="16">
        <f>V5173*N5173*O5173</f>
        <v/>
      </c>
      <c r="X5173" s="12">
        <f>IF(LEFT(I5173,2)="MV",2*N5173*IF(L5173="1/C",O5173,1),0)</f>
        <v/>
      </c>
      <c r="Y5173" s="12">
        <f>IF(OR(LEFT(K5173,4)="LVAX",LEFT(K5173,6)="MV15AX",LEFT(K5173,4)="CTAX",LEFT(K5173,2)="W|"),2*N5173*O5173,0)</f>
        <v/>
      </c>
      <c r="Z5173" s="12" t="inlineStr"/>
      <c r="AA5173" s="12">
        <f>N5173*O5173</f>
        <v/>
      </c>
    </row>
    <row r="5174">
      <c r="A5174" s="12" t="inlineStr">
        <is>
          <t>I-MV-0024</t>
        </is>
      </c>
      <c r="B5174" s="12" t="inlineStr">
        <is>
          <t>I</t>
        </is>
      </c>
      <c r="C5174" s="12" t="inlineStr">
        <is>
          <t>Modular / portable power</t>
        </is>
      </c>
      <c r="D5174" s="12" t="inlineStr">
        <is>
          <t>SC-2 (LM6000 class) generator leads to its PCM / GCB</t>
        </is>
      </c>
      <c r="E5174" s="12" t="inlineStr">
        <is>
          <t>SC-2</t>
        </is>
      </c>
      <c r="F5174" s="12" t="inlineStr">
        <is>
          <t>SC-2: aeroderivative simple-cycle unit (LM6000 class)</t>
        </is>
      </c>
      <c r="G5174" s="12" t="inlineStr"/>
      <c r="H5174" s="12" t="inlineStr">
        <is>
          <t>SC-2 PCM + 15 kV GCB</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5</v>
      </c>
      <c r="O5174" s="12" t="n">
        <v>3</v>
      </c>
      <c r="P5174" s="12" t="n">
        <v>13800</v>
      </c>
      <c r="Q5174" s="12" t="n">
        <v>50000</v>
      </c>
      <c r="R5174" s="12" t="n">
        <v>2092</v>
      </c>
      <c r="S5174" s="12" t="inlineStr">
        <is>
          <t>Tray</t>
        </is>
      </c>
      <c r="T5174" s="16" t="n">
        <v>0</v>
      </c>
      <c r="U5174" s="16" t="n">
        <v>62</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I-PP-0001</t>
        </is>
      </c>
      <c r="B5175" s="12" t="inlineStr">
        <is>
          <t>I</t>
        </is>
      </c>
      <c r="C5175" s="12" t="inlineStr">
        <is>
          <t>Modular / portable power</t>
        </is>
      </c>
      <c r="D5175" s="12" t="inlineStr">
        <is>
          <t>GEN-E 480 V to PAD-LV (Type W sets, cam-lock)</t>
        </is>
      </c>
      <c r="E5175" s="12" t="inlineStr">
        <is>
          <t>GEN-E</t>
        </is>
      </c>
      <c r="F5175" s="12" t="inlineStr">
        <is>
          <t>GEN-E: enclosed industrial gas genset 2 MW</t>
        </is>
      </c>
      <c r="G5175" s="12" t="inlineStr">
        <is>
          <t>PAD-LV</t>
        </is>
      </c>
      <c r="H5175" s="12" t="inlineStr">
        <is>
          <t>PAD-LV 480 V paralleling switchboard</t>
        </is>
      </c>
      <c r="I5175" s="12" t="inlineStr">
        <is>
          <t>Portable LV</t>
        </is>
      </c>
      <c r="J5175" s="12" t="inlineStr">
        <is>
          <t>Type W 2 kV 1/C Cu, EPDM / CPE (portable, cam-lock)</t>
        </is>
      </c>
      <c r="K5175" s="12" t="inlineStr">
        <is>
          <t>W|1/C|4/0</t>
        </is>
      </c>
      <c r="L5175" s="12" t="inlineStr">
        <is>
          <t>1/C</t>
        </is>
      </c>
      <c r="M5175" s="12" t="inlineStr">
        <is>
          <t>4/0</t>
        </is>
      </c>
      <c r="N5175" s="12" t="n">
        <v>8</v>
      </c>
      <c r="O5175" s="12" t="n">
        <v>4</v>
      </c>
      <c r="P5175" s="12" t="n">
        <v>480</v>
      </c>
      <c r="Q5175" s="12" t="n">
        <v>2000</v>
      </c>
      <c r="R5175" s="12" t="n">
        <v>2406</v>
      </c>
      <c r="S5175" s="12" t="inlineStr">
        <is>
          <t>Surface</t>
        </is>
      </c>
      <c r="T5175" s="16" t="n">
        <v>143</v>
      </c>
      <c r="U5175" s="16" t="n">
        <v>27</v>
      </c>
      <c r="V5175" s="16">
        <f>ROUNDUP((T5175+U5175+2*'Read Me'!$B$13)*(1+'Read Me'!$B$12),-1)</f>
        <v/>
      </c>
      <c r="W5175" s="16">
        <f>V5175*N5175*O5175</f>
        <v/>
      </c>
      <c r="X5175" s="12">
        <f>IF(LEFT(I5175,2)="MV",2*N5175*IF(L5175="1/C",O5175,1),0)</f>
        <v/>
      </c>
      <c r="Y5175" s="12">
        <f>IF(OR(LEFT(K5175,4)="LVAX",LEFT(K5175,6)="MV15AX",LEFT(K5175,4)="CTAX",LEFT(K5175,2)="W|"),2*N5175*O5175,0)</f>
        <v/>
      </c>
      <c r="Z5175" s="12" t="inlineStr">
        <is>
          <t>4 x 1/C per set incl. ground</t>
        </is>
      </c>
      <c r="AA5175" s="12">
        <f>N5175*O5175</f>
        <v/>
      </c>
    </row>
    <row r="5176">
      <c r="A5176" s="12" t="inlineStr">
        <is>
          <t>I-PP-0002</t>
        </is>
      </c>
      <c r="B5176" s="12" t="inlineStr">
        <is>
          <t>I</t>
        </is>
      </c>
      <c r="C5176" s="12" t="inlineStr">
        <is>
          <t>Modular / portable power</t>
        </is>
      </c>
      <c r="D5176" s="12" t="inlineStr">
        <is>
          <t>GEN-O 480 V to PAD-LV (Type W sets, cam-lock)</t>
        </is>
      </c>
      <c r="E5176" s="12" t="inlineStr">
        <is>
          <t>GEN-O</t>
        </is>
      </c>
      <c r="F5176" s="12" t="inlineStr">
        <is>
          <t>GEN-O: open engine-generator skid</t>
        </is>
      </c>
      <c r="G5176" s="12" t="inlineStr">
        <is>
          <t>PAD-LV</t>
        </is>
      </c>
      <c r="H5176" s="12" t="inlineStr">
        <is>
          <t>PAD-LV 480 V paralleling switchboard</t>
        </is>
      </c>
      <c r="I5176" s="12" t="inlineStr">
        <is>
          <t>Portable LV</t>
        </is>
      </c>
      <c r="J5176" s="12" t="inlineStr">
        <is>
          <t>Type W 2 kV 1/C Cu, EPDM / CPE (portable, cam-lock)</t>
        </is>
      </c>
      <c r="K5176" s="12" t="inlineStr">
        <is>
          <t>W|1/C|4/0</t>
        </is>
      </c>
      <c r="L5176" s="12" t="inlineStr">
        <is>
          <t>1/C</t>
        </is>
      </c>
      <c r="M5176" s="12" t="inlineStr">
        <is>
          <t>4/0</t>
        </is>
      </c>
      <c r="N5176" s="12" t="n">
        <v>4</v>
      </c>
      <c r="O5176" s="12" t="n">
        <v>4</v>
      </c>
      <c r="P5176" s="12" t="n">
        <v>480</v>
      </c>
      <c r="Q5176" s="12" t="n">
        <v>1000</v>
      </c>
      <c r="R5176" s="12" t="n">
        <v>1203</v>
      </c>
      <c r="S5176" s="12" t="inlineStr">
        <is>
          <t>Surface</t>
        </is>
      </c>
      <c r="T5176" s="16" t="n">
        <v>132</v>
      </c>
      <c r="U5176" s="16" t="n">
        <v>27</v>
      </c>
      <c r="V5176" s="16">
        <f>ROUNDUP((T5176+U5176+2*'Read Me'!$B$13)*(1+'Read Me'!$B$12),-1)</f>
        <v/>
      </c>
      <c r="W5176" s="16">
        <f>V5176*N5176*O5176</f>
        <v/>
      </c>
      <c r="X5176" s="12">
        <f>IF(LEFT(I5176,2)="MV",2*N5176*IF(L5176="1/C",O5176,1),0)</f>
        <v/>
      </c>
      <c r="Y5176" s="12">
        <f>IF(OR(LEFT(K5176,4)="LVAX",LEFT(K5176,6)="MV15AX",LEFT(K5176,4)="CTAX",LEFT(K5176,2)="W|"),2*N5176*O5176,0)</f>
        <v/>
      </c>
      <c r="Z5176" s="12" t="inlineStr">
        <is>
          <t>4 x 1/C per set incl. ground</t>
        </is>
      </c>
      <c r="AA5176" s="12">
        <f>N5176*O5176</f>
        <v/>
      </c>
    </row>
    <row r="5177">
      <c r="A5177" s="12" t="inlineStr">
        <is>
          <t>I-PP-0003</t>
        </is>
      </c>
      <c r="B5177" s="12" t="inlineStr">
        <is>
          <t>I</t>
        </is>
      </c>
      <c r="C5177" s="12" t="inlineStr">
        <is>
          <t>Modular / portable power</t>
        </is>
      </c>
      <c r="D5177" s="12" t="inlineStr">
        <is>
          <t>CONT-1 13.8 kV leads to GSP-1</t>
        </is>
      </c>
      <c r="E5177" s="12" t="inlineStr">
        <is>
          <t>CONT-1</t>
        </is>
      </c>
      <c r="F5177" s="12" t="inlineStr">
        <is>
          <t>CONT-1: containerized genset 13.8 kV (40 ft)</t>
        </is>
      </c>
      <c r="G5177" s="12" t="inlineStr">
        <is>
          <t>GSP-1</t>
        </is>
      </c>
      <c r="H5177" s="12" t="inlineStr">
        <is>
          <t>GSP-1: generator breaker / protection</t>
        </is>
      </c>
      <c r="I5177" s="12" t="inlineStr">
        <is>
          <t>Portable MV</t>
        </is>
      </c>
      <c r="J5177" s="12" t="inlineStr">
        <is>
          <t>Type SHD-GC 15 kV 3/C Cu, 2 grounds + GC, yellow CPE (portable)</t>
        </is>
      </c>
      <c r="K5177" s="12" t="inlineStr">
        <is>
          <t>SHD|3/C|2</t>
        </is>
      </c>
      <c r="L5177" s="12" t="inlineStr">
        <is>
          <t>3/C</t>
        </is>
      </c>
      <c r="M5177" s="12" t="inlineStr">
        <is>
          <t>2</t>
        </is>
      </c>
      <c r="N5177" s="12" t="n">
        <v>1</v>
      </c>
      <c r="O5177" s="12" t="n">
        <v>1</v>
      </c>
      <c r="P5177" s="12" t="n">
        <v>13800</v>
      </c>
      <c r="Q5177" s="12" t="n">
        <v>2000</v>
      </c>
      <c r="R5177" s="12" t="n">
        <v>93</v>
      </c>
      <c r="S5177" s="12" t="inlineStr">
        <is>
          <t>Tray</t>
        </is>
      </c>
      <c r="T5177" s="16" t="n">
        <v>0</v>
      </c>
      <c r="U5177" s="16" t="n">
        <v>29</v>
      </c>
      <c r="V5177" s="16">
        <f>ROUNDUP((T5177+U5177+2*'Read Me'!$B$13)*(1+'Read Me'!$B$12),-1)</f>
        <v/>
      </c>
      <c r="W5177" s="16">
        <f>V5177*N5177*O5177</f>
        <v/>
      </c>
      <c r="X5177" s="12">
        <f>IF(LEFT(I5177,2)="MV",2*N5177*IF(L5177="1/C",O5177,1),0)</f>
        <v/>
      </c>
      <c r="Y5177" s="12">
        <f>IF(OR(LEFT(K5177,4)="LVAX",LEFT(K5177,6)="MV15AX",LEFT(K5177,4)="CTAX",LEFT(K5177,2)="W|"),2*N5177*O5177,0)</f>
        <v/>
      </c>
      <c r="Z5177" s="12" t="inlineStr">
        <is>
          <t>portable, on grade</t>
        </is>
      </c>
      <c r="AA5177" s="12">
        <f>N5177*O5177</f>
        <v/>
      </c>
    </row>
    <row r="5178">
      <c r="A5178" s="12" t="inlineStr">
        <is>
          <t>I-PP-0004</t>
        </is>
      </c>
      <c r="B5178" s="12" t="inlineStr">
        <is>
          <t>I</t>
        </is>
      </c>
      <c r="C5178" s="12" t="inlineStr">
        <is>
          <t>Modular / portable power</t>
        </is>
      </c>
      <c r="D5178" s="12" t="inlineStr">
        <is>
          <t>CONT-2 13.8 kV leads to GSP-2</t>
        </is>
      </c>
      <c r="E5178" s="12" t="inlineStr">
        <is>
          <t>CONT-2</t>
        </is>
      </c>
      <c r="F5178" s="12" t="inlineStr">
        <is>
          <t>CONT-2: containerized genset 13.8 kV (40 ft)</t>
        </is>
      </c>
      <c r="G5178" s="12" t="inlineStr">
        <is>
          <t>GSP-2</t>
        </is>
      </c>
      <c r="H5178" s="12" t="inlineStr">
        <is>
          <t>GSP-2: generator breaker / protection</t>
        </is>
      </c>
      <c r="I5178" s="12" t="inlineStr">
        <is>
          <t>Portable MV</t>
        </is>
      </c>
      <c r="J5178" s="12" t="inlineStr">
        <is>
          <t>Type SHD-GC 15 kV 3/C Cu, 2 grounds + GC, yellow CPE (portable)</t>
        </is>
      </c>
      <c r="K5178" s="12" t="inlineStr">
        <is>
          <t>SHD|3/C|2</t>
        </is>
      </c>
      <c r="L5178" s="12" t="inlineStr">
        <is>
          <t>3/C</t>
        </is>
      </c>
      <c r="M5178" s="12" t="inlineStr">
        <is>
          <t>2</t>
        </is>
      </c>
      <c r="N5178" s="12" t="n">
        <v>1</v>
      </c>
      <c r="O5178" s="12" t="n">
        <v>1</v>
      </c>
      <c r="P5178" s="12" t="n">
        <v>13800</v>
      </c>
      <c r="Q5178" s="12" t="n">
        <v>2000</v>
      </c>
      <c r="R5178" s="12" t="n">
        <v>93</v>
      </c>
      <c r="S5178" s="12" t="inlineStr">
        <is>
          <t>Riser</t>
        </is>
      </c>
      <c r="T5178" s="16" t="n">
        <v>2</v>
      </c>
      <c r="U5178" s="16" t="n">
        <v>27</v>
      </c>
      <c r="V5178" s="16">
        <f>ROUNDUP((T5178+U5178+2*'Read Me'!$B$13)*(1+'Read Me'!$B$12),-1)</f>
        <v/>
      </c>
      <c r="W5178" s="16">
        <f>V5178*N5178*O5178</f>
        <v/>
      </c>
      <c r="X5178" s="12">
        <f>IF(LEFT(I5178,2)="MV",2*N5178*IF(L5178="1/C",O5178,1),0)</f>
        <v/>
      </c>
      <c r="Y5178" s="12">
        <f>IF(OR(LEFT(K5178,4)="LVAX",LEFT(K5178,6)="MV15AX",LEFT(K5178,4)="CTAX",LEFT(K5178,2)="W|"),2*N5178*O5178,0)</f>
        <v/>
      </c>
      <c r="Z5178" s="12" t="inlineStr">
        <is>
          <t>portable, on grade</t>
        </is>
      </c>
      <c r="AA5178" s="12">
        <f>N5178*O5178</f>
        <v/>
      </c>
    </row>
    <row r="5179">
      <c r="A5179" s="12" t="inlineStr">
        <is>
          <t>I-PP-0005</t>
        </is>
      </c>
      <c r="B5179" s="12" t="inlineStr">
        <is>
          <t>I</t>
        </is>
      </c>
      <c r="C5179" s="12" t="inlineStr">
        <is>
          <t>Modular / portable power</t>
        </is>
      </c>
      <c r="D5179" s="12" t="inlineStr">
        <is>
          <t>PIC to commissioning load bank</t>
        </is>
      </c>
      <c r="E5179" s="12" t="inlineStr">
        <is>
          <t>PIC</t>
        </is>
      </c>
      <c r="F5179" s="12" t="inlineStr">
        <is>
          <t>PIC: portable input cabinet</t>
        </is>
      </c>
      <c r="G5179" s="12" t="inlineStr">
        <is>
          <t>LB</t>
        </is>
      </c>
      <c r="H5179" s="12" t="inlineStr">
        <is>
          <t>LB: commissioning load bank (trailer)</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Surface</t>
        </is>
      </c>
      <c r="T5179" s="16" t="n">
        <v>27</v>
      </c>
      <c r="U5179" s="16" t="n">
        <v>39</v>
      </c>
      <c r="V5179" s="16">
        <f>ROUNDUP((T5179+U5179+2*'Read Me'!$B$13)*(1+'Read Me'!$B$12),-1)</f>
        <v/>
      </c>
      <c r="W5179" s="16">
        <f>V5179*N5179*O5179</f>
        <v/>
      </c>
      <c r="X5179" s="12">
        <f>IF(LEFT(I5179,2)="MV",2*N5179*IF(L5179="1/C",O5179,1),0)</f>
        <v/>
      </c>
      <c r="Y5179" s="12">
        <f>IF(OR(LEFT(K5179,4)="LVAX",LEFT(K5179,6)="MV15AX",LEFT(K5179,4)="CTAX",LEFT(K5179,2)="W|"),2*N5179*O5179,0)</f>
        <v/>
      </c>
      <c r="Z5179" s="12" t="inlineStr">
        <is>
          <t>portable</t>
        </is>
      </c>
      <c r="AA5179" s="12">
        <f>N5179*O5179</f>
        <v/>
      </c>
    </row>
    <row r="5180">
      <c r="A5180" s="12" t="inlineStr">
        <is>
          <t>I-PP-0006</t>
        </is>
      </c>
      <c r="B5180" s="12" t="inlineStr">
        <is>
          <t>I</t>
        </is>
      </c>
      <c r="C5180" s="12" t="inlineStr">
        <is>
          <t>Modular / portable power</t>
        </is>
      </c>
      <c r="D5180" s="12" t="inlineStr">
        <is>
          <t>GSP-1 to PAD-EH</t>
        </is>
      </c>
      <c r="E5180" s="12" t="inlineStr">
        <is>
          <t>GSP-1</t>
        </is>
      </c>
      <c r="F5180" s="12" t="inlineStr">
        <is>
          <t>GSP-1: generator breaker / protection</t>
        </is>
      </c>
      <c r="G5180" s="12" t="inlineStr">
        <is>
          <t>PAD-EH</t>
        </is>
      </c>
      <c r="H5180" s="12" t="inlineStr">
        <is>
          <t>PAD-EH 13.8 kV switchgear e-house</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Surface</t>
        </is>
      </c>
      <c r="T5180" s="16" t="n">
        <v>298</v>
      </c>
      <c r="U5180" s="16" t="n">
        <v>37</v>
      </c>
      <c r="V5180" s="16">
        <f>ROUNDUP((T5180+U5180+2*'Read Me'!$B$13)*(1+'Read Me'!$B$12),-1)</f>
        <v/>
      </c>
      <c r="W5180" s="16">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I-PP-0007</t>
        </is>
      </c>
      <c r="B5181" s="12" t="inlineStr">
        <is>
          <t>I</t>
        </is>
      </c>
      <c r="C5181" s="12" t="inlineStr">
        <is>
          <t>Modular / portable power</t>
        </is>
      </c>
      <c r="D5181" s="12" t="inlineStr">
        <is>
          <t>GSP-2 to PAD-EH</t>
        </is>
      </c>
      <c r="E5181" s="12" t="inlineStr">
        <is>
          <t>GSP-2</t>
        </is>
      </c>
      <c r="F5181" s="12" t="inlineStr">
        <is>
          <t>GSP-2: generator breaker / protection</t>
        </is>
      </c>
      <c r="G5181" s="12" t="inlineStr">
        <is>
          <t>PAD-EH</t>
        </is>
      </c>
      <c r="H5181" s="12" t="inlineStr">
        <is>
          <t>PAD-EH 13.8 kV switchgear e-house</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6" t="n">
        <v>269</v>
      </c>
      <c r="U5181" s="16" t="n">
        <v>37</v>
      </c>
      <c r="V5181" s="16">
        <f>ROUNDUP((T5181+U5181+2*'Read Me'!$B$13)*(1+'Read Me'!$B$12),-1)</f>
        <v/>
      </c>
      <c r="W5181" s="16">
        <f>V5181*N5181*O5181</f>
        <v/>
      </c>
      <c r="X5181" s="12">
        <f>IF(LEFT(I5181,2)="MV",2*N5181*IF(L5181="1/C",O5181,1),0)</f>
        <v/>
      </c>
      <c r="Y5181" s="12">
        <f>IF(OR(LEFT(K5181,4)="LVAX",LEFT(K5181,6)="MV15AX",LEFT(K5181,4)="CTAX",LEFT(K5181,2)="W|"),2*N5181*O5181,0)</f>
        <v/>
      </c>
      <c r="Z5181" s="12" t="inlineStr">
        <is>
          <t>portable, on grade</t>
        </is>
      </c>
      <c r="AA5181" s="12">
        <f>N5181*O5181</f>
        <v/>
      </c>
    </row>
    <row r="5182">
      <c r="A5182" s="12" t="inlineStr">
        <is>
          <t>I-PP-0008</t>
        </is>
      </c>
      <c r="B5182" s="12" t="inlineStr">
        <is>
          <t>I</t>
        </is>
      </c>
      <c r="C5182" s="12" t="inlineStr">
        <is>
          <t>Modular / portable power</t>
        </is>
      </c>
      <c r="D5182" s="12" t="inlineStr">
        <is>
          <t>MOB-1 13.8 kV to PIC through the C-L01 ramp</t>
        </is>
      </c>
      <c r="E5182" s="12" t="inlineStr">
        <is>
          <t>MOB-1</t>
        </is>
      </c>
      <c r="F5182" s="12" t="inlineStr">
        <is>
          <t>MOB-1: trailer genset</t>
        </is>
      </c>
      <c r="G5182" s="12" t="inlineStr">
        <is>
          <t>PIC</t>
        </is>
      </c>
      <c r="H5182" s="12" t="inlineStr">
        <is>
          <t>PIC: portable input cabinet</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6" t="n">
        <v>162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portable</t>
        </is>
      </c>
      <c r="AA5182" s="12">
        <f>N5182*O5182</f>
        <v/>
      </c>
    </row>
    <row r="5183">
      <c r="A5183" s="12" t="inlineStr">
        <is>
          <t>J-C-0001</t>
        </is>
      </c>
      <c r="B5183" s="12" t="inlineStr">
        <is>
          <t>J</t>
        </is>
      </c>
      <c r="C5183" s="12" t="inlineStr">
        <is>
          <t>GT inlet chilling</t>
        </is>
      </c>
      <c r="D5183" s="12" t="inlineStr">
        <is>
          <t>Motor 1 of 4: control / local station</t>
        </is>
      </c>
      <c r="E5183" s="12" t="inlineStr"/>
      <c r="F5183" s="12" t="inlineStr">
        <is>
          <t>Inlet-chilling e-house / transformer</t>
        </is>
      </c>
      <c r="G5183" s="12" t="inlineStr"/>
      <c r="H5183" s="12" t="inlineStr">
        <is>
          <t>CHW pumps</t>
        </is>
      </c>
      <c r="I5183" s="12" t="inlineStr">
        <is>
          <t>Control</t>
        </is>
      </c>
      <c r="J5183" s="12" t="inlineStr">
        <is>
          <t>Control cable 600 V Type TC-ER, Cu #14 AWG, PVC jacket</t>
        </is>
      </c>
      <c r="K5183" s="12" t="inlineStr">
        <is>
          <t>CT|7/C|14</t>
        </is>
      </c>
      <c r="L5183" s="12" t="inlineStr">
        <is>
          <t>7/C</t>
        </is>
      </c>
      <c r="M5183" s="12" t="inlineStr">
        <is>
          <t>14</t>
        </is>
      </c>
      <c r="N5183" s="12" t="n">
        <v>1</v>
      </c>
      <c r="O5183" s="12" t="n">
        <v>1</v>
      </c>
      <c r="P5183" s="12" t="n"/>
      <c r="Q5183" s="12" t="n"/>
      <c r="R5183" s="12" t="n"/>
      <c r="S5183" s="12" t="inlineStr">
        <is>
          <t>Duct bank</t>
        </is>
      </c>
      <c r="T5183" s="16" t="n">
        <v>579</v>
      </c>
      <c r="U5183" s="16" t="n">
        <v>32</v>
      </c>
      <c r="V5183" s="16">
        <f>ROUNDUP((T5183+U5183+2*'Read Me'!$B$13)*(1+'Read Me'!$B$12),-1)</f>
        <v/>
      </c>
      <c r="W5183" s="16">
        <f>V5183*N5183*O5183</f>
        <v/>
      </c>
      <c r="X5183" s="12">
        <f>IF(LEFT(I5183,2)="MV",2*N5183*IF(L5183="1/C",O5183,1),0)</f>
        <v/>
      </c>
      <c r="Y5183" s="12">
        <f>IF(OR(LEFT(K5183,4)="LVAX",LEFT(K5183,6)="MV15AX",LEFT(K5183,4)="CTAX",LEFT(K5183,2)="W|"),2*N5183*O5183,0)</f>
        <v/>
      </c>
      <c r="Z5183" s="12" t="inlineStr"/>
      <c r="AA5183" s="12">
        <f>N5183*O5183</f>
        <v/>
      </c>
    </row>
    <row r="5184">
      <c r="A5184" s="12" t="inlineStr">
        <is>
          <t>J-C-0002</t>
        </is>
      </c>
      <c r="B5184" s="12" t="inlineStr">
        <is>
          <t>J</t>
        </is>
      </c>
      <c r="C5184" s="12" t="inlineStr">
        <is>
          <t>GT inlet chilling</t>
        </is>
      </c>
      <c r="D5184" s="12" t="inlineStr">
        <is>
          <t>Motor 2 of 4: control / local station</t>
        </is>
      </c>
      <c r="E5184" s="12" t="inlineStr"/>
      <c r="F5184" s="12" t="inlineStr">
        <is>
          <t>Inlet-chilling e-house / transformer</t>
        </is>
      </c>
      <c r="G5184" s="12" t="inlineStr"/>
      <c r="H5184" s="12" t="inlineStr">
        <is>
          <t>CHW pumps</t>
        </is>
      </c>
      <c r="I5184" s="12" t="inlineStr">
        <is>
          <t>Control</t>
        </is>
      </c>
      <c r="J5184" s="12" t="inlineStr">
        <is>
          <t>Control cable 600 V Type TC-ER, Cu #14 AWG, PVC jacket</t>
        </is>
      </c>
      <c r="K5184" s="12" t="inlineStr">
        <is>
          <t>CT|7/C|14</t>
        </is>
      </c>
      <c r="L5184" s="12" t="inlineStr">
        <is>
          <t>7/C</t>
        </is>
      </c>
      <c r="M5184" s="12" t="inlineStr">
        <is>
          <t>14</t>
        </is>
      </c>
      <c r="N5184" s="12" t="n">
        <v>1</v>
      </c>
      <c r="O5184" s="12" t="n">
        <v>1</v>
      </c>
      <c r="P5184" s="12" t="n"/>
      <c r="Q5184" s="12" t="n"/>
      <c r="R5184" s="12" t="n"/>
      <c r="S5184" s="12" t="inlineStr">
        <is>
          <t>Duct bank</t>
        </is>
      </c>
      <c r="T5184" s="16" t="n">
        <v>579</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J-C-0003</t>
        </is>
      </c>
      <c r="B5185" s="12" t="inlineStr">
        <is>
          <t>J</t>
        </is>
      </c>
      <c r="C5185" s="12" t="inlineStr">
        <is>
          <t>GT inlet chilling</t>
        </is>
      </c>
      <c r="D5185" s="12" t="inlineStr">
        <is>
          <t>Motor 3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Duct bank</t>
        </is>
      </c>
      <c r="T5185" s="16" t="n">
        <v>579</v>
      </c>
      <c r="U5185" s="16" t="n">
        <v>32</v>
      </c>
      <c r="V5185" s="16">
        <f>ROUNDUP((T5185+U5185+2*'Read Me'!$B$13)*(1+'Read Me'!$B$12),-1)</f>
        <v/>
      </c>
      <c r="W5185" s="16">
        <f>V5185*N5185*O5185</f>
        <v/>
      </c>
      <c r="X5185" s="12">
        <f>IF(LEFT(I5185,2)="MV",2*N5185*IF(L5185="1/C",O5185,1),0)</f>
        <v/>
      </c>
      <c r="Y5185" s="12">
        <f>IF(OR(LEFT(K5185,4)="LVAX",LEFT(K5185,6)="MV15AX",LEFT(K5185,4)="CTAX",LEFT(K5185,2)="W|"),2*N5185*O5185,0)</f>
        <v/>
      </c>
      <c r="Z5185" s="12" t="inlineStr"/>
      <c r="AA5185" s="12">
        <f>N5185*O5185</f>
        <v/>
      </c>
    </row>
    <row r="5186">
      <c r="A5186" s="12" t="inlineStr">
        <is>
          <t>J-C-0004</t>
        </is>
      </c>
      <c r="B5186" s="12" t="inlineStr">
        <is>
          <t>J</t>
        </is>
      </c>
      <c r="C5186" s="12" t="inlineStr">
        <is>
          <t>GT inlet chilling</t>
        </is>
      </c>
      <c r="D5186" s="12" t="inlineStr">
        <is>
          <t>Motor 4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Duct bank</t>
        </is>
      </c>
      <c r="T5186" s="16" t="n">
        <v>579</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J-C-0005</t>
        </is>
      </c>
      <c r="B5187" s="12" t="inlineStr">
        <is>
          <t>J</t>
        </is>
      </c>
      <c r="C5187" s="12" t="inlineStr">
        <is>
          <t>GT inlet chilling</t>
        </is>
      </c>
      <c r="D5187" s="12" t="inlineStr">
        <is>
          <t>Motor 1 of 6: control / local station</t>
        </is>
      </c>
      <c r="E5187" s="12" t="inlineStr"/>
      <c r="F5187" s="12" t="inlineStr">
        <is>
          <t>Inlet-chilling e-house / transformer</t>
        </is>
      </c>
      <c r="G5187" s="12" t="inlineStr"/>
      <c r="H5187" s="12" t="inlineStr">
        <is>
          <t>Chillers x6 (water-cooled)</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Duct bank</t>
        </is>
      </c>
      <c r="T5187" s="16" t="n">
        <v>10</v>
      </c>
      <c r="U5187" s="16" t="n">
        <v>32</v>
      </c>
      <c r="V5187" s="16">
        <f>ROUNDUP((T5187+U5187+2*'Read Me'!$B$13)*(1+'Read Me'!$B$12),-1)</f>
        <v/>
      </c>
      <c r="W5187" s="16">
        <f>V5187*N5187*O5187</f>
        <v/>
      </c>
      <c r="X5187" s="12">
        <f>IF(LEFT(I5187,2)="MV",2*N5187*IF(L5187="1/C",O5187,1),0)</f>
        <v/>
      </c>
      <c r="Y5187" s="12">
        <f>IF(OR(LEFT(K5187,4)="LVAX",LEFT(K5187,6)="MV15AX",LEFT(K5187,4)="CTAX",LEFT(K5187,2)="W|"),2*N5187*O5187,0)</f>
        <v/>
      </c>
      <c r="Z5187" s="12" t="inlineStr"/>
      <c r="AA5187" s="12">
        <f>N5187*O5187</f>
        <v/>
      </c>
    </row>
    <row r="5188">
      <c r="A5188" s="12" t="inlineStr">
        <is>
          <t>J-C-0006</t>
        </is>
      </c>
      <c r="B5188" s="12" t="inlineStr">
        <is>
          <t>J</t>
        </is>
      </c>
      <c r="C5188" s="12" t="inlineStr">
        <is>
          <t>GT inlet chilling</t>
        </is>
      </c>
      <c r="D5188" s="12" t="inlineStr">
        <is>
          <t>Motor 2 of 6: control / local station</t>
        </is>
      </c>
      <c r="E5188" s="12" t="inlineStr"/>
      <c r="F5188" s="12" t="inlineStr">
        <is>
          <t>Inlet-chilling e-house / transformer</t>
        </is>
      </c>
      <c r="G5188" s="12" t="inlineStr"/>
      <c r="H5188" s="12" t="inlineStr">
        <is>
          <t>Chillers x6 (water-cooled)</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J-C-0007</t>
        </is>
      </c>
      <c r="B5189" s="12" t="inlineStr">
        <is>
          <t>J</t>
        </is>
      </c>
      <c r="C5189" s="12" t="inlineStr">
        <is>
          <t>GT inlet chilling</t>
        </is>
      </c>
      <c r="D5189" s="12" t="inlineStr">
        <is>
          <t>Motor 3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6" t="n">
        <v>10</v>
      </c>
      <c r="U5189" s="16" t="n">
        <v>32</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J-C-0008</t>
        </is>
      </c>
      <c r="B5190" s="12" t="inlineStr">
        <is>
          <t>J</t>
        </is>
      </c>
      <c r="C5190" s="12" t="inlineStr">
        <is>
          <t>GT inlet chilling</t>
        </is>
      </c>
      <c r="D5190" s="12" t="inlineStr">
        <is>
          <t>Motor 4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J-C-0009</t>
        </is>
      </c>
      <c r="B5191" s="12" t="inlineStr">
        <is>
          <t>J</t>
        </is>
      </c>
      <c r="C5191" s="12" t="inlineStr">
        <is>
          <t>GT inlet chilling</t>
        </is>
      </c>
      <c r="D5191" s="12" t="inlineStr">
        <is>
          <t>Motor 5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6" t="n">
        <v>10</v>
      </c>
      <c r="U5191" s="16" t="n">
        <v>32</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J-C-0010</t>
        </is>
      </c>
      <c r="B5192" s="12" t="inlineStr">
        <is>
          <t>J</t>
        </is>
      </c>
      <c r="C5192" s="12" t="inlineStr">
        <is>
          <t>GT inlet chilling</t>
        </is>
      </c>
      <c r="D5192" s="12" t="inlineStr">
        <is>
          <t>Motor 6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J-C-0011</t>
        </is>
      </c>
      <c r="B5193" s="12" t="inlineStr">
        <is>
          <t>J</t>
        </is>
      </c>
      <c r="C5193" s="12" t="inlineStr">
        <is>
          <t>GT inlet chilling</t>
        </is>
      </c>
      <c r="D5193" s="12" t="inlineStr">
        <is>
          <t>Control</t>
        </is>
      </c>
      <c r="E5193" s="12" t="inlineStr"/>
      <c r="F5193" s="12" t="inlineStr">
        <is>
          <t>Inlet-chilling e-house / transformer</t>
        </is>
      </c>
      <c r="G5193" s="12" t="inlineStr"/>
      <c r="H5193" s="12" t="inlineStr">
        <is>
          <t>Inlet-chilling e-house / transformer</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Tray</t>
        </is>
      </c>
      <c r="T5193" s="16" t="n">
        <v>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J-C-0012</t>
        </is>
      </c>
      <c r="B5194" s="12" t="inlineStr">
        <is>
          <t>J</t>
        </is>
      </c>
      <c r="C5194" s="12" t="inlineStr">
        <is>
          <t>GT inlet chilling</t>
        </is>
      </c>
      <c r="D5194" s="12" t="inlineStr">
        <is>
          <t>Control</t>
        </is>
      </c>
      <c r="E5194" s="12" t="inlineStr"/>
      <c r="F5194" s="12" t="inlineStr">
        <is>
          <t>Inlet-chilling e-house / transformer</t>
        </is>
      </c>
      <c r="G5194" s="12" t="inlineStr"/>
      <c r="H5194" s="12" t="inlineStr">
        <is>
          <t>Inlet-chilling e-house / transformer</t>
        </is>
      </c>
      <c r="I5194" s="12" t="inlineStr">
        <is>
          <t>Control</t>
        </is>
      </c>
      <c r="J5194" s="12" t="inlineStr">
        <is>
          <t>Control cable 600 V Type TC-ER, Cu #14 AWG, PVC jacket</t>
        </is>
      </c>
      <c r="K5194" s="12" t="inlineStr">
        <is>
          <t>CT|12/C|14</t>
        </is>
      </c>
      <c r="L5194" s="12" t="inlineStr">
        <is>
          <t>12/C</t>
        </is>
      </c>
      <c r="M5194" s="12" t="inlineStr">
        <is>
          <t>14</t>
        </is>
      </c>
      <c r="N5194" s="12" t="n">
        <v>1</v>
      </c>
      <c r="O5194" s="12" t="n">
        <v>1</v>
      </c>
      <c r="P5194" s="12" t="n"/>
      <c r="Q5194" s="12" t="n"/>
      <c r="R5194" s="12" t="n"/>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J-C-0013</t>
        </is>
      </c>
      <c r="B5195" s="12" t="inlineStr">
        <is>
          <t>J</t>
        </is>
      </c>
      <c r="C5195" s="12" t="inlineStr">
        <is>
          <t>GT inlet chilling</t>
        </is>
      </c>
      <c r="D5195" s="12" t="inlineStr">
        <is>
          <t>CT / VT</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#10 AWG (CT / VT circuits)</t>
        </is>
      </c>
      <c r="K5195" s="12" t="inlineStr">
        <is>
          <t>CTCT|4/C|10</t>
        </is>
      </c>
      <c r="L5195" s="12" t="inlineStr">
        <is>
          <t>4/C</t>
        </is>
      </c>
      <c r="M5195" s="12" t="inlineStr">
        <is>
          <t>10</t>
        </is>
      </c>
      <c r="N5195" s="12" t="n">
        <v>1</v>
      </c>
      <c r="O5195" s="12" t="n">
        <v>1</v>
      </c>
      <c r="P5195" s="12" t="n"/>
      <c r="Q5195" s="12" t="n"/>
      <c r="R5195" s="12" t="n"/>
      <c r="S5195" s="12" t="inlineStr">
        <is>
          <t>Tray</t>
        </is>
      </c>
      <c r="T5195" s="16" t="n">
        <v>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J-C-0014</t>
        </is>
      </c>
      <c r="B5196" s="12" t="inlineStr">
        <is>
          <t>J</t>
        </is>
      </c>
      <c r="C5196" s="12" t="inlineStr">
        <is>
          <t>GT inlet chilling</t>
        </is>
      </c>
      <c r="D5196" s="12" t="inlineStr">
        <is>
          <t>CT / VT</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#10 AWG (CT / VT circuits)</t>
        </is>
      </c>
      <c r="K5196" s="12" t="inlineStr">
        <is>
          <t>CTCT|4/C|10</t>
        </is>
      </c>
      <c r="L5196" s="12" t="inlineStr">
        <is>
          <t>4/C</t>
        </is>
      </c>
      <c r="M5196" s="12" t="inlineStr">
        <is>
          <t>10</t>
        </is>
      </c>
      <c r="N5196" s="12" t="n">
        <v>1</v>
      </c>
      <c r="O5196" s="12" t="n">
        <v>1</v>
      </c>
      <c r="P5196" s="12" t="n"/>
      <c r="Q5196" s="12" t="n"/>
      <c r="R5196" s="12" t="n"/>
      <c r="S5196" s="12" t="inlineStr">
        <is>
          <t>Tray</t>
        </is>
      </c>
      <c r="T5196" s="16" t="n">
        <v>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J-C-0015</t>
        </is>
      </c>
      <c r="B5197" s="12" t="inlineStr">
        <is>
          <t>J</t>
        </is>
      </c>
      <c r="C5197" s="12" t="inlineStr">
        <is>
          <t>GT inlet chilling</t>
        </is>
      </c>
      <c r="D5197" s="12" t="inlineStr">
        <is>
          <t>Motor 1 of 12: control / local station</t>
        </is>
      </c>
      <c r="E5197" s="12" t="inlineStr"/>
      <c r="F5197" s="12" t="inlineStr">
        <is>
          <t>Inlet-chilling e-house / transformer</t>
        </is>
      </c>
      <c r="G5197" s="12" t="inlineStr"/>
      <c r="H5197" s="12" t="inlineStr">
        <is>
          <t>Inlet-chilling tower (12 cells): chiller heat rejection</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Duct bank</t>
        </is>
      </c>
      <c r="T5197" s="16" t="n">
        <v>478</v>
      </c>
      <c r="U5197" s="16" t="n">
        <v>38</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J-C-0016</t>
        </is>
      </c>
      <c r="B5198" s="12" t="inlineStr">
        <is>
          <t>J</t>
        </is>
      </c>
      <c r="C5198" s="12" t="inlineStr">
        <is>
          <t>GT inlet chilling</t>
        </is>
      </c>
      <c r="D5198" s="12" t="inlineStr">
        <is>
          <t>Motor 2 of 12: control / local station</t>
        </is>
      </c>
      <c r="E5198" s="12" t="inlineStr"/>
      <c r="F5198" s="12" t="inlineStr">
        <is>
          <t>Inlet-chilling e-house / transformer</t>
        </is>
      </c>
      <c r="G5198" s="12" t="inlineStr"/>
      <c r="H5198" s="12" t="inlineStr">
        <is>
          <t>Inlet-chilling tower (12 cells): chiller heat rejection</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Duct bank</t>
        </is>
      </c>
      <c r="T5198" s="16" t="n">
        <v>478</v>
      </c>
      <c r="U5198" s="16" t="n">
        <v>38</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J-C-0017</t>
        </is>
      </c>
      <c r="B5199" s="12" t="inlineStr">
        <is>
          <t>J</t>
        </is>
      </c>
      <c r="C5199" s="12" t="inlineStr">
        <is>
          <t>GT inlet chilling</t>
        </is>
      </c>
      <c r="D5199" s="12" t="inlineStr">
        <is>
          <t>Motor 3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Duct bank</t>
        </is>
      </c>
      <c r="T5199" s="16" t="n">
        <v>478</v>
      </c>
      <c r="U5199" s="16" t="n">
        <v>38</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J-C-0018</t>
        </is>
      </c>
      <c r="B5200" s="12" t="inlineStr">
        <is>
          <t>J</t>
        </is>
      </c>
      <c r="C5200" s="12" t="inlineStr">
        <is>
          <t>GT inlet chilling</t>
        </is>
      </c>
      <c r="D5200" s="12" t="inlineStr">
        <is>
          <t>Motor 4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Duct bank</t>
        </is>
      </c>
      <c r="T5200" s="16" t="n">
        <v>478</v>
      </c>
      <c r="U5200" s="16" t="n">
        <v>38</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J-C-0019</t>
        </is>
      </c>
      <c r="B5201" s="12" t="inlineStr">
        <is>
          <t>J</t>
        </is>
      </c>
      <c r="C5201" s="12" t="inlineStr">
        <is>
          <t>GT inlet chilling</t>
        </is>
      </c>
      <c r="D5201" s="12" t="inlineStr">
        <is>
          <t>Motor 5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Duct bank</t>
        </is>
      </c>
      <c r="T5201" s="16" t="n">
        <v>478</v>
      </c>
      <c r="U5201" s="16" t="n">
        <v>38</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J-C-0020</t>
        </is>
      </c>
      <c r="B5202" s="12" t="inlineStr">
        <is>
          <t>J</t>
        </is>
      </c>
      <c r="C5202" s="12" t="inlineStr">
        <is>
          <t>GT inlet chilling</t>
        </is>
      </c>
      <c r="D5202" s="12" t="inlineStr">
        <is>
          <t>Motor 6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Duct bank</t>
        </is>
      </c>
      <c r="T5202" s="16" t="n">
        <v>478</v>
      </c>
      <c r="U5202" s="16" t="n">
        <v>38</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J-C-0021</t>
        </is>
      </c>
      <c r="B5203" s="12" t="inlineStr">
        <is>
          <t>J</t>
        </is>
      </c>
      <c r="C5203" s="12" t="inlineStr">
        <is>
          <t>GT inlet chilling</t>
        </is>
      </c>
      <c r="D5203" s="12" t="inlineStr">
        <is>
          <t>Motor 7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Duct bank</t>
        </is>
      </c>
      <c r="T5203" s="16" t="n">
        <v>478</v>
      </c>
      <c r="U5203" s="16" t="n">
        <v>38</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J-C-0022</t>
        </is>
      </c>
      <c r="B5204" s="12" t="inlineStr">
        <is>
          <t>J</t>
        </is>
      </c>
      <c r="C5204" s="12" t="inlineStr">
        <is>
          <t>GT inlet chilling</t>
        </is>
      </c>
      <c r="D5204" s="12" t="inlineStr">
        <is>
          <t>Motor 8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Duct bank</t>
        </is>
      </c>
      <c r="T5204" s="16" t="n">
        <v>478</v>
      </c>
      <c r="U5204" s="16" t="n">
        <v>38</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J-C-0023</t>
        </is>
      </c>
      <c r="B5205" s="12" t="inlineStr">
        <is>
          <t>J</t>
        </is>
      </c>
      <c r="C5205" s="12" t="inlineStr">
        <is>
          <t>GT inlet chilling</t>
        </is>
      </c>
      <c r="D5205" s="12" t="inlineStr">
        <is>
          <t>Motor 9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J-C-0024</t>
        </is>
      </c>
      <c r="B5206" s="12" t="inlineStr">
        <is>
          <t>J</t>
        </is>
      </c>
      <c r="C5206" s="12" t="inlineStr">
        <is>
          <t>GT inlet chilling</t>
        </is>
      </c>
      <c r="D5206" s="12" t="inlineStr">
        <is>
          <t>Motor 10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Duct bank</t>
        </is>
      </c>
      <c r="T5206" s="16" t="n">
        <v>478</v>
      </c>
      <c r="U5206" s="16" t="n">
        <v>38</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J-C-0025</t>
        </is>
      </c>
      <c r="B5207" s="12" t="inlineStr">
        <is>
          <t>J</t>
        </is>
      </c>
      <c r="C5207" s="12" t="inlineStr">
        <is>
          <t>GT inlet chilling</t>
        </is>
      </c>
      <c r="D5207" s="12" t="inlineStr">
        <is>
          <t>Motor 11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J-C-0026</t>
        </is>
      </c>
      <c r="B5208" s="12" t="inlineStr">
        <is>
          <t>J</t>
        </is>
      </c>
      <c r="C5208" s="12" t="inlineStr">
        <is>
          <t>GT inlet chilling</t>
        </is>
      </c>
      <c r="D5208" s="12" t="inlineStr">
        <is>
          <t>Motor 12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Duct bank</t>
        </is>
      </c>
      <c r="T5208" s="16" t="n">
        <v>478</v>
      </c>
      <c r="U5208" s="16" t="n">
        <v>38</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J-I-0001</t>
        </is>
      </c>
      <c r="B5209" s="12" t="inlineStr">
        <is>
          <t>J</t>
        </is>
      </c>
      <c r="C5209" s="12" t="inlineStr">
        <is>
          <t>GT inlet chilling</t>
        </is>
      </c>
      <c r="D5209" s="12" t="inlineStr">
        <is>
          <t>Analog instrument to JB JB-CHW pumps-AI01: 12 x 1 pr (field cables)</t>
        </is>
      </c>
      <c r="E5209" s="12" t="inlineStr"/>
      <c r="F5209" s="12" t="inlineStr">
        <is>
          <t>CHW pumps</t>
        </is>
      </c>
      <c r="G5209" s="12" t="inlineStr">
        <is>
          <t>JB-CHW pumps-AI01</t>
        </is>
      </c>
      <c r="H5209" s="12" t="inlineStr">
        <is>
          <t>CHW pumps</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12</v>
      </c>
      <c r="O5209" s="12" t="n">
        <v>1</v>
      </c>
      <c r="P5209" s="12" t="n"/>
      <c r="Q5209" s="12" t="n"/>
      <c r="R5209" s="12" t="n"/>
      <c r="S5209" s="12" t="inlineStr">
        <is>
          <t>Tray / conduit</t>
        </is>
      </c>
      <c r="T5209" s="16" t="n">
        <v>92</v>
      </c>
      <c r="U5209" s="16" t="n">
        <v>10</v>
      </c>
      <c r="V5209" s="16">
        <f>ROUNDUP((T5209+U5209+2*'Read Me'!$B$13)*(1+'Read Me'!$B$12),-1)</f>
        <v/>
      </c>
      <c r="W5209" s="16">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J-I-0002</t>
        </is>
      </c>
      <c r="B5210" s="12" t="inlineStr">
        <is>
          <t>J</t>
        </is>
      </c>
      <c r="C5210" s="12" t="inlineStr">
        <is>
          <t>GT inlet chilling</t>
        </is>
      </c>
      <c r="D5210" s="12" t="inlineStr">
        <is>
          <t>Home run JB-CHW pumps-AI01 to the control / marshalling room</t>
        </is>
      </c>
      <c r="E5210" s="12" t="inlineStr"/>
      <c r="F5210" s="12" t="inlineStr">
        <is>
          <t>Inlet-chilling e-house / transformer</t>
        </is>
      </c>
      <c r="G5210" s="12" t="inlineStr">
        <is>
          <t>JB-CHW pumps-AI01</t>
        </is>
      </c>
      <c r="H5210" s="12" t="inlineStr">
        <is>
          <t>CHW pumps</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J-I-0003</t>
        </is>
      </c>
      <c r="B5211" s="12" t="inlineStr">
        <is>
          <t>J</t>
        </is>
      </c>
      <c r="C5211" s="12" t="inlineStr">
        <is>
          <t>GT inlet chilling</t>
        </is>
      </c>
      <c r="D5211" s="12" t="inlineStr">
        <is>
          <t>Discrete device to JB JB-CHW pumps-DI01: 12 x 1 pr (field cables)</t>
        </is>
      </c>
      <c r="E5211" s="12" t="inlineStr"/>
      <c r="F5211" s="12" t="inlineStr">
        <is>
          <t>CHW pumps</t>
        </is>
      </c>
      <c r="G5211" s="12" t="inlineStr">
        <is>
          <t>JB-CHW pumps-DI01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6" t="n">
        <v>92</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J-I-0004</t>
        </is>
      </c>
      <c r="B5212" s="12" t="inlineStr">
        <is>
          <t>J</t>
        </is>
      </c>
      <c r="C5212" s="12" t="inlineStr">
        <is>
          <t>GT inlet chilling</t>
        </is>
      </c>
      <c r="D5212" s="12" t="inlineStr">
        <is>
          <t>Home run JB-CHW pumps-DI01 to the control / marshalling room</t>
        </is>
      </c>
      <c r="E5212" s="12" t="inlineStr"/>
      <c r="F5212" s="12" t="inlineStr">
        <is>
          <t>Inlet-chilling e-house / transformer</t>
        </is>
      </c>
      <c r="G5212" s="12" t="inlineStr">
        <is>
          <t>JB-CHW pumps-DI01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J-I-0005</t>
        </is>
      </c>
      <c r="B5213" s="12" t="inlineStr">
        <is>
          <t>J</t>
        </is>
      </c>
      <c r="C5213" s="12" t="inlineStr">
        <is>
          <t>GT inlet chilling</t>
        </is>
      </c>
      <c r="D5213" s="12" t="inlineStr">
        <is>
          <t>Analog instrument to JB JB-CONDITIONAL: TES c-AI01: 4 x 1 pr (field cables)</t>
        </is>
      </c>
      <c r="E5213" s="12" t="inlineStr"/>
      <c r="F5213" s="12" t="inlineStr">
        <is>
          <t>CONDITIONAL: TES chilled-water tank</t>
        </is>
      </c>
      <c r="G5213" s="12" t="inlineStr">
        <is>
          <t>JB-CONDITIONAL: TES c-AI01</t>
        </is>
      </c>
      <c r="H5213" s="12" t="inlineStr">
        <is>
          <t>CONDITIONAL: TES chilled-water tank</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4</v>
      </c>
      <c r="O5213" s="12" t="n">
        <v>1</v>
      </c>
      <c r="P5213" s="12" t="n"/>
      <c r="Q5213" s="12" t="n"/>
      <c r="R5213" s="12" t="n"/>
      <c r="S5213" s="12" t="inlineStr">
        <is>
          <t>Tray / conduit</t>
        </is>
      </c>
      <c r="T5213" s="16" t="n">
        <v>91</v>
      </c>
      <c r="U5213" s="16" t="n">
        <v>10</v>
      </c>
      <c r="V5213" s="16">
        <f>ROUNDUP((T5213+U5213+2*'Read Me'!$B$13)*(1+'Read Me'!$B$12),-1)</f>
        <v/>
      </c>
      <c r="W5213" s="16">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J-I-0006</t>
        </is>
      </c>
      <c r="B5214" s="12" t="inlineStr">
        <is>
          <t>J</t>
        </is>
      </c>
      <c r="C5214" s="12" t="inlineStr">
        <is>
          <t>GT inlet chilling</t>
        </is>
      </c>
      <c r="D5214" s="12" t="inlineStr">
        <is>
          <t>Home run JB-CONDITIONAL: TES c-AI01 to the control / marshalling room</t>
        </is>
      </c>
      <c r="E5214" s="12" t="inlineStr"/>
      <c r="F5214" s="12" t="inlineStr">
        <is>
          <t>Inlet-chilling e-house / transformer</t>
        </is>
      </c>
      <c r="G5214" s="12" t="inlineStr">
        <is>
          <t>JB-CONDITIONAL: TES c-AI01</t>
        </is>
      </c>
      <c r="H5214" s="12" t="inlineStr">
        <is>
          <t>CONDITIONAL: TES chilled-water tank</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J-I-0007</t>
        </is>
      </c>
      <c r="B5215" s="12" t="inlineStr">
        <is>
          <t>J</t>
        </is>
      </c>
      <c r="C5215" s="12" t="inlineStr">
        <is>
          <t>GT inlet chilling</t>
        </is>
      </c>
      <c r="D5215" s="12" t="inlineStr">
        <is>
          <t>Discrete device to JB JB-CONDITIONAL: TES c-DI01: 4 x 1 pr (field cables)</t>
        </is>
      </c>
      <c r="E5215" s="12" t="inlineStr"/>
      <c r="F5215" s="12" t="inlineStr">
        <is>
          <t>CONDITIONAL: TES chilled-water tank</t>
        </is>
      </c>
      <c r="G5215" s="12" t="inlineStr">
        <is>
          <t>JB-CONDITIONAL: TES c-DI01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6" t="n">
        <v>91</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J-I-0008</t>
        </is>
      </c>
      <c r="B5216" s="12" t="inlineStr">
        <is>
          <t>J</t>
        </is>
      </c>
      <c r="C5216" s="12" t="inlineStr">
        <is>
          <t>GT inlet chilling</t>
        </is>
      </c>
      <c r="D5216" s="12" t="inlineStr">
        <is>
          <t>Home run JB-CONDITIONAL: TES c-DI01 to the control / marshalling room</t>
        </is>
      </c>
      <c r="E5216" s="12" t="inlineStr"/>
      <c r="F5216" s="12" t="inlineStr">
        <is>
          <t>Inlet-chilling e-house / transformer</t>
        </is>
      </c>
      <c r="G5216" s="12" t="inlineStr">
        <is>
          <t>JB-CONDITIONAL: TES c-DI01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Duct bank</t>
        </is>
      </c>
      <c r="T5216" s="16" t="n">
        <v>271</v>
      </c>
      <c r="U5216" s="16" t="n">
        <v>217</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J-I-0009</t>
        </is>
      </c>
      <c r="B5217" s="12" t="inlineStr">
        <is>
          <t>J</t>
        </is>
      </c>
      <c r="C5217" s="12" t="inlineStr">
        <is>
          <t>GT inlet chilling</t>
        </is>
      </c>
      <c r="D5217" s="12" t="inlineStr">
        <is>
          <t>Analog instrument to JB JB-CW pumps (inlet ch-AI01: 20 x 1 pr (field cables)</t>
        </is>
      </c>
      <c r="E5217" s="12" t="inlineStr"/>
      <c r="F5217" s="12" t="inlineStr">
        <is>
          <t>CW pumps (inlet chilling)</t>
        </is>
      </c>
      <c r="G5217" s="12" t="inlineStr">
        <is>
          <t>JB-CW pumps (inlet ch-AI01</t>
        </is>
      </c>
      <c r="H5217" s="12" t="inlineStr">
        <is>
          <t>CW pumps (inlet chilling)</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J-I-0010</t>
        </is>
      </c>
      <c r="B5218" s="12" t="inlineStr">
        <is>
          <t>J</t>
        </is>
      </c>
      <c r="C5218" s="12" t="inlineStr">
        <is>
          <t>GT inlet chilling</t>
        </is>
      </c>
      <c r="D5218" s="12" t="inlineStr">
        <is>
          <t>Home run JB-CW pumps (inlet ch-AI01 to the control / marshalling room</t>
        </is>
      </c>
      <c r="E5218" s="12" t="inlineStr"/>
      <c r="F5218" s="12" t="inlineStr">
        <is>
          <t>Inlet-chilling e-house / transformer</t>
        </is>
      </c>
      <c r="G5218" s="12" t="inlineStr">
        <is>
          <t>JB-CW pumps (inlet ch-AI01</t>
        </is>
      </c>
      <c r="H5218" s="12" t="inlineStr">
        <is>
          <t>CW pumps (inlet chilling)</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0</v>
      </c>
      <c r="U5218" s="16" t="n">
        <v>70</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J-I-0011</t>
        </is>
      </c>
      <c r="B5219" s="12" t="inlineStr">
        <is>
          <t>J</t>
        </is>
      </c>
      <c r="C5219" s="12" t="inlineStr">
        <is>
          <t>GT inlet chilling</t>
        </is>
      </c>
      <c r="D5219" s="12" t="inlineStr">
        <is>
          <t>Analog instrument to JB JB-CW pumps (inlet ch-AI02: 4 x 1 pr (field cables)</t>
        </is>
      </c>
      <c r="E5219" s="12" t="inlineStr"/>
      <c r="F5219" s="12" t="inlineStr">
        <is>
          <t>CW pumps (inlet chilling)</t>
        </is>
      </c>
      <c r="G5219" s="12" t="inlineStr">
        <is>
          <t>JB-CW pumps (inlet ch-AI02</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92</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J-I-0012</t>
        </is>
      </c>
      <c r="B5220" s="12" t="inlineStr">
        <is>
          <t>J</t>
        </is>
      </c>
      <c r="C5220" s="12" t="inlineStr">
        <is>
          <t>GT inlet chilling</t>
        </is>
      </c>
      <c r="D5220" s="12" t="inlineStr">
        <is>
          <t>Home run JB-CW pumps (inlet ch-AI02 to the control / marshalling room</t>
        </is>
      </c>
      <c r="E5220" s="12" t="inlineStr"/>
      <c r="F5220" s="12" t="inlineStr">
        <is>
          <t>Inlet-chilling e-house / transformer</t>
        </is>
      </c>
      <c r="G5220" s="12" t="inlineStr">
        <is>
          <t>JB-CW pumps (inlet ch-AI02</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0</v>
      </c>
      <c r="U5220" s="16" t="n">
        <v>70</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J-I-0013</t>
        </is>
      </c>
      <c r="B5221" s="12" t="inlineStr">
        <is>
          <t>J</t>
        </is>
      </c>
      <c r="C5221" s="12" t="inlineStr">
        <is>
          <t>GT inlet chilling</t>
        </is>
      </c>
      <c r="D5221" s="12" t="inlineStr">
        <is>
          <t>Discrete device to JB JB-CW pumps (inlet ch-DI01: 20 x 1 pr (field cables)</t>
        </is>
      </c>
      <c r="E5221" s="12" t="inlineStr"/>
      <c r="F5221" s="12" t="inlineStr">
        <is>
          <t>CW pumps (inlet chilling)</t>
        </is>
      </c>
      <c r="G5221" s="12" t="inlineStr">
        <is>
          <t>JB-CW pumps (inlet ch-DI01</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6" t="n">
        <v>92</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J-I-0014</t>
        </is>
      </c>
      <c r="B5222" s="12" t="inlineStr">
        <is>
          <t>J</t>
        </is>
      </c>
      <c r="C5222" s="12" t="inlineStr">
        <is>
          <t>GT inlet chilling</t>
        </is>
      </c>
      <c r="D5222" s="12" t="inlineStr">
        <is>
          <t>Home run JB-CW pumps (inlet ch-DI01 to the control / marshalling room</t>
        </is>
      </c>
      <c r="E5222" s="12" t="inlineStr"/>
      <c r="F5222" s="12" t="inlineStr">
        <is>
          <t>Inlet-chilling e-house / transformer</t>
        </is>
      </c>
      <c r="G5222" s="12" t="inlineStr">
        <is>
          <t>JB-CW pumps (inlet ch-DI01</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0</v>
      </c>
      <c r="U5222" s="16" t="n">
        <v>70</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J-I-0015</t>
        </is>
      </c>
      <c r="B5223" s="12" t="inlineStr">
        <is>
          <t>J</t>
        </is>
      </c>
      <c r="C5223" s="12" t="inlineStr">
        <is>
          <t>GT inlet chilling</t>
        </is>
      </c>
      <c r="D5223" s="12" t="inlineStr">
        <is>
          <t>Discrete device to JB JB-CW pumps (inlet ch-DI02: 4 x 1 pr (field cables)</t>
        </is>
      </c>
      <c r="E5223" s="12" t="inlineStr"/>
      <c r="F5223" s="12" t="inlineStr">
        <is>
          <t>CW pumps (inlet chilling)</t>
        </is>
      </c>
      <c r="G5223" s="12" t="inlineStr">
        <is>
          <t>JB-CW pumps (inlet ch-DI02</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4</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J-I-0016</t>
        </is>
      </c>
      <c r="B5224" s="12" t="inlineStr">
        <is>
          <t>J</t>
        </is>
      </c>
      <c r="C5224" s="12" t="inlineStr">
        <is>
          <t>GT inlet chilling</t>
        </is>
      </c>
      <c r="D5224" s="12" t="inlineStr">
        <is>
          <t>Home run JB-CW pumps (inlet ch-DI02 to the control / marshalling room</t>
        </is>
      </c>
      <c r="E5224" s="12" t="inlineStr"/>
      <c r="F5224" s="12" t="inlineStr">
        <is>
          <t>Inlet-chilling e-house / transformer</t>
        </is>
      </c>
      <c r="G5224" s="12" t="inlineStr">
        <is>
          <t>JB-CW pumps (inlet ch-DI02</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J-I-0017</t>
        </is>
      </c>
      <c r="B5225" s="12" t="inlineStr">
        <is>
          <t>J</t>
        </is>
      </c>
      <c r="C5225" s="12" t="inlineStr">
        <is>
          <t>GT inlet chilling</t>
        </is>
      </c>
      <c r="D5225" s="12" t="inlineStr">
        <is>
          <t>Analog instrument to JB JB-Chillers x6 (water-AI01: 20 x 1 pr (field cables)</t>
        </is>
      </c>
      <c r="E5225" s="12" t="inlineStr"/>
      <c r="F5225" s="12" t="inlineStr">
        <is>
          <t>Chillers x6 (water-cooled)</t>
        </is>
      </c>
      <c r="G5225" s="12" t="inlineStr">
        <is>
          <t>JB-Chillers x6 (water-AI01</t>
        </is>
      </c>
      <c r="H5225" s="12" t="inlineStr">
        <is>
          <t>Chillers x6 (water-cooled)</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6" t="n">
        <v>190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J-I-0018</t>
        </is>
      </c>
      <c r="B5226" s="12" t="inlineStr">
        <is>
          <t>J</t>
        </is>
      </c>
      <c r="C5226" s="12" t="inlineStr">
        <is>
          <t>GT inlet chilling</t>
        </is>
      </c>
      <c r="D5226" s="12" t="inlineStr">
        <is>
          <t>Home run JB-Chillers x6 (water-AI01 to the control / marshalling room</t>
        </is>
      </c>
      <c r="E5226" s="12" t="inlineStr"/>
      <c r="F5226" s="12" t="inlineStr">
        <is>
          <t>Inlet-chilling e-house / transformer</t>
        </is>
      </c>
      <c r="G5226" s="12" t="inlineStr">
        <is>
          <t>JB-Chillers x6 (water-AI01</t>
        </is>
      </c>
      <c r="H5226" s="12" t="inlineStr">
        <is>
          <t>Chillers x6 (water-cooled)</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Duct bank</t>
        </is>
      </c>
      <c r="T5226" s="16" t="n">
        <v>10</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J-I-0019</t>
        </is>
      </c>
      <c r="B5227" s="12" t="inlineStr">
        <is>
          <t>J</t>
        </is>
      </c>
      <c r="C5227" s="12" t="inlineStr">
        <is>
          <t>GT inlet chilling</t>
        </is>
      </c>
      <c r="D5227" s="12" t="inlineStr">
        <is>
          <t>Analog instrument to JB JB-Chillers x6 (water-AI02: 20 x 1 pr (field cables)</t>
        </is>
      </c>
      <c r="E5227" s="12" t="inlineStr"/>
      <c r="F5227" s="12" t="inlineStr">
        <is>
          <t>Chillers x6 (water-cooled)</t>
        </is>
      </c>
      <c r="G5227" s="12" t="inlineStr">
        <is>
          <t>JB-Chillers x6 (water-AI02</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190</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J-I-0020</t>
        </is>
      </c>
      <c r="B5228" s="12" t="inlineStr">
        <is>
          <t>J</t>
        </is>
      </c>
      <c r="C5228" s="12" t="inlineStr">
        <is>
          <t>GT inlet chilling</t>
        </is>
      </c>
      <c r="D5228" s="12" t="inlineStr">
        <is>
          <t>Home run JB-Chillers x6 (water-AI02 to the control / marshalling room</t>
        </is>
      </c>
      <c r="E5228" s="12" t="inlineStr"/>
      <c r="F5228" s="12" t="inlineStr">
        <is>
          <t>Inlet-chilling e-house / transformer</t>
        </is>
      </c>
      <c r="G5228" s="12" t="inlineStr">
        <is>
          <t>JB-Chillers x6 (water-AI02</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6" t="n">
        <v>10</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J-I-0021</t>
        </is>
      </c>
      <c r="B5229" s="12" t="inlineStr">
        <is>
          <t>J</t>
        </is>
      </c>
      <c r="C5229" s="12" t="inlineStr">
        <is>
          <t>GT inlet chilling</t>
        </is>
      </c>
      <c r="D5229" s="12" t="inlineStr">
        <is>
          <t>Analog instrument to JB JB-Chillers x6 (water-AI03: 20 x 1 pr (field cables)</t>
        </is>
      </c>
      <c r="E5229" s="12" t="inlineStr"/>
      <c r="F5229" s="12" t="inlineStr">
        <is>
          <t>Chillers x6 (water-cooled)</t>
        </is>
      </c>
      <c r="G5229" s="12" t="inlineStr">
        <is>
          <t>JB-Chillers x6 (water-AI03</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6" t="n">
        <v>190</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J-I-0022</t>
        </is>
      </c>
      <c r="B5230" s="12" t="inlineStr">
        <is>
          <t>J</t>
        </is>
      </c>
      <c r="C5230" s="12" t="inlineStr">
        <is>
          <t>GT inlet chilling</t>
        </is>
      </c>
      <c r="D5230" s="12" t="inlineStr">
        <is>
          <t>Home run JB-Chillers x6 (water-AI03 to the control / marshalling room</t>
        </is>
      </c>
      <c r="E5230" s="12" t="inlineStr"/>
      <c r="F5230" s="12" t="inlineStr">
        <is>
          <t>Inlet-chilling e-house / transformer</t>
        </is>
      </c>
      <c r="G5230" s="12" t="inlineStr">
        <is>
          <t>JB-Chillers x6 (water-AI03</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6" t="n">
        <v>10</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J-I-0023</t>
        </is>
      </c>
      <c r="B5231" s="12" t="inlineStr">
        <is>
          <t>J</t>
        </is>
      </c>
      <c r="C5231" s="12" t="inlineStr">
        <is>
          <t>GT inlet chilling</t>
        </is>
      </c>
      <c r="D5231" s="12" t="inlineStr">
        <is>
          <t>Analog instrument to JB JB-Chillers x6 (water-AI04: 20 x 1 pr (field cables)</t>
        </is>
      </c>
      <c r="E5231" s="12" t="inlineStr"/>
      <c r="F5231" s="12" t="inlineStr">
        <is>
          <t>Chillers x6 (water-cooled)</t>
        </is>
      </c>
      <c r="G5231" s="12" t="inlineStr">
        <is>
          <t>JB-Chillers x6 (water-AI04</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J-I-0024</t>
        </is>
      </c>
      <c r="B5232" s="12" t="inlineStr">
        <is>
          <t>J</t>
        </is>
      </c>
      <c r="C5232" s="12" t="inlineStr">
        <is>
          <t>GT inlet chilling</t>
        </is>
      </c>
      <c r="D5232" s="12" t="inlineStr">
        <is>
          <t>Home run JB-Chillers x6 (water-AI04 to the control / marshalling room</t>
        </is>
      </c>
      <c r="E5232" s="12" t="inlineStr"/>
      <c r="F5232" s="12" t="inlineStr">
        <is>
          <t>Inlet-chilling e-house / transformer</t>
        </is>
      </c>
      <c r="G5232" s="12" t="inlineStr">
        <is>
          <t>JB-Chillers x6 (water-AI04</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J-I-0025</t>
        </is>
      </c>
      <c r="B5233" s="12" t="inlineStr">
        <is>
          <t>J</t>
        </is>
      </c>
      <c r="C5233" s="12" t="inlineStr">
        <is>
          <t>GT inlet chilling</t>
        </is>
      </c>
      <c r="D5233" s="12" t="inlineStr">
        <is>
          <t>Analog instrument to JB JB-Chillers x6 (water-AI05: 20 x 1 pr (field cables)</t>
        </is>
      </c>
      <c r="E5233" s="12" t="inlineStr"/>
      <c r="F5233" s="12" t="inlineStr">
        <is>
          <t>Chillers x6 (water-cooled)</t>
        </is>
      </c>
      <c r="G5233" s="12" t="inlineStr">
        <is>
          <t>JB-Chillers x6 (water-AI05</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J-I-0026</t>
        </is>
      </c>
      <c r="B5234" s="12" t="inlineStr">
        <is>
          <t>J</t>
        </is>
      </c>
      <c r="C5234" s="12" t="inlineStr">
        <is>
          <t>GT inlet chilling</t>
        </is>
      </c>
      <c r="D5234" s="12" t="inlineStr">
        <is>
          <t>Home run JB-Chillers x6 (water-AI05 to the control / marshalling room</t>
        </is>
      </c>
      <c r="E5234" s="12" t="inlineStr"/>
      <c r="F5234" s="12" t="inlineStr">
        <is>
          <t>Inlet-chilling e-house / transformer</t>
        </is>
      </c>
      <c r="G5234" s="12" t="inlineStr">
        <is>
          <t>JB-Chillers x6 (water-AI05</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J-I-0027</t>
        </is>
      </c>
      <c r="B5235" s="12" t="inlineStr">
        <is>
          <t>J</t>
        </is>
      </c>
      <c r="C5235" s="12" t="inlineStr">
        <is>
          <t>GT inlet chilling</t>
        </is>
      </c>
      <c r="D5235" s="12" t="inlineStr">
        <is>
          <t>Analog instrument to JB JB-Chillers x6 (water-AI06: 20 x 1 pr (field cables)</t>
        </is>
      </c>
      <c r="E5235" s="12" t="inlineStr"/>
      <c r="F5235" s="12" t="inlineStr">
        <is>
          <t>Chillers x6 (water-cooled)</t>
        </is>
      </c>
      <c r="G5235" s="12" t="inlineStr">
        <is>
          <t>JB-Chillers x6 (water-AI06</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J-I-0028</t>
        </is>
      </c>
      <c r="B5236" s="12" t="inlineStr">
        <is>
          <t>J</t>
        </is>
      </c>
      <c r="C5236" s="12" t="inlineStr">
        <is>
          <t>GT inlet chilling</t>
        </is>
      </c>
      <c r="D5236" s="12" t="inlineStr">
        <is>
          <t>Home run JB-Chillers x6 (water-AI06 to the control / marshalling room</t>
        </is>
      </c>
      <c r="E5236" s="12" t="inlineStr"/>
      <c r="F5236" s="12" t="inlineStr">
        <is>
          <t>Inlet-chilling e-house / transformer</t>
        </is>
      </c>
      <c r="G5236" s="12" t="inlineStr">
        <is>
          <t>JB-Chillers x6 (water-AI06</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J-I-0029</t>
        </is>
      </c>
      <c r="B5237" s="12" t="inlineStr">
        <is>
          <t>J</t>
        </is>
      </c>
      <c r="C5237" s="12" t="inlineStr">
        <is>
          <t>GT inlet chilling</t>
        </is>
      </c>
      <c r="D5237" s="12" t="inlineStr">
        <is>
          <t>Discrete device to JB JB-Chillers x6 (water-DI01: 20 x 1 pr (field cables)</t>
        </is>
      </c>
      <c r="E5237" s="12" t="inlineStr"/>
      <c r="F5237" s="12" t="inlineStr">
        <is>
          <t>Chillers x6 (water-cooled)</t>
        </is>
      </c>
      <c r="G5237" s="12" t="inlineStr">
        <is>
          <t>JB-Chillers x6 (water-DI01</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J-I-0030</t>
        </is>
      </c>
      <c r="B5238" s="12" t="inlineStr">
        <is>
          <t>J</t>
        </is>
      </c>
      <c r="C5238" s="12" t="inlineStr">
        <is>
          <t>GT inlet chilling</t>
        </is>
      </c>
      <c r="D5238" s="12" t="inlineStr">
        <is>
          <t>Home run JB-Chillers x6 (water-DI01 to the control / marshalling room</t>
        </is>
      </c>
      <c r="E5238" s="12" t="inlineStr"/>
      <c r="F5238" s="12" t="inlineStr">
        <is>
          <t>Inlet-chilling e-house / transformer</t>
        </is>
      </c>
      <c r="G5238" s="12" t="inlineStr">
        <is>
          <t>JB-Chillers x6 (water-DI01</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J-I-0031</t>
        </is>
      </c>
      <c r="B5239" s="12" t="inlineStr">
        <is>
          <t>J</t>
        </is>
      </c>
      <c r="C5239" s="12" t="inlineStr">
        <is>
          <t>GT inlet chilling</t>
        </is>
      </c>
      <c r="D5239" s="12" t="inlineStr">
        <is>
          <t>Discrete device to JB JB-Chillers x6 (water-DI02: 20 x 1 pr (field cables)</t>
        </is>
      </c>
      <c r="E5239" s="12" t="inlineStr"/>
      <c r="F5239" s="12" t="inlineStr">
        <is>
          <t>Chillers x6 (water-cooled)</t>
        </is>
      </c>
      <c r="G5239" s="12" t="inlineStr">
        <is>
          <t>JB-Chillers x6 (water-DI02</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J-I-0032</t>
        </is>
      </c>
      <c r="B5240" s="12" t="inlineStr">
        <is>
          <t>J</t>
        </is>
      </c>
      <c r="C5240" s="12" t="inlineStr">
        <is>
          <t>GT inlet chilling</t>
        </is>
      </c>
      <c r="D5240" s="12" t="inlineStr">
        <is>
          <t>Home run JB-Chillers x6 (water-DI02 to the control / marshalling room</t>
        </is>
      </c>
      <c r="E5240" s="12" t="inlineStr"/>
      <c r="F5240" s="12" t="inlineStr">
        <is>
          <t>Inlet-chilling e-house / transformer</t>
        </is>
      </c>
      <c r="G5240" s="12" t="inlineStr">
        <is>
          <t>JB-Chillers x6 (water-DI02</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J-I-0033</t>
        </is>
      </c>
      <c r="B5241" s="12" t="inlineStr">
        <is>
          <t>J</t>
        </is>
      </c>
      <c r="C5241" s="12" t="inlineStr">
        <is>
          <t>GT inlet chilling</t>
        </is>
      </c>
      <c r="D5241" s="12" t="inlineStr">
        <is>
          <t>Discrete device to JB JB-Chillers x6 (water-DI03: 20 x 1 pr (field cables)</t>
        </is>
      </c>
      <c r="E5241" s="12" t="inlineStr"/>
      <c r="F5241" s="12" t="inlineStr">
        <is>
          <t>Chillers x6 (water-cooled)</t>
        </is>
      </c>
      <c r="G5241" s="12" t="inlineStr">
        <is>
          <t>JB-Chillers x6 (water-DI03</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J-I-0034</t>
        </is>
      </c>
      <c r="B5242" s="12" t="inlineStr">
        <is>
          <t>J</t>
        </is>
      </c>
      <c r="C5242" s="12" t="inlineStr">
        <is>
          <t>GT inlet chilling</t>
        </is>
      </c>
      <c r="D5242" s="12" t="inlineStr">
        <is>
          <t>Home run JB-Chillers x6 (water-DI03 to the control / marshalling room</t>
        </is>
      </c>
      <c r="E5242" s="12" t="inlineStr"/>
      <c r="F5242" s="12" t="inlineStr">
        <is>
          <t>Inlet-chilling e-house / transformer</t>
        </is>
      </c>
      <c r="G5242" s="12" t="inlineStr">
        <is>
          <t>JB-Chillers x6 (water-DI03</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J-I-0035</t>
        </is>
      </c>
      <c r="B5243" s="12" t="inlineStr">
        <is>
          <t>J</t>
        </is>
      </c>
      <c r="C5243" s="12" t="inlineStr">
        <is>
          <t>GT inlet chilling</t>
        </is>
      </c>
      <c r="D5243" s="12" t="inlineStr">
        <is>
          <t>Discrete device to JB JB-Chillers x6 (water-DI04: 20 x 1 pr (field cables)</t>
        </is>
      </c>
      <c r="E5243" s="12" t="inlineStr"/>
      <c r="F5243" s="12" t="inlineStr">
        <is>
          <t>Chillers x6 (water-cooled)</t>
        </is>
      </c>
      <c r="G5243" s="12" t="inlineStr">
        <is>
          <t>JB-Chillers x6 (water-DI04</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J-I-0036</t>
        </is>
      </c>
      <c r="B5244" s="12" t="inlineStr">
        <is>
          <t>J</t>
        </is>
      </c>
      <c r="C5244" s="12" t="inlineStr">
        <is>
          <t>GT inlet chilling</t>
        </is>
      </c>
      <c r="D5244" s="12" t="inlineStr">
        <is>
          <t>Home run JB-Chillers x6 (water-DI04 to the control / marshalling room</t>
        </is>
      </c>
      <c r="E5244" s="12" t="inlineStr"/>
      <c r="F5244" s="12" t="inlineStr">
        <is>
          <t>Inlet-chilling e-house / transformer</t>
        </is>
      </c>
      <c r="G5244" s="12" t="inlineStr">
        <is>
          <t>JB-Chillers x6 (water-DI04</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J-I-0037</t>
        </is>
      </c>
      <c r="B5245" s="12" t="inlineStr">
        <is>
          <t>J</t>
        </is>
      </c>
      <c r="C5245" s="12" t="inlineStr">
        <is>
          <t>GT inlet chilling</t>
        </is>
      </c>
      <c r="D5245" s="12" t="inlineStr">
        <is>
          <t>Discrete device to JB JB-Chillers x6 (water-DI05: 20 x 1 pr (field cables)</t>
        </is>
      </c>
      <c r="E5245" s="12" t="inlineStr"/>
      <c r="F5245" s="12" t="inlineStr">
        <is>
          <t>Chillers x6 (water-cooled)</t>
        </is>
      </c>
      <c r="G5245" s="12" t="inlineStr">
        <is>
          <t>JB-Chillers x6 (water-DI05</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J-I-0038</t>
        </is>
      </c>
      <c r="B5246" s="12" t="inlineStr">
        <is>
          <t>J</t>
        </is>
      </c>
      <c r="C5246" s="12" t="inlineStr">
        <is>
          <t>GT inlet chilling</t>
        </is>
      </c>
      <c r="D5246" s="12" t="inlineStr">
        <is>
          <t>Home run JB-Chillers x6 (water-DI05 to the control / marshalling room</t>
        </is>
      </c>
      <c r="E5246" s="12" t="inlineStr"/>
      <c r="F5246" s="12" t="inlineStr">
        <is>
          <t>Inlet-chilling e-house / transformer</t>
        </is>
      </c>
      <c r="G5246" s="12" t="inlineStr">
        <is>
          <t>JB-Chillers x6 (water-DI05</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J-I-0039</t>
        </is>
      </c>
      <c r="B5247" s="12" t="inlineStr">
        <is>
          <t>J</t>
        </is>
      </c>
      <c r="C5247" s="12" t="inlineStr">
        <is>
          <t>GT inlet chilling</t>
        </is>
      </c>
      <c r="D5247" s="12" t="inlineStr">
        <is>
          <t>Discrete device to JB JB-Chillers x6 (water-DI06: 20 x 1 pr (field cables)</t>
        </is>
      </c>
      <c r="E5247" s="12" t="inlineStr"/>
      <c r="F5247" s="12" t="inlineStr">
        <is>
          <t>Chillers x6 (water-cooled)</t>
        </is>
      </c>
      <c r="G5247" s="12" t="inlineStr">
        <is>
          <t>JB-Chillers x6 (water-DI06</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J-I-0040</t>
        </is>
      </c>
      <c r="B5248" s="12" t="inlineStr">
        <is>
          <t>J</t>
        </is>
      </c>
      <c r="C5248" s="12" t="inlineStr">
        <is>
          <t>GT inlet chilling</t>
        </is>
      </c>
      <c r="D5248" s="12" t="inlineStr">
        <is>
          <t>Home run JB-Chillers x6 (water-DI06 to the control / marshalling room</t>
        </is>
      </c>
      <c r="E5248" s="12" t="inlineStr"/>
      <c r="F5248" s="12" t="inlineStr">
        <is>
          <t>Inlet-chilling e-house / transformer</t>
        </is>
      </c>
      <c r="G5248" s="12" t="inlineStr">
        <is>
          <t>JB-Chillers x6 (water-DI06</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J-I-0041</t>
        </is>
      </c>
      <c r="B5249" s="12" t="inlineStr">
        <is>
          <t>J</t>
        </is>
      </c>
      <c r="C5249" s="12" t="inlineStr">
        <is>
          <t>GT inlet chilling</t>
        </is>
      </c>
      <c r="D5249" s="12" t="inlineStr">
        <is>
          <t>Instrumentation</t>
        </is>
      </c>
      <c r="E5249" s="12" t="inlineStr"/>
      <c r="F5249" s="12" t="inlineStr">
        <is>
          <t>Inlet-chilling e-house / transformer</t>
        </is>
      </c>
      <c r="G5249" s="12" t="inlineStr"/>
      <c r="H5249" s="12" t="inlineStr">
        <is>
          <t>Inlet-chilling e-house / transformer</t>
        </is>
      </c>
      <c r="I5249" s="12" t="inlineStr">
        <is>
          <t>Instrumentation</t>
        </is>
      </c>
      <c r="J5249" s="12" t="inlineStr">
        <is>
          <t>Instrumentation PLTC / TC-ER 300 V, #18 twisted shielded pairs, overall shield</t>
        </is>
      </c>
      <c r="K5249" s="12" t="inlineStr">
        <is>
          <t>PLTC|4 pr|18</t>
        </is>
      </c>
      <c r="L5249" s="12" t="inlineStr">
        <is>
          <t>4 pr</t>
        </is>
      </c>
      <c r="M5249" s="12" t="inlineStr">
        <is>
          <t>18</t>
        </is>
      </c>
      <c r="N5249" s="12" t="n">
        <v>1</v>
      </c>
      <c r="O5249" s="12" t="n">
        <v>1</v>
      </c>
      <c r="P5249" s="12" t="n"/>
      <c r="Q5249" s="12" t="n"/>
      <c r="R5249" s="12" t="n"/>
      <c r="S5249" s="12" t="inlineStr">
        <is>
          <t>Tray</t>
        </is>
      </c>
      <c r="T5249" s="16" t="n">
        <v>0</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J-I-0042</t>
        </is>
      </c>
      <c r="B5250" s="12" t="inlineStr">
        <is>
          <t>J</t>
        </is>
      </c>
      <c r="C5250" s="12" t="inlineStr">
        <is>
          <t>GT inlet chilling</t>
        </is>
      </c>
      <c r="D5250" s="12" t="inlineStr">
        <is>
          <t>Analog instrument to JB JB-Inlet-chilling tow-AI01: 12 x 1 pr (field cables)</t>
        </is>
      </c>
      <c r="E5250" s="12" t="inlineStr"/>
      <c r="F5250" s="12" t="inlineStr">
        <is>
          <t>Inlet-chilling tower (12 cells): chiller heat rejection</t>
        </is>
      </c>
      <c r="G5250" s="12" t="inlineStr">
        <is>
          <t>JB-Inlet-chilling tow-AI01</t>
        </is>
      </c>
      <c r="H5250" s="12" t="inlineStr">
        <is>
          <t>Inlet-chilling tower (12 cells): chiller heat rejection</t>
        </is>
      </c>
      <c r="I5250" s="12" t="inlineStr">
        <is>
          <t>Instrumentation</t>
        </is>
      </c>
      <c r="J5250" s="12" t="inlineStr">
        <is>
          <t>Instrumentation PLTC / TC-ER 300 V, #18 twisted shielded pairs, overall shield</t>
        </is>
      </c>
      <c r="K5250" s="12" t="inlineStr">
        <is>
          <t>PLTC|1 pr|16</t>
        </is>
      </c>
      <c r="L5250" s="12" t="inlineStr">
        <is>
          <t>1 pr</t>
        </is>
      </c>
      <c r="M5250" s="12" t="inlineStr">
        <is>
          <t>16</t>
        </is>
      </c>
      <c r="N5250" s="12" t="n">
        <v>12</v>
      </c>
      <c r="O5250" s="12" t="n">
        <v>1</v>
      </c>
      <c r="P5250" s="12" t="n"/>
      <c r="Q5250" s="12" t="n"/>
      <c r="R5250" s="12" t="n"/>
      <c r="S5250" s="12" t="inlineStr">
        <is>
          <t>Tray / conduit</t>
        </is>
      </c>
      <c r="T5250" s="16" t="n">
        <v>205</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J-I-0043</t>
        </is>
      </c>
      <c r="B5251" s="12" t="inlineStr">
        <is>
          <t>J</t>
        </is>
      </c>
      <c r="C5251" s="12" t="inlineStr">
        <is>
          <t>GT inlet chilling</t>
        </is>
      </c>
      <c r="D5251" s="12" t="inlineStr">
        <is>
          <t>Home run JB-Inlet-chilling tow-AI01 to the control / marshalling room</t>
        </is>
      </c>
      <c r="E5251" s="12" t="inlineStr"/>
      <c r="F5251" s="12" t="inlineStr">
        <is>
          <t>Inlet-chilling e-house / transformer</t>
        </is>
      </c>
      <c r="G5251" s="12" t="inlineStr">
        <is>
          <t>JB-Inlet-chilling tow-AI01</t>
        </is>
      </c>
      <c r="H5251" s="12" t="inlineStr">
        <is>
          <t>Inlet-chilling tower (12 cells): chiller heat rejection</t>
        </is>
      </c>
      <c r="I5251" s="12" t="inlineStr">
        <is>
          <t>Instrumentation</t>
        </is>
      </c>
      <c r="J5251" s="12" t="inlineStr">
        <is>
          <t>Instrumentation PLTC / TC-ER 300 V, #18 twisted shielded pairs, overall shield</t>
        </is>
      </c>
      <c r="K5251" s="12" t="inlineStr">
        <is>
          <t>PLTC|24 pr|18</t>
        </is>
      </c>
      <c r="L5251" s="12" t="inlineStr">
        <is>
          <t>24 pr</t>
        </is>
      </c>
      <c r="M5251" s="12" t="inlineStr">
        <is>
          <t>18</t>
        </is>
      </c>
      <c r="N5251" s="12" t="n">
        <v>1</v>
      </c>
      <c r="O5251" s="12" t="n">
        <v>1</v>
      </c>
      <c r="P5251" s="12" t="n"/>
      <c r="Q5251" s="12" t="n"/>
      <c r="R5251" s="12" t="n"/>
      <c r="S5251" s="12" t="inlineStr">
        <is>
          <t>Duct bank</t>
        </is>
      </c>
      <c r="T5251" s="16" t="n">
        <v>478</v>
      </c>
      <c r="U5251" s="16" t="n">
        <v>38</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J-I-0044</t>
        </is>
      </c>
      <c r="B5252" s="12" t="inlineStr">
        <is>
          <t>J</t>
        </is>
      </c>
      <c r="C5252" s="12" t="inlineStr">
        <is>
          <t>GT inlet chilling</t>
        </is>
      </c>
      <c r="D5252" s="12" t="inlineStr">
        <is>
          <t>Discrete device to JB JB-Inlet-chilling tow-DI01: 20 x 1 pr (field cables)</t>
        </is>
      </c>
      <c r="E5252" s="12" t="inlineStr"/>
      <c r="F5252" s="12" t="inlineStr">
        <is>
          <t>Inlet-chilling tower (12 cells): chiller heat rejection</t>
        </is>
      </c>
      <c r="G5252" s="12" t="inlineStr">
        <is>
          <t>JB-Inlet-chilling tow-DI01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20</v>
      </c>
      <c r="O5252" s="12" t="n">
        <v>1</v>
      </c>
      <c r="P5252" s="12" t="n"/>
      <c r="Q5252" s="12" t="n"/>
      <c r="R5252" s="12" t="n"/>
      <c r="S5252" s="12" t="inlineStr">
        <is>
          <t>Tray / conduit</t>
        </is>
      </c>
      <c r="T5252" s="16" t="n">
        <v>205</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J-I-0045</t>
        </is>
      </c>
      <c r="B5253" s="12" t="inlineStr">
        <is>
          <t>J</t>
        </is>
      </c>
      <c r="C5253" s="12" t="inlineStr">
        <is>
          <t>GT inlet chilling</t>
        </is>
      </c>
      <c r="D5253" s="12" t="inlineStr">
        <is>
          <t>Home run JB-Inlet-chilling tow-DI01 to the control / marshalling room</t>
        </is>
      </c>
      <c r="E5253" s="12" t="inlineStr"/>
      <c r="F5253" s="12" t="inlineStr">
        <is>
          <t>Inlet-chilling e-house / transformer</t>
        </is>
      </c>
      <c r="G5253" s="12" t="inlineStr">
        <is>
          <t>JB-Inlet-chilling tow-DI01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Duct bank</t>
        </is>
      </c>
      <c r="T5253" s="16" t="n">
        <v>478</v>
      </c>
      <c r="U5253" s="16" t="n">
        <v>38</v>
      </c>
      <c r="V5253" s="16">
        <f>ROUNDUP((T5253+U5253+2*'Read Me'!$B$13)*(1+'Read Me'!$B$12),-1)</f>
        <v/>
      </c>
      <c r="W5253" s="16">
        <f>V5253*N5253*O5253</f>
        <v/>
      </c>
      <c r="X5253" s="12">
        <f>IF(LEFT(I5253,2)="MV",2*N5253*IF(L5253="1/C",O5253,1),0)</f>
        <v/>
      </c>
      <c r="Y5253" s="12">
        <f>IF(OR(LEFT(K5253,4)="LVAX",LEFT(K5253,6)="MV15AX",LEFT(K5253,4)="CTAX",LEFT(K5253,2)="W|"),2*N5253*O5253,0)</f>
        <v/>
      </c>
      <c r="Z5253" s="12" t="inlineStr"/>
      <c r="AA5253" s="12">
        <f>N5253*O5253</f>
        <v/>
      </c>
    </row>
    <row r="5254">
      <c r="A5254" s="12" t="inlineStr">
        <is>
          <t>J-I-0046</t>
        </is>
      </c>
      <c r="B5254" s="12" t="inlineStr">
        <is>
          <t>J</t>
        </is>
      </c>
      <c r="C5254" s="12" t="inlineStr">
        <is>
          <t>GT inlet chilling</t>
        </is>
      </c>
      <c r="D5254" s="12" t="inlineStr">
        <is>
          <t>Discrete device to JB JB-Inlet-chilling tow-DI02: 4 x 1 pr (field cables)</t>
        </is>
      </c>
      <c r="E5254" s="12" t="inlineStr"/>
      <c r="F5254" s="12" t="inlineStr">
        <is>
          <t>Inlet-chilling tower (12 cells): chiller heat rejection</t>
        </is>
      </c>
      <c r="G5254" s="12" t="inlineStr">
        <is>
          <t>JB-Inlet-chilling tow-DI02</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4</v>
      </c>
      <c r="O5254" s="12" t="n">
        <v>1</v>
      </c>
      <c r="P5254" s="12" t="n"/>
      <c r="Q5254" s="12" t="n"/>
      <c r="R5254" s="12" t="n"/>
      <c r="S5254" s="12" t="inlineStr">
        <is>
          <t>Tray / conduit</t>
        </is>
      </c>
      <c r="T5254" s="16" t="n">
        <v>205</v>
      </c>
      <c r="U5254" s="16" t="n">
        <v>10</v>
      </c>
      <c r="V5254" s="16">
        <f>ROUNDUP((T5254+U5254+2*'Read Me'!$B$13)*(1+'Read Me'!$B$12),-1)</f>
        <v/>
      </c>
      <c r="W5254" s="16">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J-I-0047</t>
        </is>
      </c>
      <c r="B5255" s="12" t="inlineStr">
        <is>
          <t>J</t>
        </is>
      </c>
      <c r="C5255" s="12" t="inlineStr">
        <is>
          <t>GT inlet chilling</t>
        </is>
      </c>
      <c r="D5255" s="12" t="inlineStr">
        <is>
          <t>Home run JB-Inlet-chilling tow-DI02 to the control / marshalling room</t>
        </is>
      </c>
      <c r="E5255" s="12" t="inlineStr"/>
      <c r="F5255" s="12" t="inlineStr">
        <is>
          <t>Inlet-chilling e-house / transformer</t>
        </is>
      </c>
      <c r="G5255" s="12" t="inlineStr">
        <is>
          <t>JB-Inlet-chilling tow-DI02</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Duct bank</t>
        </is>
      </c>
      <c r="T5255" s="16" t="n">
        <v>478</v>
      </c>
      <c r="U5255" s="16" t="n">
        <v>38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J-P-0001</t>
        </is>
      </c>
      <c r="B5256" s="12" t="inlineStr">
        <is>
          <t>J</t>
        </is>
      </c>
      <c r="C5256" s="12" t="inlineStr">
        <is>
          <t>GT inlet chilling</t>
        </is>
      </c>
      <c r="D5256" s="12" t="inlineStr">
        <is>
          <t>Motor 1 of 4, 150 kW</t>
        </is>
      </c>
      <c r="E5256" s="12" t="inlineStr"/>
      <c r="F5256" s="12" t="inlineStr">
        <is>
          <t>Inlet-chilling e-house / transformer</t>
        </is>
      </c>
      <c r="G5256" s="12" t="inlineStr"/>
      <c r="H5256" s="12" t="inlineStr">
        <is>
          <t>CHW pumps</t>
        </is>
      </c>
      <c r="I5256" s="12" t="inlineStr">
        <is>
          <t>LV 600 V</t>
        </is>
      </c>
      <c r="J5256" s="12" t="inlineStr">
        <is>
          <t>Type TC-ER 600 V 3/C Cu XHHW-2 + ground, PVC jacket</t>
        </is>
      </c>
      <c r="K5256" s="12" t="inlineStr">
        <is>
          <t>LV|3/C+G|350</t>
        </is>
      </c>
      <c r="L5256" s="12" t="inlineStr">
        <is>
          <t>3/C+G</t>
        </is>
      </c>
      <c r="M5256" s="12" t="inlineStr">
        <is>
          <t>350 kcmil</t>
        </is>
      </c>
      <c r="N5256" s="12" t="n">
        <v>1</v>
      </c>
      <c r="O5256" s="12" t="n">
        <v>1</v>
      </c>
      <c r="P5256" s="12" t="n">
        <v>480</v>
      </c>
      <c r="Q5256" s="12" t="n">
        <v>150</v>
      </c>
      <c r="R5256" s="12" t="n">
        <v>212.3</v>
      </c>
      <c r="S5256" s="12" t="inlineStr">
        <is>
          <t>Duct bank</t>
        </is>
      </c>
      <c r="T5256" s="16" t="n">
        <v>579</v>
      </c>
      <c r="U5256" s="16" t="n">
        <v>32</v>
      </c>
      <c r="V5256" s="16">
        <f>ROUNDUP((T5256+U5256+2*'Read Me'!$B$13)*(1+'Read Me'!$B$12),-1)</f>
        <v/>
      </c>
      <c r="W5256" s="16">
        <f>V5256*N5256*O5256</f>
        <v/>
      </c>
      <c r="X5256" s="12">
        <f>IF(LEFT(I5256,2)="MV",2*N5256*IF(L5256="1/C",O5256,1),0)</f>
        <v/>
      </c>
      <c r="Y5256" s="12">
        <f>IF(OR(LEFT(K5256,4)="LVAX",LEFT(K5256,6)="MV15AX",LEFT(K5256,4)="CTAX",LEFT(K5256,2)="W|"),2*N5256*O5256,0)</f>
        <v/>
      </c>
      <c r="Z5256" s="12" t="inlineStr">
        <is>
          <t>VD 1.9 %</t>
        </is>
      </c>
      <c r="AA5256" s="12">
        <f>N5256*O5256</f>
        <v/>
      </c>
    </row>
    <row r="5257">
      <c r="A5257" s="12" t="inlineStr">
        <is>
          <t>J-P-0002</t>
        </is>
      </c>
      <c r="B5257" s="12" t="inlineStr">
        <is>
          <t>J</t>
        </is>
      </c>
      <c r="C5257" s="12" t="inlineStr">
        <is>
          <t>GT inlet chilling</t>
        </is>
      </c>
      <c r="D5257" s="12" t="inlineStr">
        <is>
          <t>Motor 2 of 4, 150 kW</t>
        </is>
      </c>
      <c r="E5257" s="12" t="inlineStr"/>
      <c r="F5257" s="12" t="inlineStr">
        <is>
          <t>Inlet-chilling e-house / transformer</t>
        </is>
      </c>
      <c r="G5257" s="12" t="inlineStr"/>
      <c r="H5257" s="12" t="inlineStr">
        <is>
          <t>CHW pumps</t>
        </is>
      </c>
      <c r="I5257" s="12" t="inlineStr">
        <is>
          <t>LV 600 V</t>
        </is>
      </c>
      <c r="J5257" s="12" t="inlineStr">
        <is>
          <t>Type TC-ER 600 V 3/C Cu XHHW-2 + ground, PVC jacket</t>
        </is>
      </c>
      <c r="K5257" s="12" t="inlineStr">
        <is>
          <t>LV|3/C+G|350</t>
        </is>
      </c>
      <c r="L5257" s="12" t="inlineStr">
        <is>
          <t>3/C+G</t>
        </is>
      </c>
      <c r="M5257" s="12" t="inlineStr">
        <is>
          <t>350 kcmil</t>
        </is>
      </c>
      <c r="N5257" s="12" t="n">
        <v>1</v>
      </c>
      <c r="O5257" s="12" t="n">
        <v>1</v>
      </c>
      <c r="P5257" s="12" t="n">
        <v>480</v>
      </c>
      <c r="Q5257" s="12" t="n">
        <v>150</v>
      </c>
      <c r="R5257" s="12" t="n">
        <v>212.3</v>
      </c>
      <c r="S5257" s="12" t="inlineStr">
        <is>
          <t>Duct bank</t>
        </is>
      </c>
      <c r="T5257" s="16" t="n">
        <v>579</v>
      </c>
      <c r="U5257" s="16" t="n">
        <v>32</v>
      </c>
      <c r="V5257" s="16">
        <f>ROUNDUP((T5257+U5257+2*'Read Me'!$B$13)*(1+'Read Me'!$B$12),-1)</f>
        <v/>
      </c>
      <c r="W5257" s="16">
        <f>V5257*N5257*O5257</f>
        <v/>
      </c>
      <c r="X5257" s="12">
        <f>IF(LEFT(I5257,2)="MV",2*N5257*IF(L5257="1/C",O5257,1),0)</f>
        <v/>
      </c>
      <c r="Y5257" s="12">
        <f>IF(OR(LEFT(K5257,4)="LVAX",LEFT(K5257,6)="MV15AX",LEFT(K5257,4)="CTAX",LEFT(K5257,2)="W|"),2*N5257*O5257,0)</f>
        <v/>
      </c>
      <c r="Z5257" s="12" t="inlineStr">
        <is>
          <t>VD 1.9 %</t>
        </is>
      </c>
      <c r="AA5257" s="12">
        <f>N5257*O5257</f>
        <v/>
      </c>
    </row>
    <row r="5258">
      <c r="A5258" s="12" t="inlineStr">
        <is>
          <t>J-P-0003</t>
        </is>
      </c>
      <c r="B5258" s="12" t="inlineStr">
        <is>
          <t>J</t>
        </is>
      </c>
      <c r="C5258" s="12" t="inlineStr">
        <is>
          <t>GT inlet chilling</t>
        </is>
      </c>
      <c r="D5258" s="12" t="inlineStr">
        <is>
          <t>Motor 3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Duct bank</t>
        </is>
      </c>
      <c r="T5258" s="16" t="n">
        <v>579</v>
      </c>
      <c r="U5258" s="16" t="n">
        <v>32</v>
      </c>
      <c r="V5258" s="16">
        <f>ROUNDUP((T5258+U5258+2*'Read Me'!$B$13)*(1+'Read Me'!$B$12),-1)</f>
        <v/>
      </c>
      <c r="W5258" s="16">
        <f>V5258*N5258*O5258</f>
        <v/>
      </c>
      <c r="X5258" s="12">
        <f>IF(LEFT(I5258,2)="MV",2*N5258*IF(L5258="1/C",O5258,1),0)</f>
        <v/>
      </c>
      <c r="Y5258" s="12">
        <f>IF(OR(LEFT(K5258,4)="LVAX",LEFT(K5258,6)="MV15AX",LEFT(K5258,4)="CTAX",LEFT(K5258,2)="W|"),2*N5258*O5258,0)</f>
        <v/>
      </c>
      <c r="Z5258" s="12" t="inlineStr">
        <is>
          <t>VD 1.9 %</t>
        </is>
      </c>
      <c r="AA5258" s="12">
        <f>N5258*O5258</f>
        <v/>
      </c>
    </row>
    <row r="5259">
      <c r="A5259" s="12" t="inlineStr">
        <is>
          <t>J-P-0004</t>
        </is>
      </c>
      <c r="B5259" s="12" t="inlineStr">
        <is>
          <t>J</t>
        </is>
      </c>
      <c r="C5259" s="12" t="inlineStr">
        <is>
          <t>GT inlet chilling</t>
        </is>
      </c>
      <c r="D5259" s="12" t="inlineStr">
        <is>
          <t>Motor 4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Duct bank</t>
        </is>
      </c>
      <c r="T5259" s="16" t="n">
        <v>579</v>
      </c>
      <c r="U5259" s="16" t="n">
        <v>32</v>
      </c>
      <c r="V5259" s="16">
        <f>ROUNDUP((T5259+U5259+2*'Read Me'!$B$13)*(1+'Read Me'!$B$12),-1)</f>
        <v/>
      </c>
      <c r="W5259" s="16">
        <f>V5259*N5259*O5259</f>
        <v/>
      </c>
      <c r="X5259" s="12">
        <f>IF(LEFT(I5259,2)="MV",2*N5259*IF(L5259="1/C",O5259,1),0)</f>
        <v/>
      </c>
      <c r="Y5259" s="12">
        <f>IF(OR(LEFT(K5259,4)="LVAX",LEFT(K5259,6)="MV15AX",LEFT(K5259,4)="CTAX",LEFT(K5259,2)="W|"),2*N5259*O5259,0)</f>
        <v/>
      </c>
      <c r="Z5259" s="12" t="inlineStr">
        <is>
          <t>VD 1.9 %</t>
        </is>
      </c>
      <c r="AA5259" s="12">
        <f>N5259*O5259</f>
        <v/>
      </c>
    </row>
    <row r="5260">
      <c r="A5260" s="12" t="inlineStr">
        <is>
          <t>J-P-0005</t>
        </is>
      </c>
      <c r="B5260" s="12" t="inlineStr">
        <is>
          <t>J</t>
        </is>
      </c>
      <c r="C5260" s="12" t="inlineStr">
        <is>
          <t>GT inlet chilling</t>
        </is>
      </c>
      <c r="D5260" s="12" t="inlineStr">
        <is>
          <t>LV power feeder</t>
        </is>
      </c>
      <c r="E5260" s="12" t="inlineStr"/>
      <c r="F5260" s="12" t="inlineStr">
        <is>
          <t>Inlet-chilling e-house / transformer</t>
        </is>
      </c>
      <c r="G5260" s="12" t="inlineStr"/>
      <c r="H5260" s="12" t="inlineStr">
        <is>
          <t>CONDITIONAL: TES chilled-water tank</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10</v>
      </c>
      <c r="R5260" s="12" t="n">
        <v>14.2</v>
      </c>
      <c r="S5260" s="12" t="inlineStr">
        <is>
          <t>Duct bank</t>
        </is>
      </c>
      <c r="T5260" s="16" t="n">
        <v>271</v>
      </c>
      <c r="U5260" s="16" t="n">
        <v>217</v>
      </c>
      <c r="V5260" s="16">
        <f>ROUNDUP((T5260+U5260+2*'Read Me'!$B$13)*(1+'Read Me'!$B$12),-1)</f>
        <v/>
      </c>
      <c r="W5260" s="16">
        <f>V5260*N5260*O5260</f>
        <v/>
      </c>
      <c r="X5260" s="12">
        <f>IF(LEFT(I5260,2)="MV",2*N5260*IF(L5260="1/C",O5260,1),0)</f>
        <v/>
      </c>
      <c r="Y5260" s="12">
        <f>IF(OR(LEFT(K5260,4)="LVAX",LEFT(K5260,6)="MV15AX",LEFT(K5260,4)="CTAX",LEFT(K5260,2)="W|"),2*N5260*O5260,0)</f>
        <v/>
      </c>
      <c r="Z5260" s="12" t="inlineStr">
        <is>
          <t>VD 2.1 %</t>
        </is>
      </c>
      <c r="AA5260" s="12">
        <f>N5260*O5260</f>
        <v/>
      </c>
    </row>
    <row r="5261">
      <c r="A5261" s="12" t="inlineStr">
        <is>
          <t>J-P-0006</t>
        </is>
      </c>
      <c r="B5261" s="12" t="inlineStr">
        <is>
          <t>J</t>
        </is>
      </c>
      <c r="C5261" s="12" t="inlineStr">
        <is>
          <t>GT inlet chilling</t>
        </is>
      </c>
      <c r="D5261" s="12" t="inlineStr">
        <is>
          <t>Motor 1 of 6, 7 kW</t>
        </is>
      </c>
      <c r="E5261" s="12" t="inlineStr"/>
      <c r="F5261" s="12" t="inlineStr">
        <is>
          <t>Inlet-chilling e-house / transformer</t>
        </is>
      </c>
      <c r="G5261" s="12" t="inlineStr"/>
      <c r="H5261" s="12" t="inlineStr">
        <is>
          <t>Chillers x6 (water-cooled)</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7</v>
      </c>
      <c r="R5261" s="12" t="n">
        <v>9.9</v>
      </c>
      <c r="S5261" s="12" t="inlineStr">
        <is>
          <t>Duct bank</t>
        </is>
      </c>
      <c r="T5261" s="16" t="n">
        <v>10</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J-P-0007</t>
        </is>
      </c>
      <c r="B5262" s="12" t="inlineStr">
        <is>
          <t>J</t>
        </is>
      </c>
      <c r="C5262" s="12" t="inlineStr">
        <is>
          <t>GT inlet chilling</t>
        </is>
      </c>
      <c r="D5262" s="12" t="inlineStr">
        <is>
          <t>Motor 2 of 6, 7 kW</t>
        </is>
      </c>
      <c r="E5262" s="12" t="inlineStr"/>
      <c r="F5262" s="12" t="inlineStr">
        <is>
          <t>Inlet-chilling e-house / transformer</t>
        </is>
      </c>
      <c r="G5262" s="12" t="inlineStr"/>
      <c r="H5262" s="12" t="inlineStr">
        <is>
          <t>Chillers x6 (water-cooled)</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7</v>
      </c>
      <c r="R5262" s="12" t="n">
        <v>9.9</v>
      </c>
      <c r="S5262" s="12" t="inlineStr">
        <is>
          <t>Duct bank</t>
        </is>
      </c>
      <c r="T5262" s="16" t="n">
        <v>10</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0.2 %</t>
        </is>
      </c>
      <c r="AA5262" s="12">
        <f>N5262*O5262</f>
        <v/>
      </c>
    </row>
    <row r="5263">
      <c r="A5263" s="12" t="inlineStr">
        <is>
          <t>J-P-0008</t>
        </is>
      </c>
      <c r="B5263" s="12" t="inlineStr">
        <is>
          <t>J</t>
        </is>
      </c>
      <c r="C5263" s="12" t="inlineStr">
        <is>
          <t>GT inlet chilling</t>
        </is>
      </c>
      <c r="D5263" s="12" t="inlineStr">
        <is>
          <t>Motor 3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6" t="n">
        <v>10</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J-P-0009</t>
        </is>
      </c>
      <c r="B5264" s="12" t="inlineStr">
        <is>
          <t>J</t>
        </is>
      </c>
      <c r="C5264" s="12" t="inlineStr">
        <is>
          <t>GT inlet chilling</t>
        </is>
      </c>
      <c r="D5264" s="12" t="inlineStr">
        <is>
          <t>Motor 4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6" t="n">
        <v>10</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J-P-0010</t>
        </is>
      </c>
      <c r="B5265" s="12" t="inlineStr">
        <is>
          <t>J</t>
        </is>
      </c>
      <c r="C5265" s="12" t="inlineStr">
        <is>
          <t>GT inlet chilling</t>
        </is>
      </c>
      <c r="D5265" s="12" t="inlineStr">
        <is>
          <t>Motor 5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6" t="n">
        <v>10</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J-P-0011</t>
        </is>
      </c>
      <c r="B5266" s="12" t="inlineStr">
        <is>
          <t>J</t>
        </is>
      </c>
      <c r="C5266" s="12" t="inlineStr">
        <is>
          <t>GT inlet chilling</t>
        </is>
      </c>
      <c r="D5266" s="12" t="inlineStr">
        <is>
          <t>Motor 6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6" t="n">
        <v>10</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J-P-0012</t>
        </is>
      </c>
      <c r="B5267" s="12" t="inlineStr">
        <is>
          <t>J</t>
        </is>
      </c>
      <c r="C5267" s="12" t="inlineStr">
        <is>
          <t>GT inlet chilling</t>
        </is>
      </c>
      <c r="D5267" s="12" t="inlineStr">
        <is>
          <t>Motor 1 of 12, 75 kW (VFD output)</t>
        </is>
      </c>
      <c r="E5267" s="12" t="inlineStr"/>
      <c r="F5267" s="12" t="inlineStr">
        <is>
          <t>Inlet-chilling e-house / transformer</t>
        </is>
      </c>
      <c r="G5267" s="12" t="inlineStr"/>
      <c r="H5267" s="12" t="inlineStr">
        <is>
          <t>Inlet-chilling tower (12 cells): chiller heat rejection</t>
        </is>
      </c>
      <c r="I5267" s="12" t="inlineStr">
        <is>
          <t>LV 600 V</t>
        </is>
      </c>
      <c r="J5267" s="12" t="inlineStr">
        <is>
          <t>VFD cable 600 V 3/C Cu XHHW-2, 3 symmetrical grounds, overall Cu tape shield, TC-ER</t>
        </is>
      </c>
      <c r="K5267" s="12" t="inlineStr">
        <is>
          <t>VFD|3/C+3G|2/0</t>
        </is>
      </c>
      <c r="L5267" s="12" t="inlineStr">
        <is>
          <t>3/C+3G</t>
        </is>
      </c>
      <c r="M5267" s="12" t="inlineStr">
        <is>
          <t>2/0</t>
        </is>
      </c>
      <c r="N5267" s="12" t="n">
        <v>1</v>
      </c>
      <c r="O5267" s="12" t="n">
        <v>1</v>
      </c>
      <c r="P5267" s="12" t="n">
        <v>480</v>
      </c>
      <c r="Q5267" s="12" t="n">
        <v>75</v>
      </c>
      <c r="R5267" s="12" t="n">
        <v>106</v>
      </c>
      <c r="S5267" s="12" t="inlineStr">
        <is>
          <t>Duct bank</t>
        </is>
      </c>
      <c r="T5267" s="16" t="n">
        <v>683</v>
      </c>
      <c r="U5267" s="16" t="n">
        <v>38</v>
      </c>
      <c r="V5267" s="16">
        <f>ROUNDUP((T5267+U5267+2*'Read Me'!$B$13)*(1+'Read Me'!$B$12),-1)</f>
        <v/>
      </c>
      <c r="W5267" s="16">
        <f>V5267*N5267*O5267</f>
        <v/>
      </c>
      <c r="X5267" s="12">
        <f>IF(LEFT(I5267,2)="MV",2*N5267*IF(L5267="1/C",O5267,1),0)</f>
        <v/>
      </c>
      <c r="Y5267" s="12">
        <f>IF(OR(LEFT(K5267,4)="LVAX",LEFT(K5267,6)="MV15AX",LEFT(K5267,4)="CTAX",LEFT(K5267,2)="W|"),2*N5267*O5267,0)</f>
        <v/>
      </c>
      <c r="Z5267" s="12" t="inlineStr">
        <is>
          <t>VD 2.9 %</t>
        </is>
      </c>
      <c r="AA5267" s="12">
        <f>N5267*O5267</f>
        <v/>
      </c>
    </row>
    <row r="5268">
      <c r="A5268" s="12" t="inlineStr">
        <is>
          <t>J-P-0013</t>
        </is>
      </c>
      <c r="B5268" s="12" t="inlineStr">
        <is>
          <t>J</t>
        </is>
      </c>
      <c r="C5268" s="12" t="inlineStr">
        <is>
          <t>GT inlet chilling</t>
        </is>
      </c>
      <c r="D5268" s="12" t="inlineStr">
        <is>
          <t>Motor 2 of 12, 75 kW (VFD output)</t>
        </is>
      </c>
      <c r="E5268" s="12" t="inlineStr"/>
      <c r="F5268" s="12" t="inlineStr">
        <is>
          <t>Inlet-chilling e-house / transformer</t>
        </is>
      </c>
      <c r="G5268" s="12" t="inlineStr"/>
      <c r="H5268" s="12" t="inlineStr">
        <is>
          <t>Inlet-chilling tower (12 cells): chiller heat rejection</t>
        </is>
      </c>
      <c r="I5268" s="12" t="inlineStr">
        <is>
          <t>LV 600 V</t>
        </is>
      </c>
      <c r="J5268" s="12" t="inlineStr">
        <is>
          <t>VFD cable 600 V 3/C Cu XHHW-2, 3 symmetrical grounds, overall Cu tape shield, TC-ER</t>
        </is>
      </c>
      <c r="K5268" s="12" t="inlineStr">
        <is>
          <t>VFD|3/C+3G|2/0</t>
        </is>
      </c>
      <c r="L5268" s="12" t="inlineStr">
        <is>
          <t>3/C+3G</t>
        </is>
      </c>
      <c r="M5268" s="12" t="inlineStr">
        <is>
          <t>2/0</t>
        </is>
      </c>
      <c r="N5268" s="12" t="n">
        <v>1</v>
      </c>
      <c r="O5268" s="12" t="n">
        <v>1</v>
      </c>
      <c r="P5268" s="12" t="n">
        <v>480</v>
      </c>
      <c r="Q5268" s="12" t="n">
        <v>75</v>
      </c>
      <c r="R5268" s="12" t="n">
        <v>106</v>
      </c>
      <c r="S5268" s="12" t="inlineStr">
        <is>
          <t>Duct bank</t>
        </is>
      </c>
      <c r="T5268" s="16" t="n">
        <v>683</v>
      </c>
      <c r="U5268" s="16" t="n">
        <v>38</v>
      </c>
      <c r="V5268" s="16">
        <f>ROUNDUP((T5268+U5268+2*'Read Me'!$B$13)*(1+'Read Me'!$B$12),-1)</f>
        <v/>
      </c>
      <c r="W5268" s="16">
        <f>V5268*N5268*O5268</f>
        <v/>
      </c>
      <c r="X5268" s="12">
        <f>IF(LEFT(I5268,2)="MV",2*N5268*IF(L5268="1/C",O5268,1),0)</f>
        <v/>
      </c>
      <c r="Y5268" s="12">
        <f>IF(OR(LEFT(K5268,4)="LVAX",LEFT(K5268,6)="MV15AX",LEFT(K5268,4)="CTAX",LEFT(K5268,2)="W|"),2*N5268*O5268,0)</f>
        <v/>
      </c>
      <c r="Z5268" s="12" t="inlineStr">
        <is>
          <t>VD 2.9 %</t>
        </is>
      </c>
      <c r="AA5268" s="12">
        <f>N5268*O5268</f>
        <v/>
      </c>
    </row>
    <row r="5269">
      <c r="A5269" s="12" t="inlineStr">
        <is>
          <t>J-P-0014</t>
        </is>
      </c>
      <c r="B5269" s="12" t="inlineStr">
        <is>
          <t>J</t>
        </is>
      </c>
      <c r="C5269" s="12" t="inlineStr">
        <is>
          <t>GT inlet chilling</t>
        </is>
      </c>
      <c r="D5269" s="12" t="inlineStr">
        <is>
          <t>Motor 3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VFD|3/C+3G|2/0</t>
        </is>
      </c>
      <c r="L5269" s="12" t="inlineStr">
        <is>
          <t>3/C+3G</t>
        </is>
      </c>
      <c r="M5269" s="12" t="inlineStr">
        <is>
          <t>2/0</t>
        </is>
      </c>
      <c r="N5269" s="12" t="n">
        <v>1</v>
      </c>
      <c r="O5269" s="12" t="n">
        <v>1</v>
      </c>
      <c r="P5269" s="12" t="n">
        <v>480</v>
      </c>
      <c r="Q5269" s="12" t="n">
        <v>75</v>
      </c>
      <c r="R5269" s="12" t="n">
        <v>106</v>
      </c>
      <c r="S5269" s="12" t="inlineStr">
        <is>
          <t>Duct bank</t>
        </is>
      </c>
      <c r="T5269" s="16" t="n">
        <v>683</v>
      </c>
      <c r="U5269" s="16" t="n">
        <v>38</v>
      </c>
      <c r="V5269" s="16">
        <f>ROUNDUP((T5269+U5269+2*'Read Me'!$B$13)*(1+'Read Me'!$B$12),-1)</f>
        <v/>
      </c>
      <c r="W5269" s="16">
        <f>V5269*N5269*O5269</f>
        <v/>
      </c>
      <c r="X5269" s="12">
        <f>IF(LEFT(I5269,2)="MV",2*N5269*IF(L5269="1/C",O5269,1),0)</f>
        <v/>
      </c>
      <c r="Y5269" s="12">
        <f>IF(OR(LEFT(K5269,4)="LVAX",LEFT(K5269,6)="MV15AX",LEFT(K5269,4)="CTAX",LEFT(K5269,2)="W|"),2*N5269*O5269,0)</f>
        <v/>
      </c>
      <c r="Z5269" s="12" t="inlineStr">
        <is>
          <t>VD 2.9 %</t>
        </is>
      </c>
      <c r="AA5269" s="12">
        <f>N5269*O5269</f>
        <v/>
      </c>
    </row>
    <row r="5270">
      <c r="A5270" s="12" t="inlineStr">
        <is>
          <t>J-P-0015</t>
        </is>
      </c>
      <c r="B5270" s="12" t="inlineStr">
        <is>
          <t>J</t>
        </is>
      </c>
      <c r="C5270" s="12" t="inlineStr">
        <is>
          <t>GT inlet chilling</t>
        </is>
      </c>
      <c r="D5270" s="12" t="inlineStr">
        <is>
          <t>Motor 4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VFD|3/C+3G|2/0</t>
        </is>
      </c>
      <c r="L5270" s="12" t="inlineStr">
        <is>
          <t>3/C+3G</t>
        </is>
      </c>
      <c r="M5270" s="12" t="inlineStr">
        <is>
          <t>2/0</t>
        </is>
      </c>
      <c r="N5270" s="12" t="n">
        <v>1</v>
      </c>
      <c r="O5270" s="12" t="n">
        <v>1</v>
      </c>
      <c r="P5270" s="12" t="n">
        <v>480</v>
      </c>
      <c r="Q5270" s="12" t="n">
        <v>75</v>
      </c>
      <c r="R5270" s="12" t="n">
        <v>106</v>
      </c>
      <c r="S5270" s="12" t="inlineStr">
        <is>
          <t>Duct bank</t>
        </is>
      </c>
      <c r="T5270" s="16" t="n">
        <v>683</v>
      </c>
      <c r="U5270" s="16" t="n">
        <v>38</v>
      </c>
      <c r="V5270" s="16">
        <f>ROUNDUP((T5270+U5270+2*'Read Me'!$B$13)*(1+'Read Me'!$B$12),-1)</f>
        <v/>
      </c>
      <c r="W5270" s="16">
        <f>V5270*N5270*O5270</f>
        <v/>
      </c>
      <c r="X5270" s="12">
        <f>IF(LEFT(I5270,2)="MV",2*N5270*IF(L5270="1/C",O5270,1),0)</f>
        <v/>
      </c>
      <c r="Y5270" s="12">
        <f>IF(OR(LEFT(K5270,4)="LVAX",LEFT(K5270,6)="MV15AX",LEFT(K5270,4)="CTAX",LEFT(K5270,2)="W|"),2*N5270*O5270,0)</f>
        <v/>
      </c>
      <c r="Z5270" s="12" t="inlineStr">
        <is>
          <t>VD 2.9 %</t>
        </is>
      </c>
      <c r="AA5270" s="12">
        <f>N5270*O5270</f>
        <v/>
      </c>
    </row>
    <row r="5271">
      <c r="A5271" s="12" t="inlineStr">
        <is>
          <t>J-P-0016</t>
        </is>
      </c>
      <c r="B5271" s="12" t="inlineStr">
        <is>
          <t>J</t>
        </is>
      </c>
      <c r="C5271" s="12" t="inlineStr">
        <is>
          <t>GT inlet chilling</t>
        </is>
      </c>
      <c r="D5271" s="12" t="inlineStr">
        <is>
          <t>Motor 5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VFD|3/C+3G|2/0</t>
        </is>
      </c>
      <c r="L5271" s="12" t="inlineStr">
        <is>
          <t>3/C+3G</t>
        </is>
      </c>
      <c r="M5271" s="12" t="inlineStr">
        <is>
          <t>2/0</t>
        </is>
      </c>
      <c r="N5271" s="12" t="n">
        <v>1</v>
      </c>
      <c r="O5271" s="12" t="n">
        <v>1</v>
      </c>
      <c r="P5271" s="12" t="n">
        <v>480</v>
      </c>
      <c r="Q5271" s="12" t="n">
        <v>75</v>
      </c>
      <c r="R5271" s="12" t="n">
        <v>106</v>
      </c>
      <c r="S5271" s="12" t="inlineStr">
        <is>
          <t>Duct bank</t>
        </is>
      </c>
      <c r="T5271" s="16" t="n">
        <v>683</v>
      </c>
      <c r="U5271" s="16" t="n">
        <v>38</v>
      </c>
      <c r="V5271" s="16">
        <f>ROUNDUP((T5271+U5271+2*'Read Me'!$B$13)*(1+'Read Me'!$B$12),-1)</f>
        <v/>
      </c>
      <c r="W5271" s="16">
        <f>V5271*N5271*O5271</f>
        <v/>
      </c>
      <c r="X5271" s="12">
        <f>IF(LEFT(I5271,2)="MV",2*N5271*IF(L5271="1/C",O5271,1),0)</f>
        <v/>
      </c>
      <c r="Y5271" s="12">
        <f>IF(OR(LEFT(K5271,4)="LVAX",LEFT(K5271,6)="MV15AX",LEFT(K5271,4)="CTAX",LEFT(K5271,2)="W|"),2*N5271*O5271,0)</f>
        <v/>
      </c>
      <c r="Z5271" s="12" t="inlineStr">
        <is>
          <t>VD 2.9 %</t>
        </is>
      </c>
      <c r="AA5271" s="12">
        <f>N5271*O5271</f>
        <v/>
      </c>
    </row>
    <row r="5272">
      <c r="A5272" s="12" t="inlineStr">
        <is>
          <t>J-P-0017</t>
        </is>
      </c>
      <c r="B5272" s="12" t="inlineStr">
        <is>
          <t>J</t>
        </is>
      </c>
      <c r="C5272" s="12" t="inlineStr">
        <is>
          <t>GT inlet chilling</t>
        </is>
      </c>
      <c r="D5272" s="12" t="inlineStr">
        <is>
          <t>Motor 6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VFD|3/C+3G|2/0</t>
        </is>
      </c>
      <c r="L5272" s="12" t="inlineStr">
        <is>
          <t>3/C+3G</t>
        </is>
      </c>
      <c r="M5272" s="12" t="inlineStr">
        <is>
          <t>2/0</t>
        </is>
      </c>
      <c r="N5272" s="12" t="n">
        <v>1</v>
      </c>
      <c r="O5272" s="12" t="n">
        <v>1</v>
      </c>
      <c r="P5272" s="12" t="n">
        <v>480</v>
      </c>
      <c r="Q5272" s="12" t="n">
        <v>75</v>
      </c>
      <c r="R5272" s="12" t="n">
        <v>106</v>
      </c>
      <c r="S5272" s="12" t="inlineStr">
        <is>
          <t>Duct bank</t>
        </is>
      </c>
      <c r="T5272" s="16" t="n">
        <v>683</v>
      </c>
      <c r="U5272" s="16" t="n">
        <v>38</v>
      </c>
      <c r="V5272" s="16">
        <f>ROUNDUP((T5272+U5272+2*'Read Me'!$B$13)*(1+'Read Me'!$B$12),-1)</f>
        <v/>
      </c>
      <c r="W5272" s="16">
        <f>V5272*N5272*O5272</f>
        <v/>
      </c>
      <c r="X5272" s="12">
        <f>IF(LEFT(I5272,2)="MV",2*N5272*IF(L5272="1/C",O5272,1),0)</f>
        <v/>
      </c>
      <c r="Y5272" s="12">
        <f>IF(OR(LEFT(K5272,4)="LVAX",LEFT(K5272,6)="MV15AX",LEFT(K5272,4)="CTAX",LEFT(K5272,2)="W|"),2*N5272*O5272,0)</f>
        <v/>
      </c>
      <c r="Z5272" s="12" t="inlineStr">
        <is>
          <t>VD 2.9 %</t>
        </is>
      </c>
      <c r="AA5272" s="12">
        <f>N5272*O5272</f>
        <v/>
      </c>
    </row>
    <row r="5273">
      <c r="A5273" s="12" t="inlineStr">
        <is>
          <t>J-P-0018</t>
        </is>
      </c>
      <c r="B5273" s="12" t="inlineStr">
        <is>
          <t>J</t>
        </is>
      </c>
      <c r="C5273" s="12" t="inlineStr">
        <is>
          <t>GT inlet chilling</t>
        </is>
      </c>
      <c r="D5273" s="12" t="inlineStr">
        <is>
          <t>Motor 7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VFD|3/C+3G|2/0</t>
        </is>
      </c>
      <c r="L5273" s="12" t="inlineStr">
        <is>
          <t>3/C+3G</t>
        </is>
      </c>
      <c r="M5273" s="12" t="inlineStr">
        <is>
          <t>2/0</t>
        </is>
      </c>
      <c r="N5273" s="12" t="n">
        <v>1</v>
      </c>
      <c r="O5273" s="12" t="n">
        <v>1</v>
      </c>
      <c r="P5273" s="12" t="n">
        <v>480</v>
      </c>
      <c r="Q5273" s="12" t="n">
        <v>75</v>
      </c>
      <c r="R5273" s="12" t="n">
        <v>106</v>
      </c>
      <c r="S5273" s="12" t="inlineStr">
        <is>
          <t>Duct bank</t>
        </is>
      </c>
      <c r="T5273" s="16" t="n">
        <v>683</v>
      </c>
      <c r="U5273" s="16" t="n">
        <v>38</v>
      </c>
      <c r="V5273" s="16">
        <f>ROUNDUP((T5273+U5273+2*'Read Me'!$B$13)*(1+'Read Me'!$B$12),-1)</f>
        <v/>
      </c>
      <c r="W5273" s="16">
        <f>V5273*N5273*O5273</f>
        <v/>
      </c>
      <c r="X5273" s="12">
        <f>IF(LEFT(I5273,2)="MV",2*N5273*IF(L5273="1/C",O5273,1),0)</f>
        <v/>
      </c>
      <c r="Y5273" s="12">
        <f>IF(OR(LEFT(K5273,4)="LVAX",LEFT(K5273,6)="MV15AX",LEFT(K5273,4)="CTAX",LEFT(K5273,2)="W|"),2*N5273*O5273,0)</f>
        <v/>
      </c>
      <c r="Z5273" s="12" t="inlineStr">
        <is>
          <t>VD 2.9 %</t>
        </is>
      </c>
      <c r="AA5273" s="12">
        <f>N5273*O5273</f>
        <v/>
      </c>
    </row>
    <row r="5274">
      <c r="A5274" s="12" t="inlineStr">
        <is>
          <t>J-P-0019</t>
        </is>
      </c>
      <c r="B5274" s="12" t="inlineStr">
        <is>
          <t>J</t>
        </is>
      </c>
      <c r="C5274" s="12" t="inlineStr">
        <is>
          <t>GT inlet chilling</t>
        </is>
      </c>
      <c r="D5274" s="12" t="inlineStr">
        <is>
          <t>Motor 8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VFD|3/C+3G|2/0</t>
        </is>
      </c>
      <c r="L5274" s="12" t="inlineStr">
        <is>
          <t>3/C+3G</t>
        </is>
      </c>
      <c r="M5274" s="12" t="inlineStr">
        <is>
          <t>2/0</t>
        </is>
      </c>
      <c r="N5274" s="12" t="n">
        <v>1</v>
      </c>
      <c r="O5274" s="12" t="n">
        <v>1</v>
      </c>
      <c r="P5274" s="12" t="n">
        <v>480</v>
      </c>
      <c r="Q5274" s="12" t="n">
        <v>75</v>
      </c>
      <c r="R5274" s="12" t="n">
        <v>106</v>
      </c>
      <c r="S5274" s="12" t="inlineStr">
        <is>
          <t>Duct bank</t>
        </is>
      </c>
      <c r="T5274" s="16" t="n">
        <v>683</v>
      </c>
      <c r="U5274" s="16" t="n">
        <v>38</v>
      </c>
      <c r="V5274" s="16">
        <f>ROUNDUP((T5274+U5274+2*'Read Me'!$B$13)*(1+'Read Me'!$B$12),-1)</f>
        <v/>
      </c>
      <c r="W5274" s="16">
        <f>V5274*N5274*O5274</f>
        <v/>
      </c>
      <c r="X5274" s="12">
        <f>IF(LEFT(I5274,2)="MV",2*N5274*IF(L5274="1/C",O5274,1),0)</f>
        <v/>
      </c>
      <c r="Y5274" s="12">
        <f>IF(OR(LEFT(K5274,4)="LVAX",LEFT(K5274,6)="MV15AX",LEFT(K5274,4)="CTAX",LEFT(K5274,2)="W|"),2*N5274*O5274,0)</f>
        <v/>
      </c>
      <c r="Z5274" s="12" t="inlineStr">
        <is>
          <t>VD 2.9 %</t>
        </is>
      </c>
      <c r="AA5274" s="12">
        <f>N5274*O5274</f>
        <v/>
      </c>
    </row>
    <row r="5275">
      <c r="A5275" s="12" t="inlineStr">
        <is>
          <t>J-P-0020</t>
        </is>
      </c>
      <c r="B5275" s="12" t="inlineStr">
        <is>
          <t>J</t>
        </is>
      </c>
      <c r="C5275" s="12" t="inlineStr">
        <is>
          <t>GT inlet chilling</t>
        </is>
      </c>
      <c r="D5275" s="12" t="inlineStr">
        <is>
          <t>Motor 9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VFD|3/C+3G|2/0</t>
        </is>
      </c>
      <c r="L5275" s="12" t="inlineStr">
        <is>
          <t>3/C+3G</t>
        </is>
      </c>
      <c r="M5275" s="12" t="inlineStr">
        <is>
          <t>2/0</t>
        </is>
      </c>
      <c r="N5275" s="12" t="n">
        <v>1</v>
      </c>
      <c r="O5275" s="12" t="n">
        <v>1</v>
      </c>
      <c r="P5275" s="12" t="n">
        <v>480</v>
      </c>
      <c r="Q5275" s="12" t="n">
        <v>75</v>
      </c>
      <c r="R5275" s="12" t="n">
        <v>106</v>
      </c>
      <c r="S5275" s="12" t="inlineStr">
        <is>
          <t>Duct bank</t>
        </is>
      </c>
      <c r="T5275" s="16" t="n">
        <v>683</v>
      </c>
      <c r="U5275" s="16" t="n">
        <v>38</v>
      </c>
      <c r="V5275" s="16">
        <f>ROUNDUP((T5275+U5275+2*'Read Me'!$B$13)*(1+'Read Me'!$B$12),-1)</f>
        <v/>
      </c>
      <c r="W5275" s="16">
        <f>V5275*N5275*O5275</f>
        <v/>
      </c>
      <c r="X5275" s="12">
        <f>IF(LEFT(I5275,2)="MV",2*N5275*IF(L5275="1/C",O5275,1),0)</f>
        <v/>
      </c>
      <c r="Y5275" s="12">
        <f>IF(OR(LEFT(K5275,4)="LVAX",LEFT(K5275,6)="MV15AX",LEFT(K5275,4)="CTAX",LEFT(K5275,2)="W|"),2*N5275*O5275,0)</f>
        <v/>
      </c>
      <c r="Z5275" s="12" t="inlineStr">
        <is>
          <t>VD 2.9 %</t>
        </is>
      </c>
      <c r="AA5275" s="12">
        <f>N5275*O5275</f>
        <v/>
      </c>
    </row>
    <row r="5276">
      <c r="A5276" s="12" t="inlineStr">
        <is>
          <t>J-P-0021</t>
        </is>
      </c>
      <c r="B5276" s="12" t="inlineStr">
        <is>
          <t>J</t>
        </is>
      </c>
      <c r="C5276" s="12" t="inlineStr">
        <is>
          <t>GT inlet chilling</t>
        </is>
      </c>
      <c r="D5276" s="12" t="inlineStr">
        <is>
          <t>Motor 10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VFD|3/C+3G|2/0</t>
        </is>
      </c>
      <c r="L5276" s="12" t="inlineStr">
        <is>
          <t>3/C+3G</t>
        </is>
      </c>
      <c r="M5276" s="12" t="inlineStr">
        <is>
          <t>2/0</t>
        </is>
      </c>
      <c r="N5276" s="12" t="n">
        <v>1</v>
      </c>
      <c r="O5276" s="12" t="n">
        <v>1</v>
      </c>
      <c r="P5276" s="12" t="n">
        <v>480</v>
      </c>
      <c r="Q5276" s="12" t="n">
        <v>75</v>
      </c>
      <c r="R5276" s="12" t="n">
        <v>106</v>
      </c>
      <c r="S5276" s="12" t="inlineStr">
        <is>
          <t>Duct bank</t>
        </is>
      </c>
      <c r="T5276" s="16" t="n">
        <v>683</v>
      </c>
      <c r="U5276" s="16" t="n">
        <v>38</v>
      </c>
      <c r="V5276" s="16">
        <f>ROUNDUP((T5276+U5276+2*'Read Me'!$B$13)*(1+'Read Me'!$B$12),-1)</f>
        <v/>
      </c>
      <c r="W5276" s="16">
        <f>V5276*N5276*O5276</f>
        <v/>
      </c>
      <c r="X5276" s="12">
        <f>IF(LEFT(I5276,2)="MV",2*N5276*IF(L5276="1/C",O5276,1),0)</f>
        <v/>
      </c>
      <c r="Y5276" s="12">
        <f>IF(OR(LEFT(K5276,4)="LVAX",LEFT(K5276,6)="MV15AX",LEFT(K5276,4)="CTAX",LEFT(K5276,2)="W|"),2*N5276*O5276,0)</f>
        <v/>
      </c>
      <c r="Z5276" s="12" t="inlineStr">
        <is>
          <t>VD 2.9 %</t>
        </is>
      </c>
      <c r="AA5276" s="12">
        <f>N5276*O5276</f>
        <v/>
      </c>
    </row>
    <row r="5277">
      <c r="A5277" s="12" t="inlineStr">
        <is>
          <t>J-P-0022</t>
        </is>
      </c>
      <c r="B5277" s="12" t="inlineStr">
        <is>
          <t>J</t>
        </is>
      </c>
      <c r="C5277" s="12" t="inlineStr">
        <is>
          <t>GT inlet chilling</t>
        </is>
      </c>
      <c r="D5277" s="12" t="inlineStr">
        <is>
          <t>Motor 11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VFD|3/C+3G|2/0</t>
        </is>
      </c>
      <c r="L5277" s="12" t="inlineStr">
        <is>
          <t>3/C+3G</t>
        </is>
      </c>
      <c r="M5277" s="12" t="inlineStr">
        <is>
          <t>2/0</t>
        </is>
      </c>
      <c r="N5277" s="12" t="n">
        <v>1</v>
      </c>
      <c r="O5277" s="12" t="n">
        <v>1</v>
      </c>
      <c r="P5277" s="12" t="n">
        <v>480</v>
      </c>
      <c r="Q5277" s="12" t="n">
        <v>75</v>
      </c>
      <c r="R5277" s="12" t="n">
        <v>106</v>
      </c>
      <c r="S5277" s="12" t="inlineStr">
        <is>
          <t>Duct bank</t>
        </is>
      </c>
      <c r="T5277" s="16" t="n">
        <v>683</v>
      </c>
      <c r="U5277" s="16" t="n">
        <v>38</v>
      </c>
      <c r="V5277" s="16">
        <f>ROUNDUP((T5277+U5277+2*'Read Me'!$B$13)*(1+'Read Me'!$B$12),-1)</f>
        <v/>
      </c>
      <c r="W5277" s="16">
        <f>V5277*N5277*O5277</f>
        <v/>
      </c>
      <c r="X5277" s="12">
        <f>IF(LEFT(I5277,2)="MV",2*N5277*IF(L5277="1/C",O5277,1),0)</f>
        <v/>
      </c>
      <c r="Y5277" s="12">
        <f>IF(OR(LEFT(K5277,4)="LVAX",LEFT(K5277,6)="MV15AX",LEFT(K5277,4)="CTAX",LEFT(K5277,2)="W|"),2*N5277*O5277,0)</f>
        <v/>
      </c>
      <c r="Z5277" s="12" t="inlineStr">
        <is>
          <t>VD 2.9 %</t>
        </is>
      </c>
      <c r="AA5277" s="12">
        <f>N5277*O5277</f>
        <v/>
      </c>
    </row>
    <row r="5278">
      <c r="A5278" s="12" t="inlineStr">
        <is>
          <t>J-P-0023</t>
        </is>
      </c>
      <c r="B5278" s="12" t="inlineStr">
        <is>
          <t>J</t>
        </is>
      </c>
      <c r="C5278" s="12" t="inlineStr">
        <is>
          <t>GT inlet chilling</t>
        </is>
      </c>
      <c r="D5278" s="12" t="inlineStr">
        <is>
          <t>Motor 12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VFD|3/C+3G|2/0</t>
        </is>
      </c>
      <c r="L5278" s="12" t="inlineStr">
        <is>
          <t>3/C+3G</t>
        </is>
      </c>
      <c r="M5278" s="12" t="inlineStr">
        <is>
          <t>2/0</t>
        </is>
      </c>
      <c r="N5278" s="12" t="n">
        <v>1</v>
      </c>
      <c r="O5278" s="12" t="n">
        <v>1</v>
      </c>
      <c r="P5278" s="12" t="n">
        <v>480</v>
      </c>
      <c r="Q5278" s="12" t="n">
        <v>75</v>
      </c>
      <c r="R5278" s="12" t="n">
        <v>106</v>
      </c>
      <c r="S5278" s="12" t="inlineStr">
        <is>
          <t>Duct bank</t>
        </is>
      </c>
      <c r="T5278" s="16" t="n">
        <v>683</v>
      </c>
      <c r="U5278" s="16" t="n">
        <v>38</v>
      </c>
      <c r="V5278" s="16">
        <f>ROUNDUP((T5278+U5278+2*'Read Me'!$B$13)*(1+'Read Me'!$B$12),-1)</f>
        <v/>
      </c>
      <c r="W5278" s="16">
        <f>V5278*N5278*O5278</f>
        <v/>
      </c>
      <c r="X5278" s="12">
        <f>IF(LEFT(I5278,2)="MV",2*N5278*IF(L5278="1/C",O5278,1),0)</f>
        <v/>
      </c>
      <c r="Y5278" s="12">
        <f>IF(OR(LEFT(K5278,4)="LVAX",LEFT(K5278,6)="MV15AX",LEFT(K5278,4)="CTAX",LEFT(K5278,2)="W|"),2*N5278*O5278,0)</f>
        <v/>
      </c>
      <c r="Z5278" s="12" t="inlineStr">
        <is>
          <t>VD 2.9 %</t>
        </is>
      </c>
      <c r="AA5278" s="12">
        <f>N5278*O5278</f>
        <v/>
      </c>
    </row>
    <row r="5279">
      <c r="A5279" s="12" t="inlineStr">
        <is>
          <t>J-P-0024</t>
        </is>
      </c>
      <c r="B5279" s="12" t="inlineStr">
        <is>
          <t>J</t>
        </is>
      </c>
      <c r="C5279" s="12" t="inlineStr">
        <is>
          <t>GT inlet chilling</t>
        </is>
      </c>
      <c r="D5279" s="12" t="inlineStr">
        <is>
          <t>Area / platform lighting circuit 1 (12 fixtures)</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Duct bank</t>
        </is>
      </c>
      <c r="T5279" s="16" t="n">
        <v>778</v>
      </c>
      <c r="U5279" s="16" t="n">
        <v>38</v>
      </c>
      <c r="V5279" s="16">
        <f>ROUNDUP((T5279+U5279+2*'Read Me'!$B$13)*(1+'Read Me'!$B$12),-1)</f>
        <v/>
      </c>
      <c r="W5279" s="16">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J-MV-0001</t>
        </is>
      </c>
      <c r="B5280" s="12" t="inlineStr">
        <is>
          <t>J</t>
        </is>
      </c>
      <c r="C5280" s="12" t="inlineStr">
        <is>
          <t>GT inlet chilling</t>
        </is>
      </c>
      <c r="D5280" s="12" t="inlineStr">
        <is>
          <t>Inlet-chilling e-house / transformer</t>
        </is>
      </c>
      <c r="E5280" s="12" t="inlineStr">
        <is>
          <t>SWGR-13.8-1</t>
        </is>
      </c>
      <c r="F5280" s="12" t="inlineStr">
        <is>
          <t>R1 SWGR-13.8-1 (11 x 36 in cubicles, 15 kV metal-clad)</t>
        </is>
      </c>
      <c r="G5280" s="12" t="inlineStr"/>
      <c r="H5280" s="12" t="inlineStr">
        <is>
          <t>Inlet-chilling e-house / transformer</t>
        </is>
      </c>
      <c r="I5280" s="12" t="inlineStr">
        <is>
          <t>MV 15 kV</t>
        </is>
      </c>
      <c r="J5280" s="12" t="inlineStr">
        <is>
          <t>MV-105 15 kV 1/C Cu, EPR 133%, Cu tape shield, PVC jacket (triplexed)</t>
        </is>
      </c>
      <c r="K5280" s="12" t="inlineStr">
        <is>
          <t>MV15|1/C|1000</t>
        </is>
      </c>
      <c r="L5280" s="12" t="inlineStr">
        <is>
          <t>1/C</t>
        </is>
      </c>
      <c r="M5280" s="12" t="inlineStr">
        <is>
          <t>1000 kcmil</t>
        </is>
      </c>
      <c r="N5280" s="12" t="n">
        <v>1</v>
      </c>
      <c r="O5280" s="12" t="n">
        <v>3</v>
      </c>
      <c r="P5280" s="12" t="n">
        <v>13800</v>
      </c>
      <c r="Q5280" s="12" t="n">
        <v>12000</v>
      </c>
      <c r="R5280" s="12" t="n">
        <v>502</v>
      </c>
      <c r="S5280" s="12" t="inlineStr">
        <is>
          <t>Duct bank</t>
        </is>
      </c>
      <c r="T5280" s="16" t="n">
        <v>629</v>
      </c>
      <c r="U5280" s="16" t="n">
        <v>38</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J-MV-0002</t>
        </is>
      </c>
      <c r="B5281" s="12" t="inlineStr">
        <is>
          <t>J</t>
        </is>
      </c>
      <c r="C5281" s="12" t="inlineStr">
        <is>
          <t>GT inlet chilling</t>
        </is>
      </c>
      <c r="D5281" s="12" t="inlineStr">
        <is>
          <t>Inlet-chilling CW pump 1</t>
        </is>
      </c>
      <c r="E5281" s="12" t="inlineStr"/>
      <c r="F5281" s="12" t="inlineStr">
        <is>
          <t>Inlet-chilling e-house / transformer</t>
        </is>
      </c>
      <c r="G5281" s="12" t="inlineStr"/>
      <c r="H5281" s="12" t="inlineStr">
        <is>
          <t>CW pumps (inlet chilling)</t>
        </is>
      </c>
      <c r="I5281" s="12" t="inlineStr">
        <is>
          <t>MV 5 kV</t>
        </is>
      </c>
      <c r="J5281" s="12" t="inlineStr">
        <is>
          <t>MV-105 5 kV 3/C Cu, EPR 133%, tape shield, gnd, PVC jacket</t>
        </is>
      </c>
      <c r="K5281" s="12" t="inlineStr">
        <is>
          <t>MV5|3/C|2</t>
        </is>
      </c>
      <c r="L5281" s="12" t="inlineStr">
        <is>
          <t>3/C</t>
        </is>
      </c>
      <c r="M5281" s="12" t="inlineStr">
        <is>
          <t>2</t>
        </is>
      </c>
      <c r="N5281" s="12" t="n">
        <v>1</v>
      </c>
      <c r="O5281" s="12" t="n">
        <v>1</v>
      </c>
      <c r="P5281" s="12" t="n">
        <v>4160</v>
      </c>
      <c r="Q5281" s="12" t="n">
        <v>450</v>
      </c>
      <c r="R5281" s="12" t="n">
        <v>69</v>
      </c>
      <c r="S5281" s="12" t="inlineStr">
        <is>
          <t>Tray</t>
        </is>
      </c>
      <c r="T5281" s="16" t="n">
        <v>0</v>
      </c>
      <c r="U5281" s="16" t="n">
        <v>70</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J-MV-0003</t>
        </is>
      </c>
      <c r="B5282" s="12" t="inlineStr">
        <is>
          <t>J</t>
        </is>
      </c>
      <c r="C5282" s="12" t="inlineStr">
        <is>
          <t>GT inlet chilling</t>
        </is>
      </c>
      <c r="D5282" s="12" t="inlineStr">
        <is>
          <t>Inlet-chilling CW pump 2</t>
        </is>
      </c>
      <c r="E5282" s="12" t="inlineStr"/>
      <c r="F5282" s="12" t="inlineStr">
        <is>
          <t>Inlet-chilling e-house / transformer</t>
        </is>
      </c>
      <c r="G5282" s="12" t="inlineStr"/>
      <c r="H5282" s="12" t="inlineStr">
        <is>
          <t>CW pumps (inlet chilling)</t>
        </is>
      </c>
      <c r="I5282" s="12" t="inlineStr">
        <is>
          <t>MV 5 kV</t>
        </is>
      </c>
      <c r="J5282" s="12" t="inlineStr">
        <is>
          <t>MV-105 5 kV 3/C Cu, EPR 133%, tape shield, gnd, PVC jacket</t>
        </is>
      </c>
      <c r="K5282" s="12" t="inlineStr">
        <is>
          <t>MV5|3/C|2</t>
        </is>
      </c>
      <c r="L5282" s="12" t="inlineStr">
        <is>
          <t>3/C</t>
        </is>
      </c>
      <c r="M5282" s="12" t="inlineStr">
        <is>
          <t>2</t>
        </is>
      </c>
      <c r="N5282" s="12" t="n">
        <v>1</v>
      </c>
      <c r="O5282" s="12" t="n">
        <v>1</v>
      </c>
      <c r="P5282" s="12" t="n">
        <v>4160</v>
      </c>
      <c r="Q5282" s="12" t="n">
        <v>450</v>
      </c>
      <c r="R5282" s="12" t="n">
        <v>69</v>
      </c>
      <c r="S5282" s="12" t="inlineStr">
        <is>
          <t>Tray</t>
        </is>
      </c>
      <c r="T5282" s="16" t="n">
        <v>0</v>
      </c>
      <c r="U5282" s="16" t="n">
        <v>70</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J-MV-0004</t>
        </is>
      </c>
      <c r="B5283" s="12" t="inlineStr">
        <is>
          <t>J</t>
        </is>
      </c>
      <c r="C5283" s="12" t="inlineStr">
        <is>
          <t>GT inlet chilling</t>
        </is>
      </c>
      <c r="D5283" s="12" t="inlineStr">
        <is>
          <t>Inlet-chilling CW pump 3</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6" t="n">
        <v>0</v>
      </c>
      <c r="U5283" s="16" t="n">
        <v>70</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J-MV-0005</t>
        </is>
      </c>
      <c r="B5284" s="12" t="inlineStr">
        <is>
          <t>J</t>
        </is>
      </c>
      <c r="C5284" s="12" t="inlineStr">
        <is>
          <t>GT inlet chilling</t>
        </is>
      </c>
      <c r="D5284" s="12" t="inlineStr">
        <is>
          <t>Inlet-chilling CW pump 4</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6" t="n">
        <v>0</v>
      </c>
      <c r="U5284" s="16" t="n">
        <v>70</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J-MV-0006</t>
        </is>
      </c>
      <c r="B5285" s="12" t="inlineStr">
        <is>
          <t>J</t>
        </is>
      </c>
      <c r="C5285" s="12" t="inlineStr">
        <is>
          <t>GT inlet chilling</t>
        </is>
      </c>
      <c r="D5285" s="12" t="inlineStr">
        <is>
          <t>Water-cooled chiller CH-1</t>
        </is>
      </c>
      <c r="E5285" s="12" t="inlineStr"/>
      <c r="F5285" s="12" t="inlineStr">
        <is>
          <t>Inlet-chilling e-house / transformer</t>
        </is>
      </c>
      <c r="G5285" s="12" t="inlineStr"/>
      <c r="H5285" s="12" t="inlineStr">
        <is>
          <t>Chillers x6 (water-cooled)</t>
        </is>
      </c>
      <c r="I5285" s="12" t="inlineStr">
        <is>
          <t>MV 5 kV</t>
        </is>
      </c>
      <c r="J5285" s="12" t="inlineStr">
        <is>
          <t>MV-105 5 kV 3/C Cu, EPR 133%, tape shield, gnd, PVC jacket</t>
        </is>
      </c>
      <c r="K5285" s="12" t="inlineStr">
        <is>
          <t>MV5|3/C|250</t>
        </is>
      </c>
      <c r="L5285" s="12" t="inlineStr">
        <is>
          <t>3/C</t>
        </is>
      </c>
      <c r="M5285" s="12" t="inlineStr">
        <is>
          <t>250 kcmil</t>
        </is>
      </c>
      <c r="N5285" s="12" t="n">
        <v>1</v>
      </c>
      <c r="O5285" s="12" t="n">
        <v>1</v>
      </c>
      <c r="P5285" s="12" t="n">
        <v>4160</v>
      </c>
      <c r="Q5285" s="12" t="n">
        <v>1500</v>
      </c>
      <c r="R5285" s="12" t="n">
        <v>231</v>
      </c>
      <c r="S5285" s="12" t="inlineStr">
        <is>
          <t>Duct bank</t>
        </is>
      </c>
      <c r="T5285" s="16" t="n">
        <v>10</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J-MV-0007</t>
        </is>
      </c>
      <c r="B5286" s="12" t="inlineStr">
        <is>
          <t>J</t>
        </is>
      </c>
      <c r="C5286" s="12" t="inlineStr">
        <is>
          <t>GT inlet chilling</t>
        </is>
      </c>
      <c r="D5286" s="12" t="inlineStr">
        <is>
          <t>Water-cooled chiller CH-2</t>
        </is>
      </c>
      <c r="E5286" s="12" t="inlineStr"/>
      <c r="F5286" s="12" t="inlineStr">
        <is>
          <t>Inlet-chilling e-house / transformer</t>
        </is>
      </c>
      <c r="G5286" s="12" t="inlineStr"/>
      <c r="H5286" s="12" t="inlineStr">
        <is>
          <t>Chillers x6 (water-cooled)</t>
        </is>
      </c>
      <c r="I5286" s="12" t="inlineStr">
        <is>
          <t>MV 5 kV</t>
        </is>
      </c>
      <c r="J5286" s="12" t="inlineStr">
        <is>
          <t>MV-105 5 kV 3/C Cu, EPR 133%, tape shield, gnd, PVC jacket</t>
        </is>
      </c>
      <c r="K5286" s="12" t="inlineStr">
        <is>
          <t>MV5|3/C|250</t>
        </is>
      </c>
      <c r="L5286" s="12" t="inlineStr">
        <is>
          <t>3/C</t>
        </is>
      </c>
      <c r="M5286" s="12" t="inlineStr">
        <is>
          <t>250 kcmil</t>
        </is>
      </c>
      <c r="N5286" s="12" t="n">
        <v>1</v>
      </c>
      <c r="O5286" s="12" t="n">
        <v>1</v>
      </c>
      <c r="P5286" s="12" t="n">
        <v>4160</v>
      </c>
      <c r="Q5286" s="12" t="n">
        <v>1500</v>
      </c>
      <c r="R5286" s="12" t="n">
        <v>231</v>
      </c>
      <c r="S5286" s="12" t="inlineStr">
        <is>
          <t>Duct bank</t>
        </is>
      </c>
      <c r="T5286" s="16" t="n">
        <v>10</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J-MV-0008</t>
        </is>
      </c>
      <c r="B5287" s="12" t="inlineStr">
        <is>
          <t>J</t>
        </is>
      </c>
      <c r="C5287" s="12" t="inlineStr">
        <is>
          <t>GT inlet chilling</t>
        </is>
      </c>
      <c r="D5287" s="12" t="inlineStr">
        <is>
          <t>Water-cooled chiller CH-3</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6" t="n">
        <v>10</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J-MV-0009</t>
        </is>
      </c>
      <c r="B5288" s="12" t="inlineStr">
        <is>
          <t>J</t>
        </is>
      </c>
      <c r="C5288" s="12" t="inlineStr">
        <is>
          <t>GT inlet chilling</t>
        </is>
      </c>
      <c r="D5288" s="12" t="inlineStr">
        <is>
          <t>Water-cooled chiller CH-4</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6" t="n">
        <v>10</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J-MV-0010</t>
        </is>
      </c>
      <c r="B5289" s="12" t="inlineStr">
        <is>
          <t>J</t>
        </is>
      </c>
      <c r="C5289" s="12" t="inlineStr">
        <is>
          <t>GT inlet chilling</t>
        </is>
      </c>
      <c r="D5289" s="12" t="inlineStr">
        <is>
          <t>Water-cooled chiller CH-5</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6" t="n">
        <v>10</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J-MV-0011</t>
        </is>
      </c>
      <c r="B5290" s="12" t="inlineStr">
        <is>
          <t>J</t>
        </is>
      </c>
      <c r="C5290" s="12" t="inlineStr">
        <is>
          <t>GT inlet chilling</t>
        </is>
      </c>
      <c r="D5290" s="12" t="inlineStr">
        <is>
          <t>Water-cooled chiller CH-6</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6" t="n">
        <v>10</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K-L-0001</t>
        </is>
      </c>
      <c r="B5291" s="12" t="inlineStr">
        <is>
          <t>K</t>
        </is>
      </c>
      <c r="C5291" s="12" t="inlineStr">
        <is>
          <t>Fuel supply (adjacent market)</t>
        </is>
      </c>
      <c r="D5291" s="12" t="inlineStr">
        <is>
          <t>Lighting, receptacles and small power branch circuits (allowance)</t>
        </is>
      </c>
      <c r="E5291" s="12" t="inlineStr"/>
      <c r="F5291" s="12" t="inlineStr">
        <is>
          <t>H2 20: 13.8 kV e-house</t>
        </is>
      </c>
      <c r="G5291" s="12" t="inlineStr"/>
      <c r="H5291" s="12" t="inlineStr">
        <is>
          <t>H2 20: 13.8 kV e-house</t>
        </is>
      </c>
      <c r="I5291" s="12" t="inlineStr">
        <is>
          <t>Building wire</t>
        </is>
      </c>
      <c r="J5291" s="12" t="inlineStr">
        <is>
          <t>SIMpull THHN/THWN-2 600 V 1/C Cu (lighting, receptacles, small power)</t>
        </is>
      </c>
      <c r="K5291" s="12" t="inlineStr">
        <is>
          <t>THHN|1/C|12</t>
        </is>
      </c>
      <c r="L5291" s="12" t="inlineStr">
        <is>
          <t>1/C</t>
        </is>
      </c>
      <c r="M5291" s="12" t="inlineStr">
        <is>
          <t>12</t>
        </is>
      </c>
      <c r="N5291" s="12" t="n">
        <v>1</v>
      </c>
      <c r="O5291" s="12" t="n">
        <v>1</v>
      </c>
      <c r="P5291" s="12" t="n">
        <v>277</v>
      </c>
      <c r="Q5291" s="12" t="n"/>
      <c r="R5291" s="12" t="n"/>
      <c r="S5291" s="12" t="inlineStr">
        <is>
          <t>Conduit</t>
        </is>
      </c>
      <c r="T5291" s="16" t="n">
        <v>1536</v>
      </c>
      <c r="U5291" s="16" t="n">
        <v>0</v>
      </c>
      <c r="V5291" s="16">
        <f>ROUNDUP((T5291+U5291+2*'Read Me'!$B$13)*(1+'Read Me'!$B$12),-1)</f>
        <v/>
      </c>
      <c r="W5291" s="16">
        <f>V5291*N5291*O5291</f>
        <v/>
      </c>
      <c r="X5291" s="12">
        <f>IF(LEFT(I5291,2)="MV",2*N5291*IF(L5291="1/C",O5291,1),0)</f>
        <v/>
      </c>
      <c r="Y5291" s="12">
        <f>IF(OR(LEFT(K5291,4)="LVAX",LEFT(K5291,6)="MV15AX",LEFT(K5291,4)="CTAX",LEFT(K5291,2)="W|"),2*N5291*O5291,0)</f>
        <v/>
      </c>
      <c r="Z5291" s="12" t="inlineStr">
        <is>
          <t>allowance: 1.6 ft of conductor per ft2 of floor</t>
        </is>
      </c>
      <c r="AA5291" s="12">
        <f>N5291*O5291</f>
        <v/>
      </c>
    </row>
    <row r="5292">
      <c r="A5292" s="12" t="inlineStr">
        <is>
          <t>K-L-0002</t>
        </is>
      </c>
      <c r="B5292" s="12" t="inlineStr">
        <is>
          <t>K</t>
        </is>
      </c>
      <c r="C5292" s="12" t="inlineStr">
        <is>
          <t>Fuel supply (adjacent market)</t>
        </is>
      </c>
      <c r="D5292" s="12" t="inlineStr">
        <is>
          <t>Lighting, receptacles and small power branch circuits (allowance)</t>
        </is>
      </c>
      <c r="E5292" s="12" t="inlineStr"/>
      <c r="F5292" s="12" t="inlineStr">
        <is>
          <t>LNG 17: LNG e-house (13.8 kV / 480 V)</t>
        </is>
      </c>
      <c r="G5292" s="12" t="inlineStr"/>
      <c r="H5292" s="12" t="inlineStr">
        <is>
          <t>LNG 17: LNG e-house (13.8 kV / 480 V)</t>
        </is>
      </c>
      <c r="I5292" s="12" t="inlineStr">
        <is>
          <t>Building wire</t>
        </is>
      </c>
      <c r="J5292" s="12" t="inlineStr">
        <is>
          <t>SIMpull THHN/THWN-2 600 V 1/C Cu (lighting, receptacles, small power)</t>
        </is>
      </c>
      <c r="K5292" s="12" t="inlineStr">
        <is>
          <t>THHN|1/C|12</t>
        </is>
      </c>
      <c r="L5292" s="12" t="inlineStr">
        <is>
          <t>1/C</t>
        </is>
      </c>
      <c r="M5292" s="12" t="inlineStr">
        <is>
          <t>12</t>
        </is>
      </c>
      <c r="N5292" s="12" t="n">
        <v>1</v>
      </c>
      <c r="O5292" s="12" t="n">
        <v>1</v>
      </c>
      <c r="P5292" s="12" t="n">
        <v>277</v>
      </c>
      <c r="Q5292" s="12" t="n"/>
      <c r="R5292" s="12" t="n"/>
      <c r="S5292" s="12" t="inlineStr">
        <is>
          <t>Conduit</t>
        </is>
      </c>
      <c r="T5292" s="16" t="n">
        <v>896</v>
      </c>
      <c r="U5292" s="16" t="n">
        <v>0</v>
      </c>
      <c r="V5292" s="16">
        <f>ROUNDUP((T5292+U5292+2*'Read Me'!$B$13)*(1+'Read Me'!$B$12),-1)</f>
        <v/>
      </c>
      <c r="W5292" s="16">
        <f>V5292*N5292*O5292</f>
        <v/>
      </c>
      <c r="X5292" s="12">
        <f>IF(LEFT(I5292,2)="MV",2*N5292*IF(L5292="1/C",O5292,1),0)</f>
        <v/>
      </c>
      <c r="Y5292" s="12">
        <f>IF(OR(LEFT(K5292,4)="LVAX",LEFT(K5292,6)="MV15AX",LEFT(K5292,4)="CTAX",LEFT(K5292,2)="W|"),2*N5292*O5292,0)</f>
        <v/>
      </c>
      <c r="Z5292" s="12" t="inlineStr">
        <is>
          <t>allowance: 1.6 ft of conductor per ft2 of floor</t>
        </is>
      </c>
      <c r="AA5292" s="12">
        <f>N5292*O5292</f>
        <v/>
      </c>
    </row>
    <row r="5293">
      <c r="A5293" s="12" t="inlineStr">
        <is>
          <t>K-L-0003</t>
        </is>
      </c>
      <c r="B5293" s="12" t="inlineStr">
        <is>
          <t>K</t>
        </is>
      </c>
      <c r="C5293" s="12" t="inlineStr">
        <is>
          <t>Fuel supply (adjacent market)</t>
        </is>
      </c>
      <c r="D5293" s="12" t="inlineStr">
        <is>
          <t>Lighting, receptacles and small power branch circuits (allowance)</t>
        </is>
      </c>
      <c r="E5293" s="12" t="inlineStr"/>
      <c r="F5293" s="12" t="inlineStr">
        <is>
          <t>M&amp;R 6: regulation / flow control building</t>
        </is>
      </c>
      <c r="G5293" s="12" t="inlineStr"/>
      <c r="H5293" s="12" t="inlineStr">
        <is>
          <t>M&amp;R 6: regulation / flow control building</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6" t="n">
        <v>1440</v>
      </c>
      <c r="U5293" s="16" t="n">
        <v>0</v>
      </c>
      <c r="V5293" s="16">
        <f>ROUNDUP((T5293+U5293+2*'Read Me'!$B$13)*(1+'Read Me'!$B$12),-1)</f>
        <v/>
      </c>
      <c r="W5293" s="16">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K-L-0004</t>
        </is>
      </c>
      <c r="B5294" s="12" t="inlineStr">
        <is>
          <t>K</t>
        </is>
      </c>
      <c r="C5294" s="12" t="inlineStr">
        <is>
          <t>Fuel supply (adjacent market)</t>
        </is>
      </c>
      <c r="D5294" s="12" t="inlineStr">
        <is>
          <t>Lighting, receptacles and small power branch circuits (allowance)</t>
        </is>
      </c>
      <c r="E5294" s="12" t="inlineStr"/>
      <c r="F5294" s="12" t="inlineStr">
        <is>
          <t>M&amp;R 7: gas quality + measurement building</t>
        </is>
      </c>
      <c r="G5294" s="12" t="inlineStr"/>
      <c r="H5294" s="12" t="inlineStr">
        <is>
          <t>M&amp;R 7: gas quality + measurement building</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6" t="n">
        <v>205</v>
      </c>
      <c r="U5294" s="16" t="n">
        <v>0</v>
      </c>
      <c r="V5294" s="16">
        <f>ROUNDUP((T5294+U5294+2*'Read Me'!$B$13)*(1+'Read Me'!$B$12),-1)</f>
        <v/>
      </c>
      <c r="W5294" s="16">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K-C-0001</t>
        </is>
      </c>
      <c r="B5295" s="12" t="inlineStr">
        <is>
          <t>K</t>
        </is>
      </c>
      <c r="C5295" s="12" t="inlineStr">
        <is>
          <t>Fuel supply (adjacent market)</t>
        </is>
      </c>
      <c r="D5295" s="12" t="inlineStr">
        <is>
          <t>Motor 1 of 1: control / local station</t>
        </is>
      </c>
      <c r="E5295" s="12" t="inlineStr"/>
      <c r="F5295" s="12" t="inlineStr">
        <is>
          <t>H2 20: 13.8 kV e-house</t>
        </is>
      </c>
      <c r="G5295" s="12" t="inlineStr">
        <is>
          <t>T-H2</t>
        </is>
      </c>
      <c r="H5295" s="12" t="inlineStr">
        <is>
          <t>H2 19: T-H2 230/13.8 kV (about 40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Duct bank</t>
        </is>
      </c>
      <c r="T5295" s="16" t="n">
        <v>35</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K-C-0002</t>
        </is>
      </c>
      <c r="B5296" s="12" t="inlineStr">
        <is>
          <t>K</t>
        </is>
      </c>
      <c r="C5296" s="12" t="inlineStr">
        <is>
          <t>Fuel supply (adjacent market)</t>
        </is>
      </c>
      <c r="D5296" s="12" t="inlineStr">
        <is>
          <t>Solenoid to JB JB-T-H2-SOL01: 2 x 2/C (field cables)</t>
        </is>
      </c>
      <c r="E5296" s="12" t="inlineStr">
        <is>
          <t>T-H2</t>
        </is>
      </c>
      <c r="F5296" s="12" t="inlineStr">
        <is>
          <t>H2 19: T-H2 230/13.8 kV (about 40 MVA)</t>
        </is>
      </c>
      <c r="G5296" s="12" t="inlineStr">
        <is>
          <t>JB-T-H2-SOL01</t>
        </is>
      </c>
      <c r="H5296" s="12" t="inlineStr">
        <is>
          <t>H2 19: T-H2 230/13.8 kV (about 40 MVA)</t>
        </is>
      </c>
      <c r="I5296" s="12" t="inlineStr">
        <is>
          <t>Control</t>
        </is>
      </c>
      <c r="J5296" s="12" t="inlineStr">
        <is>
          <t>ARMOR-X MC-HL 600 V control, Cu #14 AWG (Class I Div 2)</t>
        </is>
      </c>
      <c r="K5296" s="12" t="inlineStr">
        <is>
          <t>CTAX|2/C|14</t>
        </is>
      </c>
      <c r="L5296" s="12" t="inlineStr">
        <is>
          <t>2/C</t>
        </is>
      </c>
      <c r="M5296" s="12" t="inlineStr">
        <is>
          <t>14</t>
        </is>
      </c>
      <c r="N5296" s="12" t="n">
        <v>2</v>
      </c>
      <c r="O5296" s="12" t="n">
        <v>1</v>
      </c>
      <c r="P5296" s="12" t="n"/>
      <c r="Q5296" s="12" t="n"/>
      <c r="R5296" s="12" t="n"/>
      <c r="S5296" s="12" t="inlineStr">
        <is>
          <t>Tray / conduit</t>
        </is>
      </c>
      <c r="T5296" s="16" t="n">
        <v>80</v>
      </c>
      <c r="U5296" s="16" t="n">
        <v>10</v>
      </c>
      <c r="V5296" s="16">
        <f>ROUNDUP((T5296+U5296+2*'Read Me'!$B$13)*(1+'Read Me'!$B$12),-1)</f>
        <v/>
      </c>
      <c r="W5296" s="16">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K-C-0003</t>
        </is>
      </c>
      <c r="B5297" s="12" t="inlineStr">
        <is>
          <t>K</t>
        </is>
      </c>
      <c r="C5297" s="12" t="inlineStr">
        <is>
          <t>Fuel supply (adjacent market)</t>
        </is>
      </c>
      <c r="D5297" s="12" t="inlineStr">
        <is>
          <t>Home run JB-T-H2-SOL01 to the control / marshalling room</t>
        </is>
      </c>
      <c r="E5297" s="12" t="inlineStr"/>
      <c r="F5297" s="12" t="inlineStr">
        <is>
          <t>H2 20: 13.8 kV e-house</t>
        </is>
      </c>
      <c r="G5297" s="12" t="inlineStr">
        <is>
          <t>JB-T-H2-SOL01</t>
        </is>
      </c>
      <c r="H5297" s="12" t="inlineStr">
        <is>
          <t>H2 19: T-H2 230/13.8 kV (about 40 MVA)</t>
        </is>
      </c>
      <c r="I5297" s="12" t="inlineStr">
        <is>
          <t>Control</t>
        </is>
      </c>
      <c r="J5297" s="12" t="inlineStr">
        <is>
          <t>ARMOR-X MC-HL 600 V control, Cu #14 AWG (Class I Div 2)</t>
        </is>
      </c>
      <c r="K5297" s="12" t="inlineStr">
        <is>
          <t>CTAX|25/C|14</t>
        </is>
      </c>
      <c r="L5297" s="12" t="inlineStr">
        <is>
          <t>25/C</t>
        </is>
      </c>
      <c r="M5297" s="12" t="inlineStr">
        <is>
          <t>14</t>
        </is>
      </c>
      <c r="N5297" s="12" t="n">
        <v>1</v>
      </c>
      <c r="O5297" s="12" t="n">
        <v>1</v>
      </c>
      <c r="P5297" s="12" t="n"/>
      <c r="Q5297" s="12" t="n"/>
      <c r="R5297" s="12" t="n"/>
      <c r="S5297" s="12" t="inlineStr">
        <is>
          <t>Duct bank</t>
        </is>
      </c>
      <c r="T5297" s="16" t="n">
        <v>35</v>
      </c>
      <c r="U5297" s="16" t="n">
        <v>32</v>
      </c>
      <c r="V5297" s="16">
        <f>ROUNDUP((T5297+U5297+2*'Read Me'!$B$13)*(1+'Read Me'!$B$12),-1)</f>
        <v/>
      </c>
      <c r="W5297" s="16">
        <f>V5297*N5297*O5297</f>
        <v/>
      </c>
      <c r="X5297" s="12">
        <f>IF(LEFT(I5297,2)="MV",2*N5297*IF(L5297="1/C",O5297,1),0)</f>
        <v/>
      </c>
      <c r="Y5297" s="12">
        <f>IF(OR(LEFT(K5297,4)="LVAX",LEFT(K5297,6)="MV15AX",LEFT(K5297,4)="CTAX",LEFT(K5297,2)="W|"),2*N5297*O5297,0)</f>
        <v/>
      </c>
      <c r="Z5297" s="12" t="inlineStr"/>
      <c r="AA5297" s="12">
        <f>N5297*O5297</f>
        <v/>
      </c>
    </row>
    <row r="5298">
      <c r="A5298" s="12" t="inlineStr">
        <is>
          <t>K-C-0004</t>
        </is>
      </c>
      <c r="B5298" s="12" t="inlineStr">
        <is>
          <t>K</t>
        </is>
      </c>
      <c r="C5298" s="12" t="inlineStr">
        <is>
          <t>Fuel supply (adjacent market)</t>
        </is>
      </c>
      <c r="D5298" s="12" t="inlineStr">
        <is>
          <t>Motor 1 of 1: control / local station</t>
        </is>
      </c>
      <c r="E5298" s="12" t="inlineStr"/>
      <c r="F5298" s="12" t="inlineStr">
        <is>
          <t>H2 20: 13.8 kV e-house</t>
        </is>
      </c>
      <c r="G5298" s="12" t="inlineStr"/>
      <c r="H5298" s="12" t="inlineStr">
        <is>
          <t>H2 20: 13.8 kV e-house</t>
        </is>
      </c>
      <c r="I5298" s="12" t="inlineStr">
        <is>
          <t>Control</t>
        </is>
      </c>
      <c r="J5298" s="12" t="inlineStr">
        <is>
          <t>ARMOR-X MC-HL 600 V control, Cu #14 AWG (Class I Div 2)</t>
        </is>
      </c>
      <c r="K5298" s="12" t="inlineStr">
        <is>
          <t>CTAX|7/C|14</t>
        </is>
      </c>
      <c r="L5298" s="12" t="inlineStr">
        <is>
          <t>7/C</t>
        </is>
      </c>
      <c r="M5298" s="12" t="inlineStr">
        <is>
          <t>14</t>
        </is>
      </c>
      <c r="N5298" s="12" t="n">
        <v>1</v>
      </c>
      <c r="O5298" s="12" t="n">
        <v>1</v>
      </c>
      <c r="P5298" s="12" t="n"/>
      <c r="Q5298" s="12" t="n"/>
      <c r="R5298" s="12" t="n"/>
      <c r="S5298" s="12" t="inlineStr">
        <is>
          <t>Tray</t>
        </is>
      </c>
      <c r="T5298" s="16" t="n">
        <v>0</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K-C-0005</t>
        </is>
      </c>
      <c r="B5299" s="12" t="inlineStr">
        <is>
          <t>K</t>
        </is>
      </c>
      <c r="C5299" s="12" t="inlineStr">
        <is>
          <t>Fuel supply (adjacent market)</t>
        </is>
      </c>
      <c r="D5299" s="12" t="inlineStr">
        <is>
          <t>Solenoid to JB JB-H2 20: 13.8 kV e-h-SOL01: 2 x 2/C (field cables)</t>
        </is>
      </c>
      <c r="E5299" s="12" t="inlineStr"/>
      <c r="F5299" s="12" t="inlineStr">
        <is>
          <t>H2 20: 13.8 kV e-house</t>
        </is>
      </c>
      <c r="G5299" s="12" t="inlineStr">
        <is>
          <t>JB-H2 20: 13.8 kV e-h-SOL01</t>
        </is>
      </c>
      <c r="H5299" s="12" t="inlineStr">
        <is>
          <t>H2 20: 13.8 kV e-house</t>
        </is>
      </c>
      <c r="I5299" s="12" t="inlineStr">
        <is>
          <t>Control</t>
        </is>
      </c>
      <c r="J5299" s="12" t="inlineStr">
        <is>
          <t>ARMOR-X MC-HL 600 V control, Cu #14 AWG (Class I Div 2)</t>
        </is>
      </c>
      <c r="K5299" s="12" t="inlineStr">
        <is>
          <t>CTAX|2/C|14</t>
        </is>
      </c>
      <c r="L5299" s="12" t="inlineStr">
        <is>
          <t>2/C</t>
        </is>
      </c>
      <c r="M5299" s="12" t="inlineStr">
        <is>
          <t>14</t>
        </is>
      </c>
      <c r="N5299" s="12" t="n">
        <v>2</v>
      </c>
      <c r="O5299" s="12" t="n">
        <v>1</v>
      </c>
      <c r="P5299" s="12" t="n"/>
      <c r="Q5299" s="12" t="n"/>
      <c r="R5299" s="12" t="n"/>
      <c r="S5299" s="12" t="inlineStr">
        <is>
          <t>Tray / conduit</t>
        </is>
      </c>
      <c r="T5299" s="16" t="n">
        <v>69</v>
      </c>
      <c r="U5299" s="16" t="n">
        <v>10</v>
      </c>
      <c r="V5299" s="16">
        <f>ROUNDUP((T5299+U5299+2*'Read Me'!$B$13)*(1+'Read Me'!$B$12),-1)</f>
        <v/>
      </c>
      <c r="W5299" s="16">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K-C-0006</t>
        </is>
      </c>
      <c r="B5300" s="12" t="inlineStr">
        <is>
          <t>K</t>
        </is>
      </c>
      <c r="C5300" s="12" t="inlineStr">
        <is>
          <t>Fuel supply (adjacent market)</t>
        </is>
      </c>
      <c r="D5300" s="12" t="inlineStr">
        <is>
          <t>Home run JB-H2 20: 13.8 kV e-h-SOL01 to the control / marshalling room</t>
        </is>
      </c>
      <c r="E5300" s="12" t="inlineStr"/>
      <c r="F5300" s="12" t="inlineStr">
        <is>
          <t>H2 20: 13.8 kV e-house</t>
        </is>
      </c>
      <c r="G5300" s="12" t="inlineStr">
        <is>
          <t>JB-H2 20: 13.8 kV e-h-SOL01</t>
        </is>
      </c>
      <c r="H5300" s="12" t="inlineStr">
        <is>
          <t>H2 20: 13.8 kV e-house</t>
        </is>
      </c>
      <c r="I5300" s="12" t="inlineStr">
        <is>
          <t>Control</t>
        </is>
      </c>
      <c r="J5300" s="12" t="inlineStr">
        <is>
          <t>ARMOR-X MC-HL 600 V control, Cu #14 AWG (Class I Div 2)</t>
        </is>
      </c>
      <c r="K5300" s="12" t="inlineStr">
        <is>
          <t>CTAX|25/C|14</t>
        </is>
      </c>
      <c r="L5300" s="12" t="inlineStr">
        <is>
          <t>25/C</t>
        </is>
      </c>
      <c r="M5300" s="12" t="inlineStr">
        <is>
          <t>14</t>
        </is>
      </c>
      <c r="N5300" s="12" t="n">
        <v>1</v>
      </c>
      <c r="O5300" s="12" t="n">
        <v>1</v>
      </c>
      <c r="P5300" s="12" t="n"/>
      <c r="Q5300" s="12" t="n"/>
      <c r="R5300" s="12" t="n"/>
      <c r="S5300" s="12" t="inlineStr">
        <is>
          <t>Tray</t>
        </is>
      </c>
      <c r="T5300" s="16" t="n">
        <v>0</v>
      </c>
      <c r="U5300" s="16" t="n">
        <v>32</v>
      </c>
      <c r="V5300" s="16">
        <f>ROUNDUP((T5300+U5300+2*'Read Me'!$B$13)*(1+'Read Me'!$B$12),-1)</f>
        <v/>
      </c>
      <c r="W5300" s="16">
        <f>V5300*N5300*O5300</f>
        <v/>
      </c>
      <c r="X5300" s="12">
        <f>IF(LEFT(I5300,2)="MV",2*N5300*IF(L5300="1/C",O5300,1),0)</f>
        <v/>
      </c>
      <c r="Y5300" s="12">
        <f>IF(OR(LEFT(K5300,4)="LVAX",LEFT(K5300,6)="MV15AX",LEFT(K5300,4)="CTAX",LEFT(K5300,2)="W|"),2*N5300*O5300,0)</f>
        <v/>
      </c>
      <c r="Z5300" s="12" t="inlineStr"/>
      <c r="AA5300" s="12">
        <f>N5300*O5300</f>
        <v/>
      </c>
    </row>
    <row r="5301">
      <c r="A5301" s="12" t="inlineStr">
        <is>
          <t>K-C-0007</t>
        </is>
      </c>
      <c r="B5301" s="12" t="inlineStr">
        <is>
          <t>K</t>
        </is>
      </c>
      <c r="C5301" s="12" t="inlineStr">
        <is>
          <t>Fuel supply (adjacent market)</t>
        </is>
      </c>
      <c r="D5301" s="12" t="inlineStr">
        <is>
          <t>Motor 1 of 1: control / local station</t>
        </is>
      </c>
      <c r="E5301" s="12" t="inlineStr"/>
      <c r="F5301" s="12" t="inlineStr">
        <is>
          <t>H2 20: 13.8 kV e-house</t>
        </is>
      </c>
      <c r="G5301" s="12" t="inlineStr"/>
      <c r="H5301" s="12" t="inlineStr">
        <is>
          <t>H2 21: rectifier transformer 1 (7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Duct bank</t>
        </is>
      </c>
      <c r="T5301" s="16" t="n">
        <v>356</v>
      </c>
      <c r="U5301" s="16" t="n">
        <v>48</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K-C-0008</t>
        </is>
      </c>
      <c r="B5302" s="12" t="inlineStr">
        <is>
          <t>K</t>
        </is>
      </c>
      <c r="C5302" s="12" t="inlineStr">
        <is>
          <t>Fuel supply (adjacent market)</t>
        </is>
      </c>
      <c r="D5302" s="12" t="inlineStr">
        <is>
          <t>Solenoid to JB JB-H2 21: rectifier t-SOL01: 2 x 2/C (field cables)</t>
        </is>
      </c>
      <c r="E5302" s="12" t="inlineStr"/>
      <c r="F5302" s="12" t="inlineStr">
        <is>
          <t>H2 21: rectifier transformer 1 (7 MVA)</t>
        </is>
      </c>
      <c r="G5302" s="12" t="inlineStr">
        <is>
          <t>JB-H2 21: rectifier t-SOL01</t>
        </is>
      </c>
      <c r="H5302" s="12" t="inlineStr">
        <is>
          <t>H2 21: rectifier transformer 1 (7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41</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K-C-0009</t>
        </is>
      </c>
      <c r="B5303" s="12" t="inlineStr">
        <is>
          <t>K</t>
        </is>
      </c>
      <c r="C5303" s="12" t="inlineStr">
        <is>
          <t>Fuel supply (adjacent market)</t>
        </is>
      </c>
      <c r="D5303" s="12" t="inlineStr">
        <is>
          <t>Home run JB-H2 21: rectifier t-SOL01 to the control / marshalling room</t>
        </is>
      </c>
      <c r="E5303" s="12" t="inlineStr"/>
      <c r="F5303" s="12" t="inlineStr">
        <is>
          <t>H2 20: 13.8 kV e-house</t>
        </is>
      </c>
      <c r="G5303" s="12" t="inlineStr">
        <is>
          <t>JB-H2 21: rectifier t-SOL01</t>
        </is>
      </c>
      <c r="H5303" s="12" t="inlineStr">
        <is>
          <t>H2 21: rectifier transformer 1 (7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Duct bank</t>
        </is>
      </c>
      <c r="T5303" s="16" t="n">
        <v>356</v>
      </c>
      <c r="U5303" s="16" t="n">
        <v>48</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K-C-0010</t>
        </is>
      </c>
      <c r="B5304" s="12" t="inlineStr">
        <is>
          <t>K</t>
        </is>
      </c>
      <c r="C5304" s="12" t="inlineStr">
        <is>
          <t>Fuel supply (adjacent market)</t>
        </is>
      </c>
      <c r="D5304" s="12" t="inlineStr">
        <is>
          <t>Control</t>
        </is>
      </c>
      <c r="E5304" s="12" t="inlineStr"/>
      <c r="F5304" s="12" t="inlineStr">
        <is>
          <t>H2 20: 13.8 kV e-house</t>
        </is>
      </c>
      <c r="G5304" s="12" t="inlineStr"/>
      <c r="H5304" s="12" t="inlineStr">
        <is>
          <t>H2 21: rectifier transformer 1 (7 MVA)</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Duct bank</t>
        </is>
      </c>
      <c r="T5304" s="16" t="n">
        <v>356</v>
      </c>
      <c r="U5304" s="16" t="n">
        <v>48</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K-C-0011</t>
        </is>
      </c>
      <c r="B5305" s="12" t="inlineStr">
        <is>
          <t>K</t>
        </is>
      </c>
      <c r="C5305" s="12" t="inlineStr">
        <is>
          <t>Fuel supply (adjacent market)</t>
        </is>
      </c>
      <c r="D5305" s="12" t="inlineStr">
        <is>
          <t>Control</t>
        </is>
      </c>
      <c r="E5305" s="12" t="inlineStr"/>
      <c r="F5305" s="12" t="inlineStr">
        <is>
          <t>H2 20: 13.8 kV e-house</t>
        </is>
      </c>
      <c r="G5305" s="12" t="inlineStr"/>
      <c r="H5305" s="12" t="inlineStr">
        <is>
          <t>H2 21: rectifier transformer 1 (7 MVA)</t>
        </is>
      </c>
      <c r="I5305" s="12" t="inlineStr">
        <is>
          <t>Control</t>
        </is>
      </c>
      <c r="J5305" s="12" t="inlineStr">
        <is>
          <t>ARMOR-X MC-HL 600 V control, Cu #14 AWG (Class I Div 2)</t>
        </is>
      </c>
      <c r="K5305" s="12" t="inlineStr">
        <is>
          <t>CTAX|12/C|14</t>
        </is>
      </c>
      <c r="L5305" s="12" t="inlineStr">
        <is>
          <t>12/C</t>
        </is>
      </c>
      <c r="M5305" s="12" t="inlineStr">
        <is>
          <t>14</t>
        </is>
      </c>
      <c r="N5305" s="12" t="n">
        <v>1</v>
      </c>
      <c r="O5305" s="12" t="n">
        <v>1</v>
      </c>
      <c r="P5305" s="12" t="n"/>
      <c r="Q5305" s="12" t="n"/>
      <c r="R5305" s="12" t="n"/>
      <c r="S5305" s="12" t="inlineStr">
        <is>
          <t>Duct bank</t>
        </is>
      </c>
      <c r="T5305" s="16" t="n">
        <v>356</v>
      </c>
      <c r="U5305" s="16" t="n">
        <v>48</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K-C-0012</t>
        </is>
      </c>
      <c r="B5306" s="12" t="inlineStr">
        <is>
          <t>K</t>
        </is>
      </c>
      <c r="C5306" s="12" t="inlineStr">
        <is>
          <t>Fuel supply (adjacent market)</t>
        </is>
      </c>
      <c r="D5306" s="12" t="inlineStr">
        <is>
          <t>CT / VT</t>
        </is>
      </c>
      <c r="E5306" s="12" t="inlineStr"/>
      <c r="F5306" s="12" t="inlineStr">
        <is>
          <t>H2 20: 13.8 kV e-house</t>
        </is>
      </c>
      <c r="G5306" s="12" t="inlineStr"/>
      <c r="H5306" s="12" t="inlineStr">
        <is>
          <t>H2 21: rectifier transformer 1 (7 MVA)</t>
        </is>
      </c>
      <c r="I5306" s="12" t="inlineStr">
        <is>
          <t>Control</t>
        </is>
      </c>
      <c r="J5306" s="12" t="inlineStr">
        <is>
          <t>Control cable 600 V Type TC-ER, Cu #10 AWG (CT / VT circuits)</t>
        </is>
      </c>
      <c r="K5306" s="12" t="inlineStr">
        <is>
          <t>CTCT|4/C|10</t>
        </is>
      </c>
      <c r="L5306" s="12" t="inlineStr">
        <is>
          <t>4/C</t>
        </is>
      </c>
      <c r="M5306" s="12" t="inlineStr">
        <is>
          <t>10</t>
        </is>
      </c>
      <c r="N5306" s="12" t="n">
        <v>1</v>
      </c>
      <c r="O5306" s="12" t="n">
        <v>1</v>
      </c>
      <c r="P5306" s="12" t="n"/>
      <c r="Q5306" s="12" t="n"/>
      <c r="R5306" s="12" t="n"/>
      <c r="S5306" s="12" t="inlineStr">
        <is>
          <t>Duct bank</t>
        </is>
      </c>
      <c r="T5306" s="16" t="n">
        <v>356</v>
      </c>
      <c r="U5306" s="16" t="n">
        <v>48</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K-C-0013</t>
        </is>
      </c>
      <c r="B5307" s="12" t="inlineStr">
        <is>
          <t>K</t>
        </is>
      </c>
      <c r="C5307" s="12" t="inlineStr">
        <is>
          <t>Fuel supply (adjacent market)</t>
        </is>
      </c>
      <c r="D5307" s="12" t="inlineStr">
        <is>
          <t>CT / VT</t>
        </is>
      </c>
      <c r="E5307" s="12" t="inlineStr"/>
      <c r="F5307" s="12" t="inlineStr">
        <is>
          <t>H2 20: 13.8 kV e-house</t>
        </is>
      </c>
      <c r="G5307" s="12" t="inlineStr"/>
      <c r="H5307" s="12" t="inlineStr">
        <is>
          <t>H2 21: rectifier transformer 1 (7 MVA)</t>
        </is>
      </c>
      <c r="I5307" s="12" t="inlineStr">
        <is>
          <t>Control</t>
        </is>
      </c>
      <c r="J5307" s="12" t="inlineStr">
        <is>
          <t>Control cable 600 V Type TC-ER, Cu #10 AWG (CT / VT circuits)</t>
        </is>
      </c>
      <c r="K5307" s="12" t="inlineStr">
        <is>
          <t>CTCT|4/C|10</t>
        </is>
      </c>
      <c r="L5307" s="12" t="inlineStr">
        <is>
          <t>4/C</t>
        </is>
      </c>
      <c r="M5307" s="12" t="inlineStr">
        <is>
          <t>10</t>
        </is>
      </c>
      <c r="N5307" s="12" t="n">
        <v>1</v>
      </c>
      <c r="O5307" s="12" t="n">
        <v>1</v>
      </c>
      <c r="P5307" s="12" t="n"/>
      <c r="Q5307" s="12" t="n"/>
      <c r="R5307" s="12" t="n"/>
      <c r="S5307" s="12" t="inlineStr">
        <is>
          <t>Duct bank</t>
        </is>
      </c>
      <c r="T5307" s="16" t="n">
        <v>356</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K-C-0014</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21: rectifier transformer 2 (7 MVA)</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356</v>
      </c>
      <c r="U5308" s="16" t="n">
        <v>32</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K-C-0015</t>
        </is>
      </c>
      <c r="B5309" s="12" t="inlineStr">
        <is>
          <t>K</t>
        </is>
      </c>
      <c r="C5309" s="12" t="inlineStr">
        <is>
          <t>Fuel supply (adjacent market)</t>
        </is>
      </c>
      <c r="D5309" s="12" t="inlineStr">
        <is>
          <t>Solenoid to JB JB-H2 21: rectifier t-SOL01: 2 x 2/C (field cables)</t>
        </is>
      </c>
      <c r="E5309" s="12" t="inlineStr"/>
      <c r="F5309" s="12" t="inlineStr">
        <is>
          <t>H2 21: rectifier transformer 2 (7 MVA)</t>
        </is>
      </c>
      <c r="G5309" s="12" t="inlineStr">
        <is>
          <t>JB-H2 21: rectifier t-SOL01</t>
        </is>
      </c>
      <c r="H5309" s="12" t="inlineStr">
        <is>
          <t>H2 21: rectifier transformer 2 (7 MVA)</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41</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K-C-0016</t>
        </is>
      </c>
      <c r="B5310" s="12" t="inlineStr">
        <is>
          <t>K</t>
        </is>
      </c>
      <c r="C5310" s="12" t="inlineStr">
        <is>
          <t>Fuel supply (adjacent market)</t>
        </is>
      </c>
      <c r="D5310" s="12" t="inlineStr">
        <is>
          <t>Home run JB-H2 21: rectifier t-SOL01 to the control / marshalling room</t>
        </is>
      </c>
      <c r="E5310" s="12" t="inlineStr"/>
      <c r="F5310" s="12" t="inlineStr">
        <is>
          <t>H2 20: 13.8 kV e-house</t>
        </is>
      </c>
      <c r="G5310" s="12" t="inlineStr">
        <is>
          <t>JB-H2 21: rectifier t-SOL01</t>
        </is>
      </c>
      <c r="H5310" s="12" t="inlineStr">
        <is>
          <t>H2 21: rectifier transformer 2 (7 MVA)</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356</v>
      </c>
      <c r="U5310" s="16" t="n">
        <v>32</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K-C-0017</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2 (7 MVA)</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356</v>
      </c>
      <c r="U5311" s="16" t="n">
        <v>32</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K-C-0018</t>
        </is>
      </c>
      <c r="B5312" s="12" t="inlineStr">
        <is>
          <t>K</t>
        </is>
      </c>
      <c r="C5312" s="12" t="inlineStr">
        <is>
          <t>Fuel supply (adjacent market)</t>
        </is>
      </c>
      <c r="D5312" s="12" t="inlineStr">
        <is>
          <t>Control</t>
        </is>
      </c>
      <c r="E5312" s="12" t="inlineStr"/>
      <c r="F5312" s="12" t="inlineStr">
        <is>
          <t>H2 20: 13.8 kV e-house</t>
        </is>
      </c>
      <c r="G5312" s="12" t="inlineStr"/>
      <c r="H5312" s="12" t="inlineStr">
        <is>
          <t>H2 21: rectifier transformer 2 (7 MVA)</t>
        </is>
      </c>
      <c r="I5312" s="12" t="inlineStr">
        <is>
          <t>Control</t>
        </is>
      </c>
      <c r="J5312" s="12" t="inlineStr">
        <is>
          <t>ARMOR-X MC-HL 600 V control, Cu #14 AWG (Class I Div 2)</t>
        </is>
      </c>
      <c r="K5312" s="12" t="inlineStr">
        <is>
          <t>CTAX|12/C|14</t>
        </is>
      </c>
      <c r="L5312" s="12" t="inlineStr">
        <is>
          <t>12/C</t>
        </is>
      </c>
      <c r="M5312" s="12" t="inlineStr">
        <is>
          <t>14</t>
        </is>
      </c>
      <c r="N5312" s="12" t="n">
        <v>1</v>
      </c>
      <c r="O5312" s="12" t="n">
        <v>1</v>
      </c>
      <c r="P5312" s="12" t="n"/>
      <c r="Q5312" s="12" t="n"/>
      <c r="R5312" s="12" t="n"/>
      <c r="S5312" s="12" t="inlineStr">
        <is>
          <t>Duct bank</t>
        </is>
      </c>
      <c r="T5312" s="16" t="n">
        <v>356</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K-C-0019</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2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356</v>
      </c>
      <c r="U5313" s="16" t="n">
        <v>32</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K-C-0020</t>
        </is>
      </c>
      <c r="B5314" s="12" t="inlineStr">
        <is>
          <t>K</t>
        </is>
      </c>
      <c r="C5314" s="12" t="inlineStr">
        <is>
          <t>Fuel supply (adjacent market)</t>
        </is>
      </c>
      <c r="D5314" s="12" t="inlineStr">
        <is>
          <t>CT / VT</t>
        </is>
      </c>
      <c r="E5314" s="12" t="inlineStr"/>
      <c r="F5314" s="12" t="inlineStr">
        <is>
          <t>H2 20: 13.8 kV e-house</t>
        </is>
      </c>
      <c r="G5314" s="12" t="inlineStr"/>
      <c r="H5314" s="12" t="inlineStr">
        <is>
          <t>H2 21: rectifier transformer 2 (7 MVA)</t>
        </is>
      </c>
      <c r="I5314" s="12" t="inlineStr">
        <is>
          <t>Control</t>
        </is>
      </c>
      <c r="J5314" s="12" t="inlineStr">
        <is>
          <t>Control cable 600 V Type TC-ER, Cu #10 AWG (CT / VT circuits)</t>
        </is>
      </c>
      <c r="K5314" s="12" t="inlineStr">
        <is>
          <t>CTCT|4/C|10</t>
        </is>
      </c>
      <c r="L5314" s="12" t="inlineStr">
        <is>
          <t>4/C</t>
        </is>
      </c>
      <c r="M5314" s="12" t="inlineStr">
        <is>
          <t>10</t>
        </is>
      </c>
      <c r="N5314" s="12" t="n">
        <v>1</v>
      </c>
      <c r="O5314" s="12" t="n">
        <v>1</v>
      </c>
      <c r="P5314" s="12" t="n"/>
      <c r="Q5314" s="12" t="n"/>
      <c r="R5314" s="12" t="n"/>
      <c r="S5314" s="12" t="inlineStr">
        <is>
          <t>Duct bank</t>
        </is>
      </c>
      <c r="T5314" s="16" t="n">
        <v>356</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K-C-0021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21: rectifier transformer 3 (7 MVA)</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6" t="n">
        <v>334</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K-C-0022</t>
        </is>
      </c>
      <c r="B5316" s="12" t="inlineStr">
        <is>
          <t>K</t>
        </is>
      </c>
      <c r="C5316" s="12" t="inlineStr">
        <is>
          <t>Fuel supply (adjacent market)</t>
        </is>
      </c>
      <c r="D5316" s="12" t="inlineStr">
        <is>
          <t>Solenoid to JB JB-H2 21: rectifier t-SOL01: 2 x 2/C (field cables)</t>
        </is>
      </c>
      <c r="E5316" s="12" t="inlineStr"/>
      <c r="F5316" s="12" t="inlineStr">
        <is>
          <t>H2 21: rectifier transformer 3 (7 MVA)</t>
        </is>
      </c>
      <c r="G5316" s="12" t="inlineStr">
        <is>
          <t>JB-H2 21: rectifier t-SOL01</t>
        </is>
      </c>
      <c r="H5316" s="12" t="inlineStr">
        <is>
          <t>H2 21: rectifier transformer 3 (7 MVA)</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6" t="n">
        <v>41</v>
      </c>
      <c r="U5316" s="16" t="n">
        <v>10</v>
      </c>
      <c r="V5316" s="16">
        <f>ROUNDUP((T5316+U5316+2*'Read Me'!$B$13)*(1+'Read Me'!$B$12),-1)</f>
        <v/>
      </c>
      <c r="W5316" s="16">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K-C-0023</t>
        </is>
      </c>
      <c r="B5317" s="12" t="inlineStr">
        <is>
          <t>K</t>
        </is>
      </c>
      <c r="C5317" s="12" t="inlineStr">
        <is>
          <t>Fuel supply (adjacent market)</t>
        </is>
      </c>
      <c r="D5317" s="12" t="inlineStr">
        <is>
          <t>Home run JB-H2 21: rectifier t-SOL01 to the control / marshalling room</t>
        </is>
      </c>
      <c r="E5317" s="12" t="inlineStr"/>
      <c r="F5317" s="12" t="inlineStr">
        <is>
          <t>H2 20: 13.8 kV e-house</t>
        </is>
      </c>
      <c r="G5317" s="12" t="inlineStr">
        <is>
          <t>JB-H2 21: rectifier t-SOL01</t>
        </is>
      </c>
      <c r="H5317" s="12" t="inlineStr">
        <is>
          <t>H2 21: rectifier transformer 3 (7 MVA)</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6" t="n">
        <v>334</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K-C-0024</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3 (7 MVA)</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6" t="n">
        <v>334</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K-C-0025</t>
        </is>
      </c>
      <c r="B5319" s="12" t="inlineStr">
        <is>
          <t>K</t>
        </is>
      </c>
      <c r="C5319" s="12" t="inlineStr">
        <is>
          <t>Fuel supply (adjacent market)</t>
        </is>
      </c>
      <c r="D5319" s="12" t="inlineStr">
        <is>
          <t>Control</t>
        </is>
      </c>
      <c r="E5319" s="12" t="inlineStr"/>
      <c r="F5319" s="12" t="inlineStr">
        <is>
          <t>H2 20: 13.8 kV e-house</t>
        </is>
      </c>
      <c r="G5319" s="12" t="inlineStr"/>
      <c r="H5319" s="12" t="inlineStr">
        <is>
          <t>H2 21: rectifier transformer 3 (7 MVA)</t>
        </is>
      </c>
      <c r="I5319" s="12" t="inlineStr">
        <is>
          <t>Control</t>
        </is>
      </c>
      <c r="J5319" s="12" t="inlineStr">
        <is>
          <t>ARMOR-X MC-HL 600 V control, Cu #14 AWG (Class I Div 2)</t>
        </is>
      </c>
      <c r="K5319" s="12" t="inlineStr">
        <is>
          <t>CTAX|12/C|14</t>
        </is>
      </c>
      <c r="L5319" s="12" t="inlineStr">
        <is>
          <t>12/C</t>
        </is>
      </c>
      <c r="M5319" s="12" t="inlineStr">
        <is>
          <t>14</t>
        </is>
      </c>
      <c r="N5319" s="12" t="n">
        <v>1</v>
      </c>
      <c r="O5319" s="12" t="n">
        <v>1</v>
      </c>
      <c r="P5319" s="12" t="n"/>
      <c r="Q5319" s="12" t="n"/>
      <c r="R5319" s="12" t="n"/>
      <c r="S5319" s="12" t="inlineStr">
        <is>
          <t>Duct bank</t>
        </is>
      </c>
      <c r="T5319" s="16" t="n">
        <v>334</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K-C-0026</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3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334</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K-C-0027</t>
        </is>
      </c>
      <c r="B5321" s="12" t="inlineStr">
        <is>
          <t>K</t>
        </is>
      </c>
      <c r="C5321" s="12" t="inlineStr">
        <is>
          <t>Fuel supply (adjacent market)</t>
        </is>
      </c>
      <c r="D5321" s="12" t="inlineStr">
        <is>
          <t>CT / VT</t>
        </is>
      </c>
      <c r="E5321" s="12" t="inlineStr"/>
      <c r="F5321" s="12" t="inlineStr">
        <is>
          <t>H2 20: 13.8 kV e-house</t>
        </is>
      </c>
      <c r="G5321" s="12" t="inlineStr"/>
      <c r="H5321" s="12" t="inlineStr">
        <is>
          <t>H2 21: rectifier transformer 3 (7 MVA)</t>
        </is>
      </c>
      <c r="I5321" s="12" t="inlineStr">
        <is>
          <t>Control</t>
        </is>
      </c>
      <c r="J5321" s="12" t="inlineStr">
        <is>
          <t>Control cable 600 V Type TC-ER, Cu #10 AWG (CT / VT circuits)</t>
        </is>
      </c>
      <c r="K5321" s="12" t="inlineStr">
        <is>
          <t>CTCT|4/C|10</t>
        </is>
      </c>
      <c r="L5321" s="12" t="inlineStr">
        <is>
          <t>4/C</t>
        </is>
      </c>
      <c r="M5321" s="12" t="inlineStr">
        <is>
          <t>10</t>
        </is>
      </c>
      <c r="N5321" s="12" t="n">
        <v>1</v>
      </c>
      <c r="O5321" s="12" t="n">
        <v>1</v>
      </c>
      <c r="P5321" s="12" t="n"/>
      <c r="Q5321" s="12" t="n"/>
      <c r="R5321" s="12" t="n"/>
      <c r="S5321" s="12" t="inlineStr">
        <is>
          <t>Duct bank</t>
        </is>
      </c>
      <c r="T5321" s="16" t="n">
        <v>334</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K-C-0028</t>
        </is>
      </c>
      <c r="B5322" s="12" t="inlineStr">
        <is>
          <t>K</t>
        </is>
      </c>
      <c r="C5322" s="12" t="inlineStr">
        <is>
          <t>Fuel supply (adjacent market)</t>
        </is>
      </c>
      <c r="D5322" s="12" t="inlineStr">
        <is>
          <t>Motor 1 of 1: control / local station</t>
        </is>
      </c>
      <c r="E5322" s="12" t="inlineStr"/>
      <c r="F5322" s="12" t="inlineStr">
        <is>
          <t>H2 20: 13.8 kV e-house</t>
        </is>
      </c>
      <c r="G5322" s="12" t="inlineStr"/>
      <c r="H5322" s="12" t="inlineStr">
        <is>
          <t>H2 21: rectifier transformer 4 (7 MVA)</t>
        </is>
      </c>
      <c r="I5322" s="12" t="inlineStr">
        <is>
          <t>Control</t>
        </is>
      </c>
      <c r="J5322" s="12" t="inlineStr">
        <is>
          <t>ARMOR-X MC-HL 600 V control, Cu #14 AWG (Class I Div 2)</t>
        </is>
      </c>
      <c r="K5322" s="12" t="inlineStr">
        <is>
          <t>CTAX|7/C|14</t>
        </is>
      </c>
      <c r="L5322" s="12" t="inlineStr">
        <is>
          <t>7/C</t>
        </is>
      </c>
      <c r="M5322" s="12" t="inlineStr">
        <is>
          <t>14</t>
        </is>
      </c>
      <c r="N5322" s="12" t="n">
        <v>1</v>
      </c>
      <c r="O5322" s="12" t="n">
        <v>1</v>
      </c>
      <c r="P5322" s="12" t="n"/>
      <c r="Q5322" s="12" t="n"/>
      <c r="R5322" s="12" t="n"/>
      <c r="S5322" s="12" t="inlineStr">
        <is>
          <t>Duct bank</t>
        </is>
      </c>
      <c r="T5322" s="16" t="n">
        <v>312</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K-C-0029</t>
        </is>
      </c>
      <c r="B5323" s="12" t="inlineStr">
        <is>
          <t>K</t>
        </is>
      </c>
      <c r="C5323" s="12" t="inlineStr">
        <is>
          <t>Fuel supply (adjacent market)</t>
        </is>
      </c>
      <c r="D5323" s="12" t="inlineStr">
        <is>
          <t>Solenoid to JB JB-H2 21: rectifier t-SOL01: 2 x 2/C (field cables)</t>
        </is>
      </c>
      <c r="E5323" s="12" t="inlineStr"/>
      <c r="F5323" s="12" t="inlineStr">
        <is>
          <t>H2 21: rectifier transformer 4 (7 MVA)</t>
        </is>
      </c>
      <c r="G5323" s="12" t="inlineStr">
        <is>
          <t>JB-H2 21: rectifier t-SOL01</t>
        </is>
      </c>
      <c r="H5323" s="12" t="inlineStr">
        <is>
          <t>H2 21: rectifier transformer 4 (7 MVA)</t>
        </is>
      </c>
      <c r="I5323" s="12" t="inlineStr">
        <is>
          <t>Control</t>
        </is>
      </c>
      <c r="J5323" s="12" t="inlineStr">
        <is>
          <t>ARMOR-X MC-HL 600 V control, Cu #14 AWG (Class I Div 2)</t>
        </is>
      </c>
      <c r="K5323" s="12" t="inlineStr">
        <is>
          <t>CTAX|2/C|14</t>
        </is>
      </c>
      <c r="L5323" s="12" t="inlineStr">
        <is>
          <t>2/C</t>
        </is>
      </c>
      <c r="M5323" s="12" t="inlineStr">
        <is>
          <t>14</t>
        </is>
      </c>
      <c r="N5323" s="12" t="n">
        <v>2</v>
      </c>
      <c r="O5323" s="12" t="n">
        <v>1</v>
      </c>
      <c r="P5323" s="12" t="n"/>
      <c r="Q5323" s="12" t="n"/>
      <c r="R5323" s="12" t="n"/>
      <c r="S5323" s="12" t="inlineStr">
        <is>
          <t>Tray / conduit</t>
        </is>
      </c>
      <c r="T5323" s="16" t="n">
        <v>41</v>
      </c>
      <c r="U5323" s="16" t="n">
        <v>10</v>
      </c>
      <c r="V5323" s="16">
        <f>ROUNDUP((T5323+U5323+2*'Read Me'!$B$13)*(1+'Read Me'!$B$12),-1)</f>
        <v/>
      </c>
      <c r="W5323" s="16">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K-C-0030</t>
        </is>
      </c>
      <c r="B5324" s="12" t="inlineStr">
        <is>
          <t>K</t>
        </is>
      </c>
      <c r="C5324" s="12" t="inlineStr">
        <is>
          <t>Fuel supply (adjacent market)</t>
        </is>
      </c>
      <c r="D5324" s="12" t="inlineStr">
        <is>
          <t>Home run JB-H2 21: rectifier t-SOL01 to the control / marshalling room</t>
        </is>
      </c>
      <c r="E5324" s="12" t="inlineStr"/>
      <c r="F5324" s="12" t="inlineStr">
        <is>
          <t>H2 20: 13.8 kV e-house</t>
        </is>
      </c>
      <c r="G5324" s="12" t="inlineStr">
        <is>
          <t>JB-H2 21: rectifier t-SOL01</t>
        </is>
      </c>
      <c r="H5324" s="12" t="inlineStr">
        <is>
          <t>H2 21: rectifier transformer 4 (7 MVA)</t>
        </is>
      </c>
      <c r="I5324" s="12" t="inlineStr">
        <is>
          <t>Control</t>
        </is>
      </c>
      <c r="J5324" s="12" t="inlineStr">
        <is>
          <t>ARMOR-X MC-HL 600 V control, Cu #14 AWG (Class I Div 2)</t>
        </is>
      </c>
      <c r="K5324" s="12" t="inlineStr">
        <is>
          <t>CTAX|25/C|14</t>
        </is>
      </c>
      <c r="L5324" s="12" t="inlineStr">
        <is>
          <t>25/C</t>
        </is>
      </c>
      <c r="M5324" s="12" t="inlineStr">
        <is>
          <t>14</t>
        </is>
      </c>
      <c r="N5324" s="12" t="n">
        <v>1</v>
      </c>
      <c r="O5324" s="12" t="n">
        <v>1</v>
      </c>
      <c r="P5324" s="12" t="n"/>
      <c r="Q5324" s="12" t="n"/>
      <c r="R5324" s="12" t="n"/>
      <c r="S5324" s="12" t="inlineStr">
        <is>
          <t>Duct bank</t>
        </is>
      </c>
      <c r="T5324" s="16" t="n">
        <v>312</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K-C-0031</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4 (7 MVA)</t>
        </is>
      </c>
      <c r="I5325" s="12" t="inlineStr">
        <is>
          <t>Control</t>
        </is>
      </c>
      <c r="J5325" s="12" t="inlineStr">
        <is>
          <t>ARMOR-X MC-HL 600 V control, Cu #14 AWG (Class I Div 2)</t>
        </is>
      </c>
      <c r="K5325" s="12" t="inlineStr">
        <is>
          <t>CTAX|7/C|14</t>
        </is>
      </c>
      <c r="L5325" s="12" t="inlineStr">
        <is>
          <t>7/C</t>
        </is>
      </c>
      <c r="M5325" s="12" t="inlineStr">
        <is>
          <t>14</t>
        </is>
      </c>
      <c r="N5325" s="12" t="n">
        <v>1</v>
      </c>
      <c r="O5325" s="12" t="n">
        <v>1</v>
      </c>
      <c r="P5325" s="12" t="n"/>
      <c r="Q5325" s="12" t="n"/>
      <c r="R5325" s="12" t="n"/>
      <c r="S5325" s="12" t="inlineStr">
        <is>
          <t>Duct bank</t>
        </is>
      </c>
      <c r="T5325" s="16" t="n">
        <v>312</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K-C-0032</t>
        </is>
      </c>
      <c r="B5326" s="12" t="inlineStr">
        <is>
          <t>K</t>
        </is>
      </c>
      <c r="C5326" s="12" t="inlineStr">
        <is>
          <t>Fuel supply (adjacent market)</t>
        </is>
      </c>
      <c r="D5326" s="12" t="inlineStr">
        <is>
          <t>Control</t>
        </is>
      </c>
      <c r="E5326" s="12" t="inlineStr"/>
      <c r="F5326" s="12" t="inlineStr">
        <is>
          <t>H2 20: 13.8 kV e-house</t>
        </is>
      </c>
      <c r="G5326" s="12" t="inlineStr"/>
      <c r="H5326" s="12" t="inlineStr">
        <is>
          <t>H2 21: rectifier transformer 4 (7 MVA)</t>
        </is>
      </c>
      <c r="I5326" s="12" t="inlineStr">
        <is>
          <t>Control</t>
        </is>
      </c>
      <c r="J5326" s="12" t="inlineStr">
        <is>
          <t>ARMOR-X MC-HL 600 V control, Cu #14 AWG (Class I Div 2)</t>
        </is>
      </c>
      <c r="K5326" s="12" t="inlineStr">
        <is>
          <t>CTAX|12/C|14</t>
        </is>
      </c>
      <c r="L5326" s="12" t="inlineStr">
        <is>
          <t>12/C</t>
        </is>
      </c>
      <c r="M5326" s="12" t="inlineStr">
        <is>
          <t>14</t>
        </is>
      </c>
      <c r="N5326" s="12" t="n">
        <v>1</v>
      </c>
      <c r="O5326" s="12" t="n">
        <v>1</v>
      </c>
      <c r="P5326" s="12" t="n"/>
      <c r="Q5326" s="12" t="n"/>
      <c r="R5326" s="12" t="n"/>
      <c r="S5326" s="12" t="inlineStr">
        <is>
          <t>Duct bank</t>
        </is>
      </c>
      <c r="T5326" s="16" t="n">
        <v>312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K-C-0033</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4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312</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K-C-0034</t>
        </is>
      </c>
      <c r="B5328" s="12" t="inlineStr">
        <is>
          <t>K</t>
        </is>
      </c>
      <c r="C5328" s="12" t="inlineStr">
        <is>
          <t>Fuel supply (adjacent market)</t>
        </is>
      </c>
      <c r="D5328" s="12" t="inlineStr">
        <is>
          <t>CT / VT</t>
        </is>
      </c>
      <c r="E5328" s="12" t="inlineStr"/>
      <c r="F5328" s="12" t="inlineStr">
        <is>
          <t>H2 20: 13.8 kV e-house</t>
        </is>
      </c>
      <c r="G5328" s="12" t="inlineStr"/>
      <c r="H5328" s="12" t="inlineStr">
        <is>
          <t>H2 21: rectifier transformer 4 (7 MVA)</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Duct bank</t>
        </is>
      </c>
      <c r="T5328" s="16" t="n">
        <v>312</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K-C-0035</t>
        </is>
      </c>
      <c r="B5329" s="12" t="inlineStr">
        <is>
          <t>K</t>
        </is>
      </c>
      <c r="C5329" s="12" t="inlineStr">
        <is>
          <t>Fuel supply (adjacent market)</t>
        </is>
      </c>
      <c r="D5329" s="12" t="inlineStr">
        <is>
          <t>Motor 1 of 1: control / local station</t>
        </is>
      </c>
      <c r="E5329" s="12" t="inlineStr"/>
      <c r="F5329" s="12" t="inlineStr">
        <is>
          <t>H2 20: 13.8 kV e-house</t>
        </is>
      </c>
      <c r="G5329" s="12" t="inlineStr"/>
      <c r="H5329" s="12" t="inlineStr">
        <is>
          <t>H2 21: rectifier transformer 5 (7 MVA)</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254</v>
      </c>
      <c r="U5329" s="16" t="n">
        <v>32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K-C-0036</t>
        </is>
      </c>
      <c r="B5330" s="12" t="inlineStr">
        <is>
          <t>K</t>
        </is>
      </c>
      <c r="C5330" s="12" t="inlineStr">
        <is>
          <t>Fuel supply (adjacent market)</t>
        </is>
      </c>
      <c r="D5330" s="12" t="inlineStr">
        <is>
          <t>Solenoid to JB JB-H2 21: rectifier t-SOL01: 2 x 2/C (field cables)</t>
        </is>
      </c>
      <c r="E5330" s="12" t="inlineStr"/>
      <c r="F5330" s="12" t="inlineStr">
        <is>
          <t>H2 21: rectifier transformer 5 (7 MVA)</t>
        </is>
      </c>
      <c r="G5330" s="12" t="inlineStr">
        <is>
          <t>JB-H2 21: rectifier t-SOL01</t>
        </is>
      </c>
      <c r="H5330" s="12" t="inlineStr">
        <is>
          <t>H2 21: rectifier transformer 5 (7 MVA)</t>
        </is>
      </c>
      <c r="I5330" s="12" t="inlineStr">
        <is>
          <t>Control</t>
        </is>
      </c>
      <c r="J5330" s="12" t="inlineStr">
        <is>
          <t>ARMOR-X MC-HL 600 V control, Cu #14 AWG (Class I Div 2)</t>
        </is>
      </c>
      <c r="K5330" s="12" t="inlineStr">
        <is>
          <t>CTAX|2/C|14</t>
        </is>
      </c>
      <c r="L5330" s="12" t="inlineStr">
        <is>
          <t>2/C</t>
        </is>
      </c>
      <c r="M5330" s="12" t="inlineStr">
        <is>
          <t>14</t>
        </is>
      </c>
      <c r="N5330" s="12" t="n">
        <v>2</v>
      </c>
      <c r="O5330" s="12" t="n">
        <v>1</v>
      </c>
      <c r="P5330" s="12" t="n"/>
      <c r="Q5330" s="12" t="n"/>
      <c r="R5330" s="12" t="n"/>
      <c r="S5330" s="12" t="inlineStr">
        <is>
          <t>Tray / conduit</t>
        </is>
      </c>
      <c r="T5330" s="16" t="n">
        <v>41</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K-C-0037</t>
        </is>
      </c>
      <c r="B5331" s="12" t="inlineStr">
        <is>
          <t>K</t>
        </is>
      </c>
      <c r="C5331" s="12" t="inlineStr">
        <is>
          <t>Fuel supply (adjacent market)</t>
        </is>
      </c>
      <c r="D5331" s="12" t="inlineStr">
        <is>
          <t>Home run JB-H2 21: rectifier t-SOL01 to the control / marshalling room</t>
        </is>
      </c>
      <c r="E5331" s="12" t="inlineStr"/>
      <c r="F5331" s="12" t="inlineStr">
        <is>
          <t>H2 20: 13.8 kV e-house</t>
        </is>
      </c>
      <c r="G5331" s="12" t="inlineStr">
        <is>
          <t>JB-H2 21: rectifier t-SOL01</t>
        </is>
      </c>
      <c r="H5331" s="12" t="inlineStr">
        <is>
          <t>H2 21: rectifier transformer 5 (7 MVA)</t>
        </is>
      </c>
      <c r="I5331" s="12" t="inlineStr">
        <is>
          <t>Control</t>
        </is>
      </c>
      <c r="J5331" s="12" t="inlineStr">
        <is>
          <t>ARMOR-X MC-HL 600 V control, Cu #14 AWG (Class I Div 2)</t>
        </is>
      </c>
      <c r="K5331" s="12" t="inlineStr">
        <is>
          <t>CTAX|25/C|14</t>
        </is>
      </c>
      <c r="L5331" s="12" t="inlineStr">
        <is>
          <t>25/C</t>
        </is>
      </c>
      <c r="M5331" s="12" t="inlineStr">
        <is>
          <t>14</t>
        </is>
      </c>
      <c r="N5331" s="12" t="n">
        <v>1</v>
      </c>
      <c r="O5331" s="12" t="n">
        <v>1</v>
      </c>
      <c r="P5331" s="12" t="n"/>
      <c r="Q5331" s="12" t="n"/>
      <c r="R5331" s="12" t="n"/>
      <c r="S5331" s="12" t="inlineStr">
        <is>
          <t>Duct bank</t>
        </is>
      </c>
      <c r="T5331" s="16" t="n">
        <v>254</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K-C-0038</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5 (7 MVA)</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254</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K-C-0039</t>
        </is>
      </c>
      <c r="B5333" s="12" t="inlineStr">
        <is>
          <t>K</t>
        </is>
      </c>
      <c r="C5333" s="12" t="inlineStr">
        <is>
          <t>Fuel supply (adjacent market)</t>
        </is>
      </c>
      <c r="D5333" s="12" t="inlineStr">
        <is>
          <t>Control</t>
        </is>
      </c>
      <c r="E5333" s="12" t="inlineStr"/>
      <c r="F5333" s="12" t="inlineStr">
        <is>
          <t>H2 20: 13.8 kV e-house</t>
        </is>
      </c>
      <c r="G5333" s="12" t="inlineStr"/>
      <c r="H5333" s="12" t="inlineStr">
        <is>
          <t>H2 21: rectifier transformer 5 (7 MVA)</t>
        </is>
      </c>
      <c r="I5333" s="12" t="inlineStr">
        <is>
          <t>Control</t>
        </is>
      </c>
      <c r="J5333" s="12" t="inlineStr">
        <is>
          <t>ARMOR-X MC-HL 600 V control, Cu #14 AWG (Class I Div 2)</t>
        </is>
      </c>
      <c r="K5333" s="12" t="inlineStr">
        <is>
          <t>CTAX|12/C|14</t>
        </is>
      </c>
      <c r="L5333" s="12" t="inlineStr">
        <is>
          <t>12/C</t>
        </is>
      </c>
      <c r="M5333" s="12" t="inlineStr">
        <is>
          <t>14</t>
        </is>
      </c>
      <c r="N5333" s="12" t="n">
        <v>1</v>
      </c>
      <c r="O5333" s="12" t="n">
        <v>1</v>
      </c>
      <c r="P5333" s="12" t="n"/>
      <c r="Q5333" s="12" t="n"/>
      <c r="R5333" s="12" t="n"/>
      <c r="S5333" s="12" t="inlineStr">
        <is>
          <t>Duct bank</t>
        </is>
      </c>
      <c r="T5333" s="16" t="n">
        <v>254</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K-C-0040</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5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Duct bank</t>
        </is>
      </c>
      <c r="T5334" s="16" t="n">
        <v>254</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K-C-0041</t>
        </is>
      </c>
      <c r="B5335" s="12" t="inlineStr">
        <is>
          <t>K</t>
        </is>
      </c>
      <c r="C5335" s="12" t="inlineStr">
        <is>
          <t>Fuel supply (adjacent market)</t>
        </is>
      </c>
      <c r="D5335" s="12" t="inlineStr">
        <is>
          <t>CT / VT</t>
        </is>
      </c>
      <c r="E5335" s="12" t="inlineStr"/>
      <c r="F5335" s="12" t="inlineStr">
        <is>
          <t>H2 20: 13.8 kV e-house</t>
        </is>
      </c>
      <c r="G5335" s="12" t="inlineStr"/>
      <c r="H5335" s="12" t="inlineStr">
        <is>
          <t>H2 21: rectifier transformer 5 (7 MVA)</t>
        </is>
      </c>
      <c r="I5335" s="12" t="inlineStr">
        <is>
          <t>Control</t>
        </is>
      </c>
      <c r="J5335" s="12" t="inlineStr">
        <is>
          <t>Control cable 600 V Type TC-ER, Cu #10 AWG (CT / VT circuits)</t>
        </is>
      </c>
      <c r="K5335" s="12" t="inlineStr">
        <is>
          <t>CTCT|4/C|10</t>
        </is>
      </c>
      <c r="L5335" s="12" t="inlineStr">
        <is>
          <t>4/C</t>
        </is>
      </c>
      <c r="M5335" s="12" t="inlineStr">
        <is>
          <t>10</t>
        </is>
      </c>
      <c r="N5335" s="12" t="n">
        <v>1</v>
      </c>
      <c r="O5335" s="12" t="n">
        <v>1</v>
      </c>
      <c r="P5335" s="12" t="n"/>
      <c r="Q5335" s="12" t="n"/>
      <c r="R5335" s="12" t="n"/>
      <c r="S5335" s="12" t="inlineStr">
        <is>
          <t>Duct bank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K-C-0042</t>
        </is>
      </c>
      <c r="B5336" s="12" t="inlineStr">
        <is>
          <t>K</t>
        </is>
      </c>
      <c r="C5336" s="12" t="inlineStr">
        <is>
          <t>Fuel supply (adjacent market)</t>
        </is>
      </c>
      <c r="D5336" s="12" t="inlineStr">
        <is>
          <t>Motor 1 of 1: control / local station</t>
        </is>
      </c>
      <c r="E5336" s="12" t="inlineStr"/>
      <c r="F5336" s="12" t="inlineStr">
        <is>
          <t>H2 20: 13.8 kV e-house</t>
        </is>
      </c>
      <c r="G5336" s="12" t="inlineStr">
        <is>
          <t>H2-EL</t>
        </is>
      </c>
      <c r="H5336" s="12" t="inlineStr">
        <is>
          <t>H2 22: electrolyzer building (5 x HyLYZER-1000 + 5 rectifiers)</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6" t="n">
        <v>346</v>
      </c>
      <c r="U5336" s="16" t="n">
        <v>32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K-C-0043</t>
        </is>
      </c>
      <c r="B5337" s="12" t="inlineStr">
        <is>
          <t>K</t>
        </is>
      </c>
      <c r="C5337" s="12" t="inlineStr">
        <is>
          <t>Fuel supply (adjacent market)</t>
        </is>
      </c>
      <c r="D5337" s="12" t="inlineStr">
        <is>
          <t>Solenoid to JB JB-H2-EL-SOL01: 2 x 2/C (field cables)</t>
        </is>
      </c>
      <c r="E5337" s="12" t="inlineStr">
        <is>
          <t>H2-EL</t>
        </is>
      </c>
      <c r="F5337" s="12" t="inlineStr">
        <is>
          <t>H2 22: electrolyzer building (5 x HyLYZER-1000 + 5 rectifiers)</t>
        </is>
      </c>
      <c r="G5337" s="12" t="inlineStr">
        <is>
          <t>JB-H2-EL-SOL01</t>
        </is>
      </c>
      <c r="H5337" s="12" t="inlineStr">
        <is>
          <t>H2 22: electrolyzer building (5 x HyLYZER-1000 + 5 rectifiers)</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6" t="n">
        <v>157</v>
      </c>
      <c r="U5337" s="16" t="n">
        <v>10</v>
      </c>
      <c r="V5337" s="16">
        <f>ROUNDUP((T5337+U5337+2*'Read Me'!$B$13)*(1+'Read Me'!$B$12),-1)</f>
        <v/>
      </c>
      <c r="W5337" s="16">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K-C-0044</t>
        </is>
      </c>
      <c r="B5338" s="12" t="inlineStr">
        <is>
          <t>K</t>
        </is>
      </c>
      <c r="C5338" s="12" t="inlineStr">
        <is>
          <t>Fuel supply (adjacent market)</t>
        </is>
      </c>
      <c r="D5338" s="12" t="inlineStr">
        <is>
          <t>Home run JB-H2-EL-SOL01 to the control / marshalling room</t>
        </is>
      </c>
      <c r="E5338" s="12" t="inlineStr"/>
      <c r="F5338" s="12" t="inlineStr">
        <is>
          <t>H2 20: 13.8 kV e-house</t>
        </is>
      </c>
      <c r="G5338" s="12" t="inlineStr">
        <is>
          <t>JB-H2-EL-SOL01</t>
        </is>
      </c>
      <c r="H5338" s="12" t="inlineStr">
        <is>
          <t>H2 22: electrolyzer building (5 x HyLYZER-1000 + 5 rectifiers)</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6" t="n">
        <v>346</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K-C-0045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23: dry coolers</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6" t="n">
        <v>100</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K-C-0046</t>
        </is>
      </c>
      <c r="B5340" s="12" t="inlineStr">
        <is>
          <t>K</t>
        </is>
      </c>
      <c r="C5340" s="12" t="inlineStr">
        <is>
          <t>Fuel supply (adjacent market)</t>
        </is>
      </c>
      <c r="D5340" s="12" t="inlineStr">
        <is>
          <t>Solenoid to JB JB-H2 23: dry coolers-SOL01: 2 x 2/C (field cables)</t>
        </is>
      </c>
      <c r="E5340" s="12" t="inlineStr"/>
      <c r="F5340" s="12" t="inlineStr">
        <is>
          <t>H2 23: dry coolers</t>
        </is>
      </c>
      <c r="G5340" s="12" t="inlineStr">
        <is>
          <t>JB-H2 23: dry coolers-SOL01</t>
        </is>
      </c>
      <c r="H5340" s="12" t="inlineStr">
        <is>
          <t>H2 23: dry coolers</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6" t="n">
        <v>111</v>
      </c>
      <c r="U5340" s="16" t="n">
        <v>10</v>
      </c>
      <c r="V5340" s="16">
        <f>ROUNDUP((T5340+U5340+2*'Read Me'!$B$13)*(1+'Read Me'!$B$12),-1)</f>
        <v/>
      </c>
      <c r="W5340" s="16">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K-C-0047</t>
        </is>
      </c>
      <c r="B5341" s="12" t="inlineStr">
        <is>
          <t>K</t>
        </is>
      </c>
      <c r="C5341" s="12" t="inlineStr">
        <is>
          <t>Fuel supply (adjacent market)</t>
        </is>
      </c>
      <c r="D5341" s="12" t="inlineStr">
        <is>
          <t>Home run JB-H2 23: dry coolers-SOL01 to the control / marshalling room</t>
        </is>
      </c>
      <c r="E5341" s="12" t="inlineStr"/>
      <c r="F5341" s="12" t="inlineStr">
        <is>
          <t>H2 20: 13.8 kV e-house</t>
        </is>
      </c>
      <c r="G5341" s="12" t="inlineStr">
        <is>
          <t>JB-H2 23: dry coolers-SOL01</t>
        </is>
      </c>
      <c r="H5341" s="12" t="inlineStr">
        <is>
          <t>H2 23: dry coolers</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6" t="n">
        <v>100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K-C-0048</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24: water purification (RO / EDI)</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146</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K-C-0049</t>
        </is>
      </c>
      <c r="B5343" s="12" t="inlineStr">
        <is>
          <t>K</t>
        </is>
      </c>
      <c r="C5343" s="12" t="inlineStr">
        <is>
          <t>Fuel supply (adjacent market)</t>
        </is>
      </c>
      <c r="D5343" s="12" t="inlineStr">
        <is>
          <t>Solenoid to JB JB-H2 24: water purif-SOL01: 2 x 2/C (field cables)</t>
        </is>
      </c>
      <c r="E5343" s="12" t="inlineStr"/>
      <c r="F5343" s="12" t="inlineStr">
        <is>
          <t>H2 24: water purification (RO / EDI)</t>
        </is>
      </c>
      <c r="G5343" s="12" t="inlineStr">
        <is>
          <t>JB-H2 24: water purif-SOL01</t>
        </is>
      </c>
      <c r="H5343" s="12" t="inlineStr">
        <is>
          <t>H2 24: water purification (RO / EDI)</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60</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K-C-0050</t>
        </is>
      </c>
      <c r="B5344" s="12" t="inlineStr">
        <is>
          <t>K</t>
        </is>
      </c>
      <c r="C5344" s="12" t="inlineStr">
        <is>
          <t>Fuel supply (adjacent market)</t>
        </is>
      </c>
      <c r="D5344" s="12" t="inlineStr">
        <is>
          <t>Home run JB-H2 24: water purif-SOL01 to the control / marshalling room</t>
        </is>
      </c>
      <c r="E5344" s="12" t="inlineStr"/>
      <c r="F5344" s="12" t="inlineStr">
        <is>
          <t>H2 20: 13.8 kV e-house</t>
        </is>
      </c>
      <c r="G5344" s="12" t="inlineStr">
        <is>
          <t>JB-H2 24: water purif-SOL01</t>
        </is>
      </c>
      <c r="H5344" s="12" t="inlineStr">
        <is>
          <t>H2 24: water purification (RO / EDI)</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146</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K-C-0051</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25: H2 dryer / purification</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6" t="n">
        <v>0</v>
      </c>
      <c r="U5345" s="16" t="n">
        <v>49</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K-C-0052</t>
        </is>
      </c>
      <c r="B5346" s="12" t="inlineStr">
        <is>
          <t>K</t>
        </is>
      </c>
      <c r="C5346" s="12" t="inlineStr">
        <is>
          <t>Fuel supply (adjacent market)</t>
        </is>
      </c>
      <c r="D5346" s="12" t="inlineStr">
        <is>
          <t>Solenoid to JB JB-H2 25: H2 dryer / -SOL01: 2 x 2/C (field cables)</t>
        </is>
      </c>
      <c r="E5346" s="12" t="inlineStr"/>
      <c r="F5346" s="12" t="inlineStr">
        <is>
          <t>H2 25: H2 dryer / purification</t>
        </is>
      </c>
      <c r="G5346" s="12" t="inlineStr">
        <is>
          <t>JB-H2 25: H2 dryer / -SOL01</t>
        </is>
      </c>
      <c r="H5346" s="12" t="inlineStr">
        <is>
          <t>H2 25: H2 dryer / purification</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60</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K-C-0053</t>
        </is>
      </c>
      <c r="B5347" s="12" t="inlineStr">
        <is>
          <t>K</t>
        </is>
      </c>
      <c r="C5347" s="12" t="inlineStr">
        <is>
          <t>Fuel supply (adjacent market)</t>
        </is>
      </c>
      <c r="D5347" s="12" t="inlineStr">
        <is>
          <t>Home run JB-H2 25: H2 dryer / -SOL01 to the control / marshalling room</t>
        </is>
      </c>
      <c r="E5347" s="12" t="inlineStr"/>
      <c r="F5347" s="12" t="inlineStr">
        <is>
          <t>H2 20: 13.8 kV e-house</t>
        </is>
      </c>
      <c r="G5347" s="12" t="inlineStr">
        <is>
          <t>JB-H2 25: H2 dryer / -SOL01</t>
        </is>
      </c>
      <c r="H5347" s="12" t="inlineStr">
        <is>
          <t>H2 25: H2 dryer / purification</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6" t="n">
        <v>0</v>
      </c>
      <c r="U5347" s="16" t="n">
        <v>49</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K-C-0054</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26: H2 compressor 1 (40 ft ISO)</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6" t="n">
        <v>50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K-C-0055</t>
        </is>
      </c>
      <c r="B5349" s="12" t="inlineStr">
        <is>
          <t>K</t>
        </is>
      </c>
      <c r="C5349" s="12" t="inlineStr">
        <is>
          <t>Fuel supply (adjacent market)</t>
        </is>
      </c>
      <c r="D5349" s="12" t="inlineStr">
        <is>
          <t>Solenoid to JB JB-H2 26: H2 compress-SOL01: 2 x 2/C (field cables)</t>
        </is>
      </c>
      <c r="E5349" s="12" t="inlineStr"/>
      <c r="F5349" s="12" t="inlineStr">
        <is>
          <t>H2 26: H2 compressor 1 (40 ft ISO)</t>
        </is>
      </c>
      <c r="G5349" s="12" t="inlineStr">
        <is>
          <t>JB-H2 26: H2 compress-SOL01</t>
        </is>
      </c>
      <c r="H5349" s="12" t="inlineStr">
        <is>
          <t>H2 26: H2 compressor 1 (40 ft ISO)</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53</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K-C-0056</t>
        </is>
      </c>
      <c r="B5350" s="12" t="inlineStr">
        <is>
          <t>K</t>
        </is>
      </c>
      <c r="C5350" s="12" t="inlineStr">
        <is>
          <t>Fuel supply (adjacent market)</t>
        </is>
      </c>
      <c r="D5350" s="12" t="inlineStr">
        <is>
          <t>Home run JB-H2 26: H2 compress-SOL01 to the control / marshalling room</t>
        </is>
      </c>
      <c r="E5350" s="12" t="inlineStr"/>
      <c r="F5350" s="12" t="inlineStr">
        <is>
          <t>H2 20: 13.8 kV e-house</t>
        </is>
      </c>
      <c r="G5350" s="12" t="inlineStr">
        <is>
          <t>JB-H2 26: H2 compress-SOL01</t>
        </is>
      </c>
      <c r="H5350" s="12" t="inlineStr">
        <is>
          <t>H2 26: H2 compressor 1 (40 ft ISO)</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6" t="n">
        <v>50</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K-C-0057</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26: H2 compressor 2 (40 ft ISO)</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Duct bank</t>
        </is>
      </c>
      <c r="T5351" s="16" t="n">
        <v>50</v>
      </c>
      <c r="U5351" s="16" t="n">
        <v>47</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K-C-0058</t>
        </is>
      </c>
      <c r="B5352" s="12" t="inlineStr">
        <is>
          <t>K</t>
        </is>
      </c>
      <c r="C5352" s="12" t="inlineStr">
        <is>
          <t>Fuel supply (adjacent market)</t>
        </is>
      </c>
      <c r="D5352" s="12" t="inlineStr">
        <is>
          <t>Solenoid to JB JB-H2 26: H2 compress-SOL01: 2 x 2/C (field cables)</t>
        </is>
      </c>
      <c r="E5352" s="12" t="inlineStr"/>
      <c r="F5352" s="12" t="inlineStr">
        <is>
          <t>H2 26: H2 compressor 2 (40 ft ISO)</t>
        </is>
      </c>
      <c r="G5352" s="12" t="inlineStr">
        <is>
          <t>JB-H2 26: H2 compress-SOL01</t>
        </is>
      </c>
      <c r="H5352" s="12" t="inlineStr">
        <is>
          <t>H2 26: H2 compressor 2 (40 ft ISO)</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53</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K-C-0059</t>
        </is>
      </c>
      <c r="B5353" s="12" t="inlineStr">
        <is>
          <t>K</t>
        </is>
      </c>
      <c r="C5353" s="12" t="inlineStr">
        <is>
          <t>Fuel supply (adjacent market)</t>
        </is>
      </c>
      <c r="D5353" s="12" t="inlineStr">
        <is>
          <t>Home run JB-H2 26: H2 compress-SOL01 to the control / marshalling room</t>
        </is>
      </c>
      <c r="E5353" s="12" t="inlineStr"/>
      <c r="F5353" s="12" t="inlineStr">
        <is>
          <t>H2 20: 13.8 kV e-house</t>
        </is>
      </c>
      <c r="G5353" s="12" t="inlineStr">
        <is>
          <t>JB-H2 26: H2 compress-SOL01</t>
        </is>
      </c>
      <c r="H5353" s="12" t="inlineStr">
        <is>
          <t>H2 26: H2 compressor 2 (40 ft ISO)</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Duct bank</t>
        </is>
      </c>
      <c r="T5353" s="16" t="n">
        <v>50</v>
      </c>
      <c r="U5353" s="16" t="n">
        <v>47</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K-C-0060</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27: storage tube bank (~40 ft tubes)</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Duct bank</t>
        </is>
      </c>
      <c r="T5354" s="16" t="n">
        <v>50</v>
      </c>
      <c r="U5354" s="16" t="n">
        <v>97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K-C-0061</t>
        </is>
      </c>
      <c r="B5355" s="12" t="inlineStr">
        <is>
          <t>K</t>
        </is>
      </c>
      <c r="C5355" s="12" t="inlineStr">
        <is>
          <t>Fuel supply (adjacent market)</t>
        </is>
      </c>
      <c r="D5355" s="12" t="inlineStr">
        <is>
          <t>Solenoid to JB JB-H2 27: storage tub-SOL01: 2 x 2/C (field cables)</t>
        </is>
      </c>
      <c r="E5355" s="12" t="inlineStr"/>
      <c r="F5355" s="12" t="inlineStr">
        <is>
          <t>H2 27: storage tube bank (~40 ft tubes)</t>
        </is>
      </c>
      <c r="G5355" s="12" t="inlineStr">
        <is>
          <t>JB-H2 27: storage tub-SOL01</t>
        </is>
      </c>
      <c r="H5355" s="12" t="inlineStr">
        <is>
          <t>H2 27: storage tube bank (~40 ft tubes)</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54</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K-C-0062</t>
        </is>
      </c>
      <c r="B5356" s="12" t="inlineStr">
        <is>
          <t>K</t>
        </is>
      </c>
      <c r="C5356" s="12" t="inlineStr">
        <is>
          <t>Fuel supply (adjacent market)</t>
        </is>
      </c>
      <c r="D5356" s="12" t="inlineStr">
        <is>
          <t>Home run JB-H2 27: storage tub-SOL01 to the control / marshalling room</t>
        </is>
      </c>
      <c r="E5356" s="12" t="inlineStr"/>
      <c r="F5356" s="12" t="inlineStr">
        <is>
          <t>H2 20: 13.8 kV e-house</t>
        </is>
      </c>
      <c r="G5356" s="12" t="inlineStr">
        <is>
          <t>JB-H2 27: storage tub-SOL01</t>
        </is>
      </c>
      <c r="H5356" s="12" t="inlineStr">
        <is>
          <t>H2 27: storage tube bank (~40 ft tubes)</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Duct bank</t>
        </is>
      </c>
      <c r="T5356" s="16" t="n">
        <v>50</v>
      </c>
      <c r="U5356" s="16" t="n">
        <v>97</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K-C-0063</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27: storage tube bank (~40 ft tubes)</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Duct bank</t>
        </is>
      </c>
      <c r="T5357" s="16" t="n">
        <v>50</v>
      </c>
      <c r="U5357" s="16" t="n">
        <v>117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K-C-0064</t>
        </is>
      </c>
      <c r="B5358" s="12" t="inlineStr">
        <is>
          <t>K</t>
        </is>
      </c>
      <c r="C5358" s="12" t="inlineStr">
        <is>
          <t>Fuel supply (adjacent market)</t>
        </is>
      </c>
      <c r="D5358" s="12" t="inlineStr">
        <is>
          <t>Solenoid to JB JB-H2 27: storage tub-SOL01: 2 x 2/C (field cables)</t>
        </is>
      </c>
      <c r="E5358" s="12" t="inlineStr"/>
      <c r="F5358" s="12" t="inlineStr">
        <is>
          <t>H2 27: storage tube bank (~40 ft tubes)</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54</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K-C-0065</t>
        </is>
      </c>
      <c r="B5359" s="12" t="inlineStr">
        <is>
          <t>K</t>
        </is>
      </c>
      <c r="C5359" s="12" t="inlineStr">
        <is>
          <t>Fuel supply (adjacent market)</t>
        </is>
      </c>
      <c r="D5359" s="12" t="inlineStr">
        <is>
          <t>Home run JB-H2 27: storage tub-SOL01 to the control / marshalling room</t>
        </is>
      </c>
      <c r="E5359" s="12" t="inlineStr"/>
      <c r="F5359" s="12" t="inlineStr">
        <is>
          <t>H2 20: 13.8 kV e-house</t>
        </is>
      </c>
      <c r="G5359" s="12" t="inlineStr">
        <is>
          <t>JB-H2 27: storage tub-SOL01</t>
        </is>
      </c>
      <c r="H5359" s="12" t="inlineStr">
        <is>
          <t>H2 27: storage tube bank (~40 ft tubes)</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Duct bank</t>
        </is>
      </c>
      <c r="T5359" s="16" t="n">
        <v>50</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K-C-0066</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Duct bank</t>
        </is>
      </c>
      <c r="T5360" s="16" t="n">
        <v>50</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K-C-0067</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K-C-0068</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Duct bank</t>
        </is>
      </c>
      <c r="T5362" s="16" t="n">
        <v>50</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K-C-0069</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Duct bank</t>
        </is>
      </c>
      <c r="T5363" s="16" t="n">
        <v>50</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K-C-0070</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K-C-0071</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50</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K-C-0072</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28: N2 purge supply</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53</v>
      </c>
      <c r="U5366" s="16" t="n">
        <v>36</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K-C-0073</t>
        </is>
      </c>
      <c r="B5367" s="12" t="inlineStr">
        <is>
          <t>K</t>
        </is>
      </c>
      <c r="C5367" s="12" t="inlineStr">
        <is>
          <t>Fuel supply (adjacent market)</t>
        </is>
      </c>
      <c r="D5367" s="12" t="inlineStr">
        <is>
          <t>Solenoid to JB JB-H2 28: N2 purge su-SOL01: 2 x 2/C (field cables)</t>
        </is>
      </c>
      <c r="E5367" s="12" t="inlineStr"/>
      <c r="F5367" s="12" t="inlineStr">
        <is>
          <t>H2 28: N2 purge supply</t>
        </is>
      </c>
      <c r="G5367" s="12" t="inlineStr">
        <is>
          <t>JB-H2 28: N2 purge su-SOL01</t>
        </is>
      </c>
      <c r="H5367" s="12" t="inlineStr">
        <is>
          <t>H2 28: N2 purge supply</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56</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K-C-0074</t>
        </is>
      </c>
      <c r="B5368" s="12" t="inlineStr">
        <is>
          <t>K</t>
        </is>
      </c>
      <c r="C5368" s="12" t="inlineStr">
        <is>
          <t>Fuel supply (adjacent market)</t>
        </is>
      </c>
      <c r="D5368" s="12" t="inlineStr">
        <is>
          <t>Home run JB-H2 28: N2 purge su-SOL01 to the control / marshalling room</t>
        </is>
      </c>
      <c r="E5368" s="12" t="inlineStr"/>
      <c r="F5368" s="12" t="inlineStr">
        <is>
          <t>H2 20: 13.8 kV e-house</t>
        </is>
      </c>
      <c r="G5368" s="12" t="inlineStr">
        <is>
          <t>JB-H2 28: N2 purge su-SOL01</t>
        </is>
      </c>
      <c r="H5368" s="12" t="inlineStr">
        <is>
          <t>H2 28: N2 purge supply</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6" t="n">
        <v>53</v>
      </c>
      <c r="U5368" s="16" t="n">
        <v>36</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K-C-0075</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29: vent stack</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Duct bank</t>
        </is>
      </c>
      <c r="T5369" s="16" t="n">
        <v>55</v>
      </c>
      <c r="U5369" s="16" t="n">
        <v>205</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K-C-0076</t>
        </is>
      </c>
      <c r="B5370" s="12" t="inlineStr">
        <is>
          <t>K</t>
        </is>
      </c>
      <c r="C5370" s="12" t="inlineStr">
        <is>
          <t>Fuel supply (adjacent market)</t>
        </is>
      </c>
      <c r="D5370" s="12" t="inlineStr">
        <is>
          <t>Solenoid to JB JB-H2 29: vent stack-SOL01: 2 x 2/C (field cables)</t>
        </is>
      </c>
      <c r="E5370" s="12" t="inlineStr"/>
      <c r="F5370" s="12" t="inlineStr">
        <is>
          <t>H2 29: vent stack</t>
        </is>
      </c>
      <c r="G5370" s="12" t="inlineStr">
        <is>
          <t>JB-H2 29: vent stack-SOL01</t>
        </is>
      </c>
      <c r="H5370" s="12" t="inlineStr">
        <is>
          <t>H2 29: vent stack</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45</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K-C-0077</t>
        </is>
      </c>
      <c r="B5371" s="12" t="inlineStr">
        <is>
          <t>K</t>
        </is>
      </c>
      <c r="C5371" s="12" t="inlineStr">
        <is>
          <t>Fuel supply (adjacent market)</t>
        </is>
      </c>
      <c r="D5371" s="12" t="inlineStr">
        <is>
          <t>Home run JB-H2 29: vent stack-SOL01 to the control / marshalling room</t>
        </is>
      </c>
      <c r="E5371" s="12" t="inlineStr"/>
      <c r="F5371" s="12" t="inlineStr">
        <is>
          <t>H2 20: 13.8 kV e-house</t>
        </is>
      </c>
      <c r="G5371" s="12" t="inlineStr">
        <is>
          <t>JB-H2 29: vent stack-SOL01</t>
        </is>
      </c>
      <c r="H5371" s="12" t="inlineStr">
        <is>
          <t>H2 29: vent stack</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Duct bank</t>
        </is>
      </c>
      <c r="T5371" s="16" t="n">
        <v>55</v>
      </c>
      <c r="U5371" s="16" t="n">
        <v>205</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H2 30: H2 / gas blending station (plant gas yard)</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994</v>
      </c>
      <c r="U5372" s="16" t="n">
        <v>114</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K-C-0079</t>
        </is>
      </c>
      <c r="B5373" s="12" t="inlineStr">
        <is>
          <t>K</t>
        </is>
      </c>
      <c r="C5373" s="12" t="inlineStr">
        <is>
          <t>Fuel supply (adjacent market)</t>
        </is>
      </c>
      <c r="D5373" s="12" t="inlineStr">
        <is>
          <t>Solenoid to JB JB-H2 30: H2 / gas bl-SOL01: 2 x 2/C (field cables)</t>
        </is>
      </c>
      <c r="E5373" s="12" t="inlineStr"/>
      <c r="F5373" s="12" t="inlineStr">
        <is>
          <t>H2 30: H2 / gas blending station (plant gas yard)</t>
        </is>
      </c>
      <c r="G5373" s="12" t="inlineStr">
        <is>
          <t>JB-H2 30: H2 / gas bl-SOL01</t>
        </is>
      </c>
      <c r="H5373" s="12" t="inlineStr">
        <is>
          <t>H2 30: H2 / gas blending station (plant gas yard)</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129</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K-C-0080</t>
        </is>
      </c>
      <c r="B5374" s="12" t="inlineStr">
        <is>
          <t>K</t>
        </is>
      </c>
      <c r="C5374" s="12" t="inlineStr">
        <is>
          <t>Fuel supply (adjacent market)</t>
        </is>
      </c>
      <c r="D5374" s="12" t="inlineStr">
        <is>
          <t>Home run JB-H2 30: H2 / gas bl-SOL01 to the control / marshalling room</t>
        </is>
      </c>
      <c r="E5374" s="12" t="inlineStr"/>
      <c r="F5374" s="12" t="inlineStr">
        <is>
          <t>LNG 17: LNG e-house (13.8 kV / 480 V)</t>
        </is>
      </c>
      <c r="G5374" s="12" t="inlineStr">
        <is>
          <t>JB-H2 30: H2 / gas bl-SOL01</t>
        </is>
      </c>
      <c r="H5374" s="12" t="inlineStr">
        <is>
          <t>H2 30: H2 / gas blending station (plant gas yard)</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994</v>
      </c>
      <c r="U5374" s="16" t="n">
        <v>114</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K-C-0081</t>
        </is>
      </c>
      <c r="B5375" s="12" t="inlineStr">
        <is>
          <t>K</t>
        </is>
      </c>
      <c r="C5375" s="12" t="inlineStr">
        <is>
          <t>Fuel supply (adjacent market)</t>
        </is>
      </c>
      <c r="D5375" s="12" t="inlineStr">
        <is>
          <t>Motor 1 of 2: control / local station</t>
        </is>
      </c>
      <c r="E5375" s="12" t="inlineStr"/>
      <c r="F5375" s="12" t="inlineStr">
        <is>
          <t>H2 20: 13.8 kV e-house</t>
        </is>
      </c>
      <c r="G5375" s="12" t="inlineStr"/>
      <c r="H5375" s="12" t="inlineStr">
        <is>
          <t>H2 pipe track and cable trench, hall -&gt; dryer / compressors (N2, instr</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53</v>
      </c>
      <c r="U5375" s="16" t="n">
        <v>62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K-C-0082</t>
        </is>
      </c>
      <c r="B5376" s="12" t="inlineStr">
        <is>
          <t>K</t>
        </is>
      </c>
      <c r="C5376" s="12" t="inlineStr">
        <is>
          <t>Fuel supply (adjacent market)</t>
        </is>
      </c>
      <c r="D5376" s="12" t="inlineStr">
        <is>
          <t>Motor 2 of 2: control / local station</t>
        </is>
      </c>
      <c r="E5376" s="12" t="inlineStr"/>
      <c r="F5376" s="12" t="inlineStr">
        <is>
          <t>H2 20: 13.8 kV e-house</t>
        </is>
      </c>
      <c r="G5376" s="12" t="inlineStr"/>
      <c r="H5376" s="12" t="inlineStr">
        <is>
          <t>H2 pipe track and cable trench, hall -&gt; dryer / compressors (N2, instr</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53</v>
      </c>
      <c r="U5376" s="16" t="n">
        <v>62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K-C-0083</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50</v>
      </c>
      <c r="U5377" s="16" t="n">
        <v>92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K-C-0084</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237</v>
      </c>
      <c r="U5378" s="16" t="n">
        <v>61</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K-C-0085</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72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K-C-0086</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237</v>
      </c>
      <c r="U5380" s="16" t="n">
        <v>61</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K-C-0087</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147</v>
      </c>
      <c r="U5381" s="16" t="n">
        <v>66</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K-C-0088</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6" t="n">
        <v>72</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K-C-0089</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6" t="n">
        <v>147</v>
      </c>
      <c r="U5383" s="16" t="n">
        <v>66</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K-C-0090</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K-C-0091</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54</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K-C-0092</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K-C-0093</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230</v>
      </c>
      <c r="U5387" s="16" t="n">
        <v>32</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K-C-0094</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170</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K-C-0095</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230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K-C-0096</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110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K-C-0097</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63</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K-C-0098</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110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K-C-0099</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259</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K-C-0100</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122</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K-C-0101</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259</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K-C-0102</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25</v>
      </c>
      <c r="U5396" s="16" t="n">
        <v>54</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K-C-0103</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67</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K-C-0104</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25</v>
      </c>
      <c r="U5398" s="16" t="n">
        <v>54</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K-C-0105</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20</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K-C-0106</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74</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K-C-0107</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20</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K-C-0108</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6" t="n">
        <v>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K-C-0109</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58</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K-C-0110</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6" t="n">
        <v>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K-C-0111</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25</v>
      </c>
      <c r="U5405" s="16" t="n">
        <v>117</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K-C-0112</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55</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K-C-0113</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25</v>
      </c>
      <c r="U5407" s="16" t="n">
        <v>117</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K-C-0114</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6" t="n">
        <v>40</v>
      </c>
      <c r="U5408" s="16" t="n">
        <v>10</v>
      </c>
      <c r="V5408" s="16">
        <f>ROUNDUP((T5408+U5408+2*'Read Me'!$B$13)*(1+'Read Me'!$B$12),-1)</f>
        <v/>
      </c>
      <c r="W5408" s="16">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K-C-0115</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6" t="n">
        <v>758</v>
      </c>
      <c r="U5409" s="16" t="n">
        <v>32</v>
      </c>
      <c r="V5409" s="16">
        <f>ROUNDUP((T5409+U5409+2*'Read Me'!$B$13)*(1+'Read Me'!$B$12),-1)</f>
        <v/>
      </c>
      <c r="W5409" s="16">
        <f>V5409*N5409*O5409</f>
        <v/>
      </c>
      <c r="X5409" s="12">
        <f>IF(LEFT(I5409,2)="MV",2*N5409*IF(L5409="1/C",O5409,1),0)</f>
        <v/>
      </c>
      <c r="Y5409" s="12">
        <f>IF(OR(LEFT(K5409,4)="LVAX",LEFT(K5409,6)="MV15AX",LEFT(K5409,4)="CTAX",LEFT(K5409,2)="W|"),2*N5409*O5409,0)</f>
        <v/>
      </c>
      <c r="Z5409" s="12" t="inlineStr"/>
      <c r="AA5409" s="12">
        <f>N5409*O5409</f>
        <v/>
      </c>
    </row>
    <row r="5410">
      <c r="A5410" s="12" t="inlineStr">
        <is>
          <t>K-C-0116</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6" t="n">
        <v>53</v>
      </c>
      <c r="U5410" s="16" t="n">
        <v>10</v>
      </c>
      <c r="V5410" s="16">
        <f>ROUNDUP((T5410+U5410+2*'Read Me'!$B$13)*(1+'Read Me'!$B$12),-1)</f>
        <v/>
      </c>
      <c r="W5410" s="16">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K-C-0117</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6" t="n">
        <v>797</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K-C-0118</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6" t="n">
        <v>593</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K-C-0119</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6" t="n">
        <v>593</v>
      </c>
      <c r="U5413" s="16" t="n">
        <v>50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K-C-0120</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6" t="n">
        <v>593</v>
      </c>
      <c r="U5414" s="16" t="n">
        <v>68</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K-C-0121</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6" t="n">
        <v>61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K-C-0122</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6" t="n">
        <v>470</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K-C-0123</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6" t="n">
        <v>466</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K-C-0124</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441</v>
      </c>
      <c r="U5418" s="16" t="n">
        <v>42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K-C-0125</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433</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K-C-0126</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358</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K-C-0127</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6" t="n">
        <v>358</v>
      </c>
      <c r="U5421" s="16" t="n">
        <v>48</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K-C-0128</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6" t="n">
        <v>348</v>
      </c>
      <c r="U5422" s="16" t="n">
        <v>49</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K-C-0129</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328</v>
      </c>
      <c r="U5423" s="16" t="n">
        <v>49</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K-C-0130</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328</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K-C-0131</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6" t="n">
        <v>346</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K-C-0132</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6" t="n">
        <v>361</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K-C-0133</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6" t="n">
        <v>341</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K-C-0134</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6" t="n">
        <v>321</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K-C-0135</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6" t="n">
        <v>301</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6" t="n">
        <v>4293</v>
      </c>
      <c r="U5430" s="16" t="n">
        <v>36</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6" t="n">
        <v>3499</v>
      </c>
      <c r="U5431" s="16" t="n">
        <v>359</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6" t="n">
        <v>3128</v>
      </c>
      <c r="U5432" s="16" t="n">
        <v>302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6" t="n">
        <v>2978</v>
      </c>
      <c r="U5433" s="16" t="n">
        <v>284</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6" t="n">
        <v>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6" t="n">
        <v>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6" t="n">
        <v>470</v>
      </c>
      <c r="U5436" s="16" t="n">
        <v>70</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6" t="n">
        <v>466</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6" t="n">
        <v>433</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80</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35</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80</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35</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69</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6" t="n">
        <v>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69</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6" t="n">
        <v>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41</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356</v>
      </c>
      <c r="U5448" s="16" t="n">
        <v>48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41</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356</v>
      </c>
      <c r="U5450" s="16" t="n">
        <v>48</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41</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356</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356</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334</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334</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312</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312</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157</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346</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346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111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100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111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100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60</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146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60</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0</v>
      </c>
      <c r="U5480" s="16" t="n">
        <v>49</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0</v>
      </c>
      <c r="U5482" s="16" t="n">
        <v>49</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53</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50</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53</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50</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53</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50</v>
      </c>
      <c r="U5488" s="16" t="n">
        <v>47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50</v>
      </c>
      <c r="U5490" s="16" t="n">
        <v>47</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54</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50</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50</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54</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50</v>
      </c>
      <c r="U5496" s="16" t="n">
        <v>117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50</v>
      </c>
      <c r="U5498" s="16" t="n">
        <v>117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50</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50</v>
      </c>
      <c r="U5502" s="16" t="n">
        <v>97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50</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50</v>
      </c>
      <c r="U5506" s="16" t="n">
        <v>117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56</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53</v>
      </c>
      <c r="U5508" s="16" t="n">
        <v>36</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56</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53</v>
      </c>
      <c r="U5510" s="16" t="n">
        <v>36</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45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55</v>
      </c>
      <c r="U5512" s="16" t="n">
        <v>205</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45</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55</v>
      </c>
      <c r="U5514" s="16" t="n">
        <v>205</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station (plant gas yard)</t>
        </is>
      </c>
      <c r="G5515" s="12" t="inlineStr">
        <is>
          <t>JB-H2 30: H2 / gas bl-AI01</t>
        </is>
      </c>
      <c r="H5515" s="12" t="inlineStr">
        <is>
          <t>H2 30: H2 / gas blending station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129</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station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994</v>
      </c>
      <c r="U5516" s="16" t="n">
        <v>114</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station (plant gas yard)</t>
        </is>
      </c>
      <c r="G5517" s="12" t="inlineStr">
        <is>
          <t>JB-H2 30: H2 / gas bl-DI01</t>
        </is>
      </c>
      <c r="H5517" s="12" t="inlineStr">
        <is>
          <t>H2 30: H2 / gas blending station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129</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station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994</v>
      </c>
      <c r="U5518" s="16" t="n">
        <v>114</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Analog instrument to JB JB-H2 pipe track and -AI01: 10 x 1 pr (field cables)</t>
        </is>
      </c>
      <c r="E5519" s="12" t="inlineStr"/>
      <c r="F5519" s="12" t="inlineStr">
        <is>
          <t>H2 pipe track and cable trench, hall -&gt; dryer / compressors (N2, instr</t>
        </is>
      </c>
      <c r="G5519" s="12" t="inlineStr">
        <is>
          <t>JB-H2 pipe track and -AI01</t>
        </is>
      </c>
      <c r="H5519" s="12" t="inlineStr">
        <is>
          <t>H2 pipe track and cable trench, hall -&gt; dryer / compressors (N2, instr</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10</v>
      </c>
      <c r="O5519" s="12" t="n">
        <v>1</v>
      </c>
      <c r="P5519" s="12" t="n"/>
      <c r="Q5519" s="12" t="n"/>
      <c r="R5519" s="12" t="n"/>
      <c r="S5519" s="12" t="inlineStr">
        <is>
          <t>Tray / conduit</t>
        </is>
      </c>
      <c r="T5519" s="16" t="n">
        <v>70</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K-I-0082</t>
        </is>
      </c>
      <c r="B5520" s="12" t="inlineStr">
        <is>
          <t>K</t>
        </is>
      </c>
      <c r="C5520" s="12" t="inlineStr">
        <is>
          <t>Fuel supply (adjacent market)</t>
        </is>
      </c>
      <c r="D5520" s="12" t="inlineStr">
        <is>
          <t>Home run JB-H2 pipe track and -AI01 to the control / marshalling room</t>
        </is>
      </c>
      <c r="E5520" s="12" t="inlineStr"/>
      <c r="F5520" s="12" t="inlineStr">
        <is>
          <t>H2 20: 13.8 kV e-house</t>
        </is>
      </c>
      <c r="G5520" s="12" t="inlineStr">
        <is>
          <t>JB-H2 pipe track and -AI01</t>
        </is>
      </c>
      <c r="H5520" s="12" t="inlineStr">
        <is>
          <t>H2 pipe track and cable trench, hall -&gt; dryer / compressors (N2, instr</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53</v>
      </c>
      <c r="U5520" s="16" t="n">
        <v>62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K-I-0083</t>
        </is>
      </c>
      <c r="B5521" s="12" t="inlineStr">
        <is>
          <t>K</t>
        </is>
      </c>
      <c r="C5521" s="12" t="inlineStr">
        <is>
          <t>Fuel supply (adjacent market)</t>
        </is>
      </c>
      <c r="D5521" s="12" t="inlineStr">
        <is>
          <t>Discrete device to JB JB-H2 pipe track and -DI01: 10 x 1 pr (field cables)</t>
        </is>
      </c>
      <c r="E5521" s="12" t="inlineStr"/>
      <c r="F5521" s="12" t="inlineStr">
        <is>
          <t>H2 pipe track and cable trench, hall -&gt; dryer / compressors (N2, instr</t>
        </is>
      </c>
      <c r="G5521" s="12" t="inlineStr">
        <is>
          <t>JB-H2 pipe track and -DI01</t>
        </is>
      </c>
      <c r="H5521" s="12" t="inlineStr">
        <is>
          <t>H2 pipe track and cable trench, hall -&gt; dryer / compressors (N2, instr</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10</v>
      </c>
      <c r="O5521" s="12" t="n">
        <v>1</v>
      </c>
      <c r="P5521" s="12" t="n"/>
      <c r="Q5521" s="12" t="n"/>
      <c r="R5521" s="12" t="n"/>
      <c r="S5521" s="12" t="inlineStr">
        <is>
          <t>Tray / conduit</t>
        </is>
      </c>
      <c r="T5521" s="16" t="n">
        <v>70</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K-I-0084</t>
        </is>
      </c>
      <c r="B5522" s="12" t="inlineStr">
        <is>
          <t>K</t>
        </is>
      </c>
      <c r="C5522" s="12" t="inlineStr">
        <is>
          <t>Fuel supply (adjacent market)</t>
        </is>
      </c>
      <c r="D5522" s="12" t="inlineStr">
        <is>
          <t>Home run JB-H2 pipe track and -DI01 to the control / marshalling room</t>
        </is>
      </c>
      <c r="E5522" s="12" t="inlineStr"/>
      <c r="F5522" s="12" t="inlineStr">
        <is>
          <t>H2 20: 13.8 kV e-house</t>
        </is>
      </c>
      <c r="G5522" s="12" t="inlineStr">
        <is>
          <t>JB-H2 pipe track and -DI01</t>
        </is>
      </c>
      <c r="H5522" s="12" t="inlineStr">
        <is>
          <t>H2 pipe track and cable trench, hall -&gt; dryer / compressors (N2, instr</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53</v>
      </c>
      <c r="U5522" s="16" t="n">
        <v>62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K-I-0085</t>
        </is>
      </c>
      <c r="B5523" s="12" t="inlineStr">
        <is>
          <t>K</t>
        </is>
      </c>
      <c r="C5523" s="12" t="inlineStr">
        <is>
          <t>Fuel supply (adjacent market)</t>
        </is>
      </c>
      <c r="D5523" s="12" t="inlineStr">
        <is>
          <t>Instrumentation</t>
        </is>
      </c>
      <c r="E5523" s="12" t="inlineStr"/>
      <c r="F5523" s="12" t="inlineStr">
        <is>
          <t>H2 20: 13.8 kV e-house</t>
        </is>
      </c>
      <c r="G5523" s="12" t="inlineStr">
        <is>
          <t>H2-ST</t>
        </is>
      </c>
      <c r="H5523" s="12" t="inlineStr">
        <is>
          <t>H2 storage tube banks x4</t>
        </is>
      </c>
      <c r="I5523" s="12" t="inlineStr">
        <is>
          <t>Instrumentation</t>
        </is>
      </c>
      <c r="J5523" s="12" t="inlineStr">
        <is>
          <t>Instrumentation ITC / PLTC, IS, #18 shielded pairs, blue jacket</t>
        </is>
      </c>
      <c r="K5523" s="12" t="inlineStr">
        <is>
          <t>ITC|4 pr|18</t>
        </is>
      </c>
      <c r="L5523" s="12" t="inlineStr">
        <is>
          <t>4 pr</t>
        </is>
      </c>
      <c r="M5523" s="12" t="inlineStr">
        <is>
          <t>18</t>
        </is>
      </c>
      <c r="N5523" s="12" t="n">
        <v>1</v>
      </c>
      <c r="O5523" s="12" t="n">
        <v>1</v>
      </c>
      <c r="P5523" s="12" t="n"/>
      <c r="Q5523" s="12" t="n"/>
      <c r="R5523" s="12" t="n"/>
      <c r="S5523" s="12" t="inlineStr">
        <is>
          <t>Duct bank</t>
        </is>
      </c>
      <c r="T5523" s="16" t="n">
        <v>50</v>
      </c>
      <c r="U5523" s="16" t="n">
        <v>92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Instrumentation</t>
        </is>
      </c>
      <c r="E5524" s="12" t="inlineStr"/>
      <c r="F5524" s="12" t="inlineStr">
        <is>
          <t>H2 20: 13.8 kV e-house</t>
        </is>
      </c>
      <c r="G5524" s="12" t="inlineStr">
        <is>
          <t>H2R</t>
        </is>
      </c>
      <c r="H5524" s="12" t="inlineStr">
        <is>
          <t>H2R: hydrogen pipeline receiving station (pig receiver, filters, meter</t>
        </is>
      </c>
      <c r="I5524" s="12" t="inlineStr">
        <is>
          <t>Instrumentation</t>
        </is>
      </c>
      <c r="J5524" s="12" t="inlineStr">
        <is>
          <t>Instrumentation ITC / PLTC, IS, #18 shielded pairs, blue jacket</t>
        </is>
      </c>
      <c r="K5524" s="12" t="inlineStr">
        <is>
          <t>ITC|4 pr|18</t>
        </is>
      </c>
      <c r="L5524" s="12" t="inlineStr">
        <is>
          <t>4 pr</t>
        </is>
      </c>
      <c r="M5524" s="12" t="inlineStr">
        <is>
          <t>18</t>
        </is>
      </c>
      <c r="N5524" s="12" t="n">
        <v>1</v>
      </c>
      <c r="O5524" s="12" t="n">
        <v>1</v>
      </c>
      <c r="P5524" s="12" t="n"/>
      <c r="Q5524" s="12" t="n"/>
      <c r="R5524" s="12" t="n"/>
      <c r="S5524" s="12" t="inlineStr">
        <is>
          <t>Duct bank</t>
        </is>
      </c>
      <c r="T5524" s="16" t="n">
        <v>40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K-I-0087</t>
        </is>
      </c>
      <c r="B5525" s="12" t="inlineStr">
        <is>
          <t>K</t>
        </is>
      </c>
      <c r="C5525" s="12" t="inlineStr">
        <is>
          <t>Fuel supply (adjacent market)</t>
        </is>
      </c>
      <c r="D5525" s="12" t="inlineStr">
        <is>
          <t>Analog instrument to JB JB-LNG 10: truck unlo-AI01: 12 x 1 pr (field cables)</t>
        </is>
      </c>
      <c r="E5525" s="12" t="inlineStr"/>
      <c r="F5525" s="12" t="inlineStr">
        <is>
          <t>LNG 10: truck unloading bay 1</t>
        </is>
      </c>
      <c r="G5525" s="12" t="inlineStr">
        <is>
          <t>JB-LNG 10: truck unlo-AI01</t>
        </is>
      </c>
      <c r="H5525" s="12" t="inlineStr">
        <is>
          <t>LNG 10: truck unloading bay 1</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72</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K-I-0088</t>
        </is>
      </c>
      <c r="B5526" s="12" t="inlineStr">
        <is>
          <t>K</t>
        </is>
      </c>
      <c r="C5526" s="12" t="inlineStr">
        <is>
          <t>Fuel supply (adjacent market)</t>
        </is>
      </c>
      <c r="D5526" s="12" t="inlineStr">
        <is>
          <t>Home run JB-LNG 10: truck unlo-AI01 to the control / marshalling room</t>
        </is>
      </c>
      <c r="E5526" s="12" t="inlineStr"/>
      <c r="F5526" s="12" t="inlineStr">
        <is>
          <t>LNG 17: LNG e-house (13.8 kV / 480 V)</t>
        </is>
      </c>
      <c r="G5526" s="12" t="inlineStr">
        <is>
          <t>JB-LNG 10: truck unlo-AI01</t>
        </is>
      </c>
      <c r="H5526" s="12" t="inlineStr">
        <is>
          <t>LNG 10: truck unloading bay 1</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237</v>
      </c>
      <c r="U5526" s="16" t="n">
        <v>61</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K-I-0089</t>
        </is>
      </c>
      <c r="B5527" s="12" t="inlineStr">
        <is>
          <t>K</t>
        </is>
      </c>
      <c r="C5527" s="12" t="inlineStr">
        <is>
          <t>Fuel supply (adjacent market)</t>
        </is>
      </c>
      <c r="D5527" s="12" t="inlineStr">
        <is>
          <t>Discrete device to JB JB-LNG 10: truck unlo-DI01: 12 x 1 pr (field cables)</t>
        </is>
      </c>
      <c r="E5527" s="12" t="inlineStr"/>
      <c r="F5527" s="12" t="inlineStr">
        <is>
          <t>LNG 10: truck unloading bay 1</t>
        </is>
      </c>
      <c r="G5527" s="12" t="inlineStr">
        <is>
          <t>JB-LNG 10: truck unlo-DI01</t>
        </is>
      </c>
      <c r="H5527" s="12" t="inlineStr">
        <is>
          <t>LNG 10: truck unloading bay 1</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72</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K-I-0090</t>
        </is>
      </c>
      <c r="B5528" s="12" t="inlineStr">
        <is>
          <t>K</t>
        </is>
      </c>
      <c r="C5528" s="12" t="inlineStr">
        <is>
          <t>Fuel supply (adjacent market)</t>
        </is>
      </c>
      <c r="D5528" s="12" t="inlineStr">
        <is>
          <t>Home run JB-LNG 10: truck unlo-DI01 to the control / marshalling room</t>
        </is>
      </c>
      <c r="E5528" s="12" t="inlineStr"/>
      <c r="F5528" s="12" t="inlineStr">
        <is>
          <t>LNG 17: LNG e-house (13.8 kV / 480 V)</t>
        </is>
      </c>
      <c r="G5528" s="12" t="inlineStr">
        <is>
          <t>JB-LNG 10: truck unlo-DI01</t>
        </is>
      </c>
      <c r="H5528" s="12" t="inlineStr">
        <is>
          <t>LNG 10: truck unloading bay 1</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237</v>
      </c>
      <c r="U5528" s="16" t="n">
        <v>61</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K-I-0091</t>
        </is>
      </c>
      <c r="B5529" s="12" t="inlineStr">
        <is>
          <t>K</t>
        </is>
      </c>
      <c r="C5529" s="12" t="inlineStr">
        <is>
          <t>Fuel supply (adjacent market)</t>
        </is>
      </c>
      <c r="D5529" s="12" t="inlineStr">
        <is>
          <t>Analog instrument to JB JB-LNG 10: truck unlo-AI01: 12 x 1 pr (field cables)</t>
        </is>
      </c>
      <c r="E5529" s="12" t="inlineStr"/>
      <c r="F5529" s="12" t="inlineStr">
        <is>
          <t>LNG 10: truck unloading bay 2</t>
        </is>
      </c>
      <c r="G5529" s="12" t="inlineStr">
        <is>
          <t>JB-LNG 10: truck unlo-AI01</t>
        </is>
      </c>
      <c r="H5529" s="12" t="inlineStr">
        <is>
          <t>LNG 10: truck unloading bay 2</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72</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K-I-0092</t>
        </is>
      </c>
      <c r="B5530" s="12" t="inlineStr">
        <is>
          <t>K</t>
        </is>
      </c>
      <c r="C5530" s="12" t="inlineStr">
        <is>
          <t>Fuel supply (adjacent market)</t>
        </is>
      </c>
      <c r="D5530" s="12" t="inlineStr">
        <is>
          <t>Home run JB-LNG 10: truck unlo-AI01 to the control / marshalling room</t>
        </is>
      </c>
      <c r="E5530" s="12" t="inlineStr"/>
      <c r="F5530" s="12" t="inlineStr">
        <is>
          <t>LNG 17: LNG e-house (13.8 kV / 480 V)</t>
        </is>
      </c>
      <c r="G5530" s="12" t="inlineStr">
        <is>
          <t>JB-LNG 10: truck unlo-AI01</t>
        </is>
      </c>
      <c r="H5530" s="12" t="inlineStr">
        <is>
          <t>LNG 10: truck unloading bay 2</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147</v>
      </c>
      <c r="U5530" s="16" t="n">
        <v>66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K-I-0093</t>
        </is>
      </c>
      <c r="B5531" s="12" t="inlineStr">
        <is>
          <t>K</t>
        </is>
      </c>
      <c r="C5531" s="12" t="inlineStr">
        <is>
          <t>Fuel supply (adjacent market)</t>
        </is>
      </c>
      <c r="D5531" s="12" t="inlineStr">
        <is>
          <t>Discrete device to JB JB-LNG 10: truck unlo-DI01: 12 x 1 pr (field cables)</t>
        </is>
      </c>
      <c r="E5531" s="12" t="inlineStr"/>
      <c r="F5531" s="12" t="inlineStr">
        <is>
          <t>LNG 10: truck unloading bay 2</t>
        </is>
      </c>
      <c r="G5531" s="12" t="inlineStr">
        <is>
          <t>JB-LNG 10: truck unlo-DI01</t>
        </is>
      </c>
      <c r="H5531" s="12" t="inlineStr">
        <is>
          <t>LNG 10: truck unloading bay 2</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K-I-0094</t>
        </is>
      </c>
      <c r="B5532" s="12" t="inlineStr">
        <is>
          <t>K</t>
        </is>
      </c>
      <c r="C5532" s="12" t="inlineStr">
        <is>
          <t>Fuel supply (adjacent market)</t>
        </is>
      </c>
      <c r="D5532" s="12" t="inlineStr">
        <is>
          <t>Home run JB-LNG 10: truck unlo-DI01 to the control / marshalling room</t>
        </is>
      </c>
      <c r="E5532" s="12" t="inlineStr"/>
      <c r="F5532" s="12" t="inlineStr">
        <is>
          <t>LNG 17: LNG e-house (13.8 kV / 480 V)</t>
        </is>
      </c>
      <c r="G5532" s="12" t="inlineStr">
        <is>
          <t>JB-LNG 10: truck unlo-DI01</t>
        </is>
      </c>
      <c r="H5532" s="12" t="inlineStr">
        <is>
          <t>LNG 10: truck unloading bay 2</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147</v>
      </c>
      <c r="U5532" s="16" t="n">
        <v>66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K-I-0095</t>
        </is>
      </c>
      <c r="B5533" s="12" t="inlineStr">
        <is>
          <t>K</t>
        </is>
      </c>
      <c r="C5533" s="12" t="inlineStr">
        <is>
          <t>Fuel supply (adjacent market)</t>
        </is>
      </c>
      <c r="D5533" s="12" t="inlineStr">
        <is>
          <t>Analog instrument to JB JB-LNG 10: unloading -AI01: 12 x 1 pr (field cables)</t>
        </is>
      </c>
      <c r="E5533" s="12" t="inlineStr"/>
      <c r="F5533" s="12" t="inlineStr">
        <is>
          <t>LNG 10: unloading skid</t>
        </is>
      </c>
      <c r="G5533" s="12" t="inlineStr">
        <is>
          <t>JB-LNG 10: unloading -AI01</t>
        </is>
      </c>
      <c r="H5533" s="12" t="inlineStr">
        <is>
          <t>LNG 10: unloading skid</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54</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K-I-0096</t>
        </is>
      </c>
      <c r="B5534" s="12" t="inlineStr">
        <is>
          <t>K</t>
        </is>
      </c>
      <c r="C5534" s="12" t="inlineStr">
        <is>
          <t>Fuel supply (adjacent market)</t>
        </is>
      </c>
      <c r="D5534" s="12" t="inlineStr">
        <is>
          <t>Home run JB-LNG 10: unloading -AI01 to the control / marshalling room</t>
        </is>
      </c>
      <c r="E5534" s="12" t="inlineStr"/>
      <c r="F5534" s="12" t="inlineStr">
        <is>
          <t>LNG 17: LNG e-house (13.8 kV / 480 V)</t>
        </is>
      </c>
      <c r="G5534" s="12" t="inlineStr">
        <is>
          <t>JB-LNG 10: unloading -AI01</t>
        </is>
      </c>
      <c r="H5534" s="12" t="inlineStr">
        <is>
          <t>LNG 10: unloading skid</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K-I-0097</t>
        </is>
      </c>
      <c r="B5535" s="12" t="inlineStr">
        <is>
          <t>K</t>
        </is>
      </c>
      <c r="C5535" s="12" t="inlineStr">
        <is>
          <t>Fuel supply (adjacent market)</t>
        </is>
      </c>
      <c r="D5535" s="12" t="inlineStr">
        <is>
          <t>Discrete device to JB JB-LNG 10: unloading -DI01: 12 x 1 pr (field cables)</t>
        </is>
      </c>
      <c r="E5535" s="12" t="inlineStr"/>
      <c r="F5535" s="12" t="inlineStr">
        <is>
          <t>LNG 10: unloading skid</t>
        </is>
      </c>
      <c r="G5535" s="12" t="inlineStr">
        <is>
          <t>JB-LNG 10: unloading -DI01</t>
        </is>
      </c>
      <c r="H5535" s="12" t="inlineStr">
        <is>
          <t>LNG 10: unloading skid</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K-I-0098</t>
        </is>
      </c>
      <c r="B5536" s="12" t="inlineStr">
        <is>
          <t>K</t>
        </is>
      </c>
      <c r="C5536" s="12" t="inlineStr">
        <is>
          <t>Fuel supply (adjacent market)</t>
        </is>
      </c>
      <c r="D5536" s="12" t="inlineStr">
        <is>
          <t>Home run JB-LNG 10: unloading -DI01 to the control / marshalling room</t>
        </is>
      </c>
      <c r="E5536" s="12" t="inlineStr"/>
      <c r="F5536" s="12" t="inlineStr">
        <is>
          <t>LNG 17: LNG e-house (13.8 kV / 480 V)</t>
        </is>
      </c>
      <c r="G5536" s="12" t="inlineStr">
        <is>
          <t>JB-LNG 10: unloading -DI01</t>
        </is>
      </c>
      <c r="H5536" s="12" t="inlineStr">
        <is>
          <t>LNG 10: unloading skid</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237</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K-I-0099</t>
        </is>
      </c>
      <c r="B5537" s="12" t="inlineStr">
        <is>
          <t>K</t>
        </is>
      </c>
      <c r="C5537" s="12" t="inlineStr">
        <is>
          <t>Fuel supply (adjacent market)</t>
        </is>
      </c>
      <c r="D5537" s="12" t="inlineStr">
        <is>
          <t>Analog instrument to JB JB-LNG-T1-AI01: 4 x 1 pr (field cables)</t>
        </is>
      </c>
      <c r="E5537" s="12" t="inlineStr">
        <is>
          <t>LNG-T1</t>
        </is>
      </c>
      <c r="F5537" s="12" t="inlineStr">
        <is>
          <t>LNG 11: tank 1, Chart HS 50000 (51,780 gal)</t>
        </is>
      </c>
      <c r="G5537" s="12" t="inlineStr">
        <is>
          <t>JB-LNG-T1-AI01</t>
        </is>
      </c>
      <c r="H5537" s="12" t="inlineStr">
        <is>
          <t>LNG 11: tank 1,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6" t="n">
        <v>77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K-I-0100</t>
        </is>
      </c>
      <c r="B5538" s="12" t="inlineStr">
        <is>
          <t>K</t>
        </is>
      </c>
      <c r="C5538" s="12" t="inlineStr">
        <is>
          <t>Fuel supply (adjacent market)</t>
        </is>
      </c>
      <c r="D5538" s="12" t="inlineStr">
        <is>
          <t>Home run JB-LNG-T1-AI01 to the control / marshalling room</t>
        </is>
      </c>
      <c r="E5538" s="12" t="inlineStr"/>
      <c r="F5538" s="12" t="inlineStr">
        <is>
          <t>LNG 17: LNG e-house (13.8 kV / 480 V)</t>
        </is>
      </c>
      <c r="G5538" s="12" t="inlineStr">
        <is>
          <t>JB-LNG-T1-AI01</t>
        </is>
      </c>
      <c r="H5538" s="12" t="inlineStr">
        <is>
          <t>LNG 11: tank 1,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K-I-0101</t>
        </is>
      </c>
      <c r="B5539" s="12" t="inlineStr">
        <is>
          <t>K</t>
        </is>
      </c>
      <c r="C5539" s="12" t="inlineStr">
        <is>
          <t>Fuel supply (adjacent market)</t>
        </is>
      </c>
      <c r="D5539" s="12" t="inlineStr">
        <is>
          <t>Discrete device to JB JB-LNG-T1-DI01: 4 x 1 pr (field cables)</t>
        </is>
      </c>
      <c r="E5539" s="12" t="inlineStr">
        <is>
          <t>LNG-T1</t>
        </is>
      </c>
      <c r="F5539" s="12" t="inlineStr">
        <is>
          <t>LNG 11: tank 1, Chart HS 50000 (51,780 gal)</t>
        </is>
      </c>
      <c r="G5539" s="12" t="inlineStr">
        <is>
          <t>JB-LNG-T1-DI01</t>
        </is>
      </c>
      <c r="H5539" s="12" t="inlineStr">
        <is>
          <t>LNG 11: tank 1, Chart HS 50000 (51,780 gal)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4</v>
      </c>
      <c r="O5539" s="12" t="n">
        <v>1</v>
      </c>
      <c r="P5539" s="12" t="n"/>
      <c r="Q5539" s="12" t="n"/>
      <c r="R5539" s="12" t="n"/>
      <c r="S5539" s="12" t="inlineStr">
        <is>
          <t>Tray / conduit</t>
        </is>
      </c>
      <c r="T5539" s="16" t="n">
        <v>77</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K-I-0102</t>
        </is>
      </c>
      <c r="B5540" s="12" t="inlineStr">
        <is>
          <t>K</t>
        </is>
      </c>
      <c r="C5540" s="12" t="inlineStr">
        <is>
          <t>Fuel supply (adjacent market)</t>
        </is>
      </c>
      <c r="D5540" s="12" t="inlineStr">
        <is>
          <t>Home run JB-LNG-T1-DI01 to the control / marshalling room</t>
        </is>
      </c>
      <c r="E5540" s="12" t="inlineStr"/>
      <c r="F5540" s="12" t="inlineStr">
        <is>
          <t>LNG 17: LNG e-house (13.8 kV / 480 V)</t>
        </is>
      </c>
      <c r="G5540" s="12" t="inlineStr">
        <is>
          <t>JB-LNG-T1-DI01</t>
        </is>
      </c>
      <c r="H5540" s="12" t="inlineStr">
        <is>
          <t>LNG 11: tank 1, Chart HS 50000 (51,780 gal)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K-I-0103</t>
        </is>
      </c>
      <c r="B5541" s="12" t="inlineStr">
        <is>
          <t>K</t>
        </is>
      </c>
      <c r="C5541" s="12" t="inlineStr">
        <is>
          <t>Fuel supply (adjacent market)</t>
        </is>
      </c>
      <c r="D5541" s="12" t="inlineStr">
        <is>
          <t>Analog instrument to JB JB-LNG-T2-AI01: 4 x 1 pr (field cables)</t>
        </is>
      </c>
      <c r="E5541" s="12" t="inlineStr">
        <is>
          <t>LNG-T2</t>
        </is>
      </c>
      <c r="F5541" s="12" t="inlineStr">
        <is>
          <t>LNG 11: tank 2, Chart HS 50000 (51,780 gal)</t>
        </is>
      </c>
      <c r="G5541" s="12" t="inlineStr">
        <is>
          <t>JB-LNG-T2-AI01</t>
        </is>
      </c>
      <c r="H5541" s="12" t="inlineStr">
        <is>
          <t>LNG 11: tank 2, Chart HS 50000 (51,780 gal)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4</v>
      </c>
      <c r="O5541" s="12" t="n">
        <v>1</v>
      </c>
      <c r="P5541" s="12" t="n"/>
      <c r="Q5541" s="12" t="n"/>
      <c r="R5541" s="12" t="n"/>
      <c r="S5541" s="12" t="inlineStr">
        <is>
          <t>Tray / conduit</t>
        </is>
      </c>
      <c r="T5541" s="16" t="n">
        <v>77</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K-I-0104</t>
        </is>
      </c>
      <c r="B5542" s="12" t="inlineStr">
        <is>
          <t>K</t>
        </is>
      </c>
      <c r="C5542" s="12" t="inlineStr">
        <is>
          <t>Fuel supply (adjacent market)</t>
        </is>
      </c>
      <c r="D5542" s="12" t="inlineStr">
        <is>
          <t>Home run JB-LNG-T2-AI01 to the control / marshalling room</t>
        </is>
      </c>
      <c r="E5542" s="12" t="inlineStr"/>
      <c r="F5542" s="12" t="inlineStr">
        <is>
          <t>LNG 17: LNG e-house (13.8 kV / 480 V)</t>
        </is>
      </c>
      <c r="G5542" s="12" t="inlineStr">
        <is>
          <t>JB-LNG-T2-AI01</t>
        </is>
      </c>
      <c r="H5542" s="12" t="inlineStr">
        <is>
          <t>LNG 11: tank 2, Chart HS 50000 (51,780 gal)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K-I-0105</t>
        </is>
      </c>
      <c r="B5543" s="12" t="inlineStr">
        <is>
          <t>K</t>
        </is>
      </c>
      <c r="C5543" s="12" t="inlineStr">
        <is>
          <t>Fuel supply (adjacent market)</t>
        </is>
      </c>
      <c r="D5543" s="12" t="inlineStr">
        <is>
          <t>Discrete device to JB JB-LNG-T2-DI01: 4 x 1 pr (field cables)</t>
        </is>
      </c>
      <c r="E5543" s="12" t="inlineStr">
        <is>
          <t>LNG-T2</t>
        </is>
      </c>
      <c r="F5543" s="12" t="inlineStr">
        <is>
          <t>LNG 11: tank 2, Chart HS 50000 (51,780 gal)</t>
        </is>
      </c>
      <c r="G5543" s="12" t="inlineStr">
        <is>
          <t>JB-LNG-T2-DI01</t>
        </is>
      </c>
      <c r="H5543" s="12" t="inlineStr">
        <is>
          <t>LNG 11: tank 2,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K-I-0106</t>
        </is>
      </c>
      <c r="B5544" s="12" t="inlineStr">
        <is>
          <t>K</t>
        </is>
      </c>
      <c r="C5544" s="12" t="inlineStr">
        <is>
          <t>Fuel supply (adjacent market)</t>
        </is>
      </c>
      <c r="D5544" s="12" t="inlineStr">
        <is>
          <t>Home run JB-LNG-T2-DI01 to the control / marshalling room</t>
        </is>
      </c>
      <c r="E5544" s="12" t="inlineStr"/>
      <c r="F5544" s="12" t="inlineStr">
        <is>
          <t>LNG 17: LNG e-house (13.8 kV / 480 V)</t>
        </is>
      </c>
      <c r="G5544" s="12" t="inlineStr">
        <is>
          <t>JB-LNG-T2-DI01</t>
        </is>
      </c>
      <c r="H5544" s="12" t="inlineStr">
        <is>
          <t>LNG 11: tank 2,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230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K-I-0107</t>
        </is>
      </c>
      <c r="B5545" s="12" t="inlineStr">
        <is>
          <t>K</t>
        </is>
      </c>
      <c r="C5545" s="12" t="inlineStr">
        <is>
          <t>Fuel supply (adjacent market)</t>
        </is>
      </c>
      <c r="D5545" s="12" t="inlineStr">
        <is>
          <t>Analog instrument to JB JB-LNG-T3-AI01: 4 x 1 pr (field cables)</t>
        </is>
      </c>
      <c r="E5545" s="12" t="inlineStr">
        <is>
          <t>LNG-T3</t>
        </is>
      </c>
      <c r="F5545" s="12" t="inlineStr">
        <is>
          <t>LNG 11: tank 3, Chart HS 50000 (51,780 gal)</t>
        </is>
      </c>
      <c r="G5545" s="12" t="inlineStr">
        <is>
          <t>JB-LNG-T3-AI01</t>
        </is>
      </c>
      <c r="H5545" s="12" t="inlineStr">
        <is>
          <t>LNG 11: tank 3,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K-I-0108</t>
        </is>
      </c>
      <c r="B5546" s="12" t="inlineStr">
        <is>
          <t>K</t>
        </is>
      </c>
      <c r="C5546" s="12" t="inlineStr">
        <is>
          <t>Fuel supply (adjacent market)</t>
        </is>
      </c>
      <c r="D5546" s="12" t="inlineStr">
        <is>
          <t>Home run JB-LNG-T3-AI01 to the control / marshalling room</t>
        </is>
      </c>
      <c r="E5546" s="12" t="inlineStr"/>
      <c r="F5546" s="12" t="inlineStr">
        <is>
          <t>LNG 17: LNG e-house (13.8 kV / 480 V)</t>
        </is>
      </c>
      <c r="G5546" s="12" t="inlineStr">
        <is>
          <t>JB-LNG-T3-AI01</t>
        </is>
      </c>
      <c r="H5546" s="12" t="inlineStr">
        <is>
          <t>LNG 11: tank 3,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250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K-I-0109</t>
        </is>
      </c>
      <c r="B5547" s="12" t="inlineStr">
        <is>
          <t>K</t>
        </is>
      </c>
      <c r="C5547" s="12" t="inlineStr">
        <is>
          <t>Fuel supply (adjacent market)</t>
        </is>
      </c>
      <c r="D5547" s="12" t="inlineStr">
        <is>
          <t>Discrete device to JB JB-LNG-T3-DI01: 4 x 1 pr (field cables)</t>
        </is>
      </c>
      <c r="E5547" s="12" t="inlineStr">
        <is>
          <t>LNG-T3</t>
        </is>
      </c>
      <c r="F5547" s="12" t="inlineStr">
        <is>
          <t>LNG 11: tank 3, Chart HS 50000 (51,780 gal)</t>
        </is>
      </c>
      <c r="G5547" s="12" t="inlineStr">
        <is>
          <t>JB-LNG-T3-DI01</t>
        </is>
      </c>
      <c r="H5547" s="12" t="inlineStr">
        <is>
          <t>LNG 11: tank 3,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K-I-0110</t>
        </is>
      </c>
      <c r="B5548" s="12" t="inlineStr">
        <is>
          <t>K</t>
        </is>
      </c>
      <c r="C5548" s="12" t="inlineStr">
        <is>
          <t>Fuel supply (adjacent market)</t>
        </is>
      </c>
      <c r="D5548" s="12" t="inlineStr">
        <is>
          <t>Home run JB-LNG-T3-DI01 to the control / marshalling room</t>
        </is>
      </c>
      <c r="E5548" s="12" t="inlineStr"/>
      <c r="F5548" s="12" t="inlineStr">
        <is>
          <t>LNG 17: LNG e-house (13.8 kV / 480 V)</t>
        </is>
      </c>
      <c r="G5548" s="12" t="inlineStr">
        <is>
          <t>JB-LNG-T3-DI01</t>
        </is>
      </c>
      <c r="H5548" s="12" t="inlineStr">
        <is>
          <t>LNG 11: tank 3,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K-I-0111</t>
        </is>
      </c>
      <c r="B5549" s="12" t="inlineStr">
        <is>
          <t>K</t>
        </is>
      </c>
      <c r="C5549" s="12" t="inlineStr">
        <is>
          <t>Fuel supply (adjacent market)</t>
        </is>
      </c>
      <c r="D5549" s="12" t="inlineStr">
        <is>
          <t>Analog instrument to JB JB-LNG-T4-AI01: 4 x 1 pr (field cables)</t>
        </is>
      </c>
      <c r="E5549" s="12" t="inlineStr">
        <is>
          <t>LNG-T4</t>
        </is>
      </c>
      <c r="F5549" s="12" t="inlineStr">
        <is>
          <t>LNG 11: tank 4, Chart HS 50000 (51,780 gal)</t>
        </is>
      </c>
      <c r="G5549" s="12" t="inlineStr">
        <is>
          <t>JB-LNG-T4-AI01</t>
        </is>
      </c>
      <c r="H5549" s="12" t="inlineStr">
        <is>
          <t>LNG 11: tank 4,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K-I-0112</t>
        </is>
      </c>
      <c r="B5550" s="12" t="inlineStr">
        <is>
          <t>K</t>
        </is>
      </c>
      <c r="C5550" s="12" t="inlineStr">
        <is>
          <t>Fuel supply (adjacent market)</t>
        </is>
      </c>
      <c r="D5550" s="12" t="inlineStr">
        <is>
          <t>Home run JB-LNG-T4-AI01 to the control / marshalling room</t>
        </is>
      </c>
      <c r="E5550" s="12" t="inlineStr"/>
      <c r="F5550" s="12" t="inlineStr">
        <is>
          <t>LNG 17: LNG e-house (13.8 kV / 480 V)</t>
        </is>
      </c>
      <c r="G5550" s="12" t="inlineStr">
        <is>
          <t>JB-LNG-T4-AI01</t>
        </is>
      </c>
      <c r="H5550" s="12" t="inlineStr">
        <is>
          <t>LNG 11: tank 4,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270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K-I-0113</t>
        </is>
      </c>
      <c r="B5551" s="12" t="inlineStr">
        <is>
          <t>K</t>
        </is>
      </c>
      <c r="C5551" s="12" t="inlineStr">
        <is>
          <t>Fuel supply (adjacent market)</t>
        </is>
      </c>
      <c r="D5551" s="12" t="inlineStr">
        <is>
          <t>Discrete device to JB JB-LNG-T4-DI01: 4 x 1 pr (field cables)</t>
        </is>
      </c>
      <c r="E5551" s="12" t="inlineStr">
        <is>
          <t>LNG-T4</t>
        </is>
      </c>
      <c r="F5551" s="12" t="inlineStr">
        <is>
          <t>LNG 11: tank 4, Chart HS 50000 (51,780 gal)</t>
        </is>
      </c>
      <c r="G5551" s="12" t="inlineStr">
        <is>
          <t>JB-LNG-T4-DI01</t>
        </is>
      </c>
      <c r="H5551" s="12" t="inlineStr">
        <is>
          <t>LNG 11: tank 4,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K-I-0114</t>
        </is>
      </c>
      <c r="B5552" s="12" t="inlineStr">
        <is>
          <t>K</t>
        </is>
      </c>
      <c r="C5552" s="12" t="inlineStr">
        <is>
          <t>Fuel supply (adjacent market)</t>
        </is>
      </c>
      <c r="D5552" s="12" t="inlineStr">
        <is>
          <t>Home run JB-LNG-T4-DI01 to the control / marshalling room</t>
        </is>
      </c>
      <c r="E5552" s="12" t="inlineStr"/>
      <c r="F5552" s="12" t="inlineStr">
        <is>
          <t>LNG 17: LNG e-house (13.8 kV / 480 V)</t>
        </is>
      </c>
      <c r="G5552" s="12" t="inlineStr">
        <is>
          <t>JB-LNG-T4-DI01</t>
        </is>
      </c>
      <c r="H5552" s="12" t="inlineStr">
        <is>
          <t>LNG 11: tank 4,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270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K-I-0115</t>
        </is>
      </c>
      <c r="B5553" s="12" t="inlineStr">
        <is>
          <t>K</t>
        </is>
      </c>
      <c r="C5553" s="12" t="inlineStr">
        <is>
          <t>Fuel supply (adjacent market)</t>
        </is>
      </c>
      <c r="D5553" s="12" t="inlineStr">
        <is>
          <t>Analog instrument to JB JB-LNG-T5-AI01: 4 x 1 pr (field cables)</t>
        </is>
      </c>
      <c r="E5553" s="12" t="inlineStr">
        <is>
          <t>LNG-T5</t>
        </is>
      </c>
      <c r="F5553" s="12" t="inlineStr">
        <is>
          <t>LNG 11: tank 5, Chart HS 50000 (51,780 gal)</t>
        </is>
      </c>
      <c r="G5553" s="12" t="inlineStr">
        <is>
          <t>JB-LNG-T5-AI01</t>
        </is>
      </c>
      <c r="H5553" s="12" t="inlineStr">
        <is>
          <t>LNG 11: tank 5,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K-I-0116</t>
        </is>
      </c>
      <c r="B5554" s="12" t="inlineStr">
        <is>
          <t>K</t>
        </is>
      </c>
      <c r="C5554" s="12" t="inlineStr">
        <is>
          <t>Fuel supply (adjacent market)</t>
        </is>
      </c>
      <c r="D5554" s="12" t="inlineStr">
        <is>
          <t>Home run JB-LNG-T5-AI01 to the control / marshalling room</t>
        </is>
      </c>
      <c r="E5554" s="12" t="inlineStr"/>
      <c r="F5554" s="12" t="inlineStr">
        <is>
          <t>LNG 17: LNG e-house (13.8 kV / 480 V)</t>
        </is>
      </c>
      <c r="G5554" s="12" t="inlineStr">
        <is>
          <t>JB-LNG-T5-AI01</t>
        </is>
      </c>
      <c r="H5554" s="12" t="inlineStr">
        <is>
          <t>LNG 11: tank 5,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290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K-I-0117</t>
        </is>
      </c>
      <c r="B5555" s="12" t="inlineStr">
        <is>
          <t>K</t>
        </is>
      </c>
      <c r="C5555" s="12" t="inlineStr">
        <is>
          <t>Fuel supply (adjacent market)</t>
        </is>
      </c>
      <c r="D5555" s="12" t="inlineStr">
        <is>
          <t>Discrete device to JB JB-LNG-T5-DI01: 4 x 1 pr (field cables)</t>
        </is>
      </c>
      <c r="E5555" s="12" t="inlineStr">
        <is>
          <t>LNG-T5</t>
        </is>
      </c>
      <c r="F5555" s="12" t="inlineStr">
        <is>
          <t>LNG 11: tank 5, Chart HS 50000 (51,780 gal)</t>
        </is>
      </c>
      <c r="G5555" s="12" t="inlineStr">
        <is>
          <t>JB-LNG-T5-DI01</t>
        </is>
      </c>
      <c r="H5555" s="12" t="inlineStr">
        <is>
          <t>LNG 11: tank 5,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K-I-0118</t>
        </is>
      </c>
      <c r="B5556" s="12" t="inlineStr">
        <is>
          <t>K</t>
        </is>
      </c>
      <c r="C5556" s="12" t="inlineStr">
        <is>
          <t>Fuel supply (adjacent market)</t>
        </is>
      </c>
      <c r="D5556" s="12" t="inlineStr">
        <is>
          <t>Home run JB-LNG-T5-DI01 to the control / marshalling room</t>
        </is>
      </c>
      <c r="E5556" s="12" t="inlineStr"/>
      <c r="F5556" s="12" t="inlineStr">
        <is>
          <t>LNG 17: LNG e-house (13.8 kV / 480 V)</t>
        </is>
      </c>
      <c r="G5556" s="12" t="inlineStr">
        <is>
          <t>JB-LNG-T5-DI01</t>
        </is>
      </c>
      <c r="H5556" s="12" t="inlineStr">
        <is>
          <t>LNG 11: tank 5,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290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K-I-0119</t>
        </is>
      </c>
      <c r="B5557" s="12" t="inlineStr">
        <is>
          <t>K</t>
        </is>
      </c>
      <c r="C5557" s="12" t="inlineStr">
        <is>
          <t>Fuel supply (adjacent market)</t>
        </is>
      </c>
      <c r="D5557" s="12" t="inlineStr">
        <is>
          <t>Analog instrument to JB JB-LNG-T6-AI01: 4 x 1 pr (field cables)</t>
        </is>
      </c>
      <c r="E5557" s="12" t="inlineStr">
        <is>
          <t>LNG-T6</t>
        </is>
      </c>
      <c r="F5557" s="12" t="inlineStr">
        <is>
          <t>LNG 11: tank 6, Chart HS 50000 (51,780 gal)</t>
        </is>
      </c>
      <c r="G5557" s="12" t="inlineStr">
        <is>
          <t>JB-LNG-T6-AI01</t>
        </is>
      </c>
      <c r="H5557" s="12" t="inlineStr">
        <is>
          <t>LNG 11: tank 6,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K-I-0120</t>
        </is>
      </c>
      <c r="B5558" s="12" t="inlineStr">
        <is>
          <t>K</t>
        </is>
      </c>
      <c r="C5558" s="12" t="inlineStr">
        <is>
          <t>Fuel supply (adjacent market)</t>
        </is>
      </c>
      <c r="D5558" s="12" t="inlineStr">
        <is>
          <t>Home run JB-LNG-T6-AI01 to the control / marshalling room</t>
        </is>
      </c>
      <c r="E5558" s="12" t="inlineStr"/>
      <c r="F5558" s="12" t="inlineStr">
        <is>
          <t>LNG 17: LNG e-house (13.8 kV / 480 V)</t>
        </is>
      </c>
      <c r="G5558" s="12" t="inlineStr">
        <is>
          <t>JB-LNG-T6-AI01</t>
        </is>
      </c>
      <c r="H5558" s="12" t="inlineStr">
        <is>
          <t>LNG 11: tank 6,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310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K-I-0121</t>
        </is>
      </c>
      <c r="B5559" s="12" t="inlineStr">
        <is>
          <t>K</t>
        </is>
      </c>
      <c r="C5559" s="12" t="inlineStr">
        <is>
          <t>Fuel supply (adjacent market)</t>
        </is>
      </c>
      <c r="D5559" s="12" t="inlineStr">
        <is>
          <t>Discrete device to JB JB-LNG-T6-DI01: 4 x 1 pr (field cables)</t>
        </is>
      </c>
      <c r="E5559" s="12" t="inlineStr">
        <is>
          <t>LNG-T6</t>
        </is>
      </c>
      <c r="F5559" s="12" t="inlineStr">
        <is>
          <t>LNG 11: tank 6, Chart HS 50000 (51,780 gal)</t>
        </is>
      </c>
      <c r="G5559" s="12" t="inlineStr">
        <is>
          <t>JB-LNG-T6-DI01</t>
        </is>
      </c>
      <c r="H5559" s="12" t="inlineStr">
        <is>
          <t>LNG 11: tank 6,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K-I-0122</t>
        </is>
      </c>
      <c r="B5560" s="12" t="inlineStr">
        <is>
          <t>K</t>
        </is>
      </c>
      <c r="C5560" s="12" t="inlineStr">
        <is>
          <t>Fuel supply (adjacent market)</t>
        </is>
      </c>
      <c r="D5560" s="12" t="inlineStr">
        <is>
          <t>Home run JB-LNG-T6-DI01 to the control / marshalling room</t>
        </is>
      </c>
      <c r="E5560" s="12" t="inlineStr"/>
      <c r="F5560" s="12" t="inlineStr">
        <is>
          <t>LNG 17: LNG e-house (13.8 kV / 480 V)</t>
        </is>
      </c>
      <c r="G5560" s="12" t="inlineStr">
        <is>
          <t>JB-LNG-T6-DI01</t>
        </is>
      </c>
      <c r="H5560" s="12" t="inlineStr">
        <is>
          <t>LNG 11: tank 6,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310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K-I-0123</t>
        </is>
      </c>
      <c r="B5561" s="12" t="inlineStr">
        <is>
          <t>K</t>
        </is>
      </c>
      <c r="C5561" s="12" t="inlineStr">
        <is>
          <t>Fuel supply (adjacent market)</t>
        </is>
      </c>
      <c r="D5561" s="12" t="inlineStr">
        <is>
          <t>Analog instrument to JB JB-LNG-T7-AI01: 4 x 1 pr (field cables)</t>
        </is>
      </c>
      <c r="E5561" s="12" t="inlineStr">
        <is>
          <t>LNG-T7</t>
        </is>
      </c>
      <c r="F5561" s="12" t="inlineStr">
        <is>
          <t>LNG 11: tank 7, Chart HS 50000 (51,780 gal)</t>
        </is>
      </c>
      <c r="G5561" s="12" t="inlineStr">
        <is>
          <t>JB-LNG-T7-AI01</t>
        </is>
      </c>
      <c r="H5561" s="12" t="inlineStr">
        <is>
          <t>LNG 11: tank 7,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K-I-0124</t>
        </is>
      </c>
      <c r="B5562" s="12" t="inlineStr">
        <is>
          <t>K</t>
        </is>
      </c>
      <c r="C5562" s="12" t="inlineStr">
        <is>
          <t>Fuel supply (adjacent market)</t>
        </is>
      </c>
      <c r="D5562" s="12" t="inlineStr">
        <is>
          <t>Home run JB-LNG-T7-AI01 to the control / marshalling room</t>
        </is>
      </c>
      <c r="E5562" s="12" t="inlineStr"/>
      <c r="F5562" s="12" t="inlineStr">
        <is>
          <t>LNG 17: LNG e-house (13.8 kV / 480 V)</t>
        </is>
      </c>
      <c r="G5562" s="12" t="inlineStr">
        <is>
          <t>JB-LNG-T7-AI01</t>
        </is>
      </c>
      <c r="H5562" s="12" t="inlineStr">
        <is>
          <t>LNG 11: tank 7,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330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K-I-0125</t>
        </is>
      </c>
      <c r="B5563" s="12" t="inlineStr">
        <is>
          <t>K</t>
        </is>
      </c>
      <c r="C5563" s="12" t="inlineStr">
        <is>
          <t>Fuel supply (adjacent market)</t>
        </is>
      </c>
      <c r="D5563" s="12" t="inlineStr">
        <is>
          <t>Discrete device to JB JB-LNG-T7-DI01: 4 x 1 pr (field cables)</t>
        </is>
      </c>
      <c r="E5563" s="12" t="inlineStr">
        <is>
          <t>LNG-T7</t>
        </is>
      </c>
      <c r="F5563" s="12" t="inlineStr">
        <is>
          <t>LNG 11: tank 7, Chart HS 50000 (51,780 gal)</t>
        </is>
      </c>
      <c r="G5563" s="12" t="inlineStr">
        <is>
          <t>JB-LNG-T7-DI01</t>
        </is>
      </c>
      <c r="H5563" s="12" t="inlineStr">
        <is>
          <t>LNG 11: tank 7,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K-I-0126</t>
        </is>
      </c>
      <c r="B5564" s="12" t="inlineStr">
        <is>
          <t>K</t>
        </is>
      </c>
      <c r="C5564" s="12" t="inlineStr">
        <is>
          <t>Fuel supply (adjacent market)</t>
        </is>
      </c>
      <c r="D5564" s="12" t="inlineStr">
        <is>
          <t>Home run JB-LNG-T7-DI01 to the control / marshalling room</t>
        </is>
      </c>
      <c r="E5564" s="12" t="inlineStr"/>
      <c r="F5564" s="12" t="inlineStr">
        <is>
          <t>LNG 17: LNG e-house (13.8 kV / 480 V)</t>
        </is>
      </c>
      <c r="G5564" s="12" t="inlineStr">
        <is>
          <t>JB-LNG-T7-DI01</t>
        </is>
      </c>
      <c r="H5564" s="12" t="inlineStr">
        <is>
          <t>LNG 11: tank 7,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330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K-I-0127</t>
        </is>
      </c>
      <c r="B5565" s="12" t="inlineStr">
        <is>
          <t>K</t>
        </is>
      </c>
      <c r="C5565" s="12" t="inlineStr">
        <is>
          <t>Fuel supply (adjacent market)</t>
        </is>
      </c>
      <c r="D5565" s="12" t="inlineStr">
        <is>
          <t>Analog instrument to JB JB-LNG-T8-AI01: 4 x 1 pr (field cables)</t>
        </is>
      </c>
      <c r="E5565" s="12" t="inlineStr">
        <is>
          <t>LNG-T8</t>
        </is>
      </c>
      <c r="F5565" s="12" t="inlineStr">
        <is>
          <t>LNG 11: tank 8, Chart HS 50000 (51,780 gal)</t>
        </is>
      </c>
      <c r="G5565" s="12" t="inlineStr">
        <is>
          <t>JB-LNG-T8-AI01</t>
        </is>
      </c>
      <c r="H5565" s="12" t="inlineStr">
        <is>
          <t>LNG 11: tank 8,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K-I-0128</t>
        </is>
      </c>
      <c r="B5566" s="12" t="inlineStr">
        <is>
          <t>K</t>
        </is>
      </c>
      <c r="C5566" s="12" t="inlineStr">
        <is>
          <t>Fuel supply (adjacent market)</t>
        </is>
      </c>
      <c r="D5566" s="12" t="inlineStr">
        <is>
          <t>Home run JB-LNG-T8-AI01 to the control / marshalling room</t>
        </is>
      </c>
      <c r="E5566" s="12" t="inlineStr"/>
      <c r="F5566" s="12" t="inlineStr">
        <is>
          <t>LNG 17: LNG e-house (13.8 kV / 480 V)</t>
        </is>
      </c>
      <c r="G5566" s="12" t="inlineStr">
        <is>
          <t>JB-LNG-T8-AI01</t>
        </is>
      </c>
      <c r="H5566" s="12" t="inlineStr">
        <is>
          <t>LNG 11: tank 8,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350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K-I-0129</t>
        </is>
      </c>
      <c r="B5567" s="12" t="inlineStr">
        <is>
          <t>K</t>
        </is>
      </c>
      <c r="C5567" s="12" t="inlineStr">
        <is>
          <t>Fuel supply (adjacent market)</t>
        </is>
      </c>
      <c r="D5567" s="12" t="inlineStr">
        <is>
          <t>Discrete device to JB JB-LNG-T8-DI01: 4 x 1 pr (field cables)</t>
        </is>
      </c>
      <c r="E5567" s="12" t="inlineStr">
        <is>
          <t>LNG-T8</t>
        </is>
      </c>
      <c r="F5567" s="12" t="inlineStr">
        <is>
          <t>LNG 11: tank 8, Chart HS 50000 (51,780 gal)</t>
        </is>
      </c>
      <c r="G5567" s="12" t="inlineStr">
        <is>
          <t>JB-LNG-T8-DI01</t>
        </is>
      </c>
      <c r="H5567" s="12" t="inlineStr">
        <is>
          <t>LNG 11: tank 8,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K-I-0130</t>
        </is>
      </c>
      <c r="B5568" s="12" t="inlineStr">
        <is>
          <t>K</t>
        </is>
      </c>
      <c r="C5568" s="12" t="inlineStr">
        <is>
          <t>Fuel supply (adjacent market)</t>
        </is>
      </c>
      <c r="D5568" s="12" t="inlineStr">
        <is>
          <t>Home run JB-LNG-T8-DI01 to the control / marshalling room</t>
        </is>
      </c>
      <c r="E5568" s="12" t="inlineStr"/>
      <c r="F5568" s="12" t="inlineStr">
        <is>
          <t>LNG 17: LNG e-house (13.8 kV / 480 V)</t>
        </is>
      </c>
      <c r="G5568" s="12" t="inlineStr">
        <is>
          <t>JB-LNG-T8-DI01</t>
        </is>
      </c>
      <c r="H5568" s="12" t="inlineStr">
        <is>
          <t>LNG 11: tank 8,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350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K-I-0131</t>
        </is>
      </c>
      <c r="B5569" s="12" t="inlineStr">
        <is>
          <t>K</t>
        </is>
      </c>
      <c r="C5569" s="12" t="inlineStr">
        <is>
          <t>Fuel supply (adjacent market)</t>
        </is>
      </c>
      <c r="D5569" s="12" t="inlineStr">
        <is>
          <t>Analog instrument to JB JB-LNG 12: spill impo-AI01: 12 x 1 pr (field cables)</t>
        </is>
      </c>
      <c r="E5569" s="12" t="inlineStr"/>
      <c r="F5569" s="12" t="inlineStr">
        <is>
          <t>LNG 12: spill impoundment (NFPA 59A, to verify)</t>
        </is>
      </c>
      <c r="G5569" s="12" t="inlineStr">
        <is>
          <t>JB-LNG 12: spill impo-AI01</t>
        </is>
      </c>
      <c r="H5569" s="12" t="inlineStr">
        <is>
          <t>LNG 12: spill impoundment (NFPA 59A, to verify)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170</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K-I-0132</t>
        </is>
      </c>
      <c r="B5570" s="12" t="inlineStr">
        <is>
          <t>K</t>
        </is>
      </c>
      <c r="C5570" s="12" t="inlineStr">
        <is>
          <t>Fuel supply (adjacent market)</t>
        </is>
      </c>
      <c r="D5570" s="12" t="inlineStr">
        <is>
          <t>Home run JB-LNG 12: spill impo-AI01 to the control / marshalling room</t>
        </is>
      </c>
      <c r="E5570" s="12" t="inlineStr"/>
      <c r="F5570" s="12" t="inlineStr">
        <is>
          <t>LNG 17: LNG e-house (13.8 kV / 480 V)</t>
        </is>
      </c>
      <c r="G5570" s="12" t="inlineStr">
        <is>
          <t>JB-LNG 12: spill impo-AI01</t>
        </is>
      </c>
      <c r="H5570" s="12" t="inlineStr">
        <is>
          <t>LNG 12: spill impoundment (NFPA 59A, to verify)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230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K-I-0133</t>
        </is>
      </c>
      <c r="B5571" s="12" t="inlineStr">
        <is>
          <t>K</t>
        </is>
      </c>
      <c r="C5571" s="12" t="inlineStr">
        <is>
          <t>Fuel supply (adjacent market)</t>
        </is>
      </c>
      <c r="D5571" s="12" t="inlineStr">
        <is>
          <t>Discrete device to JB JB-LNG 12: spill impo-DI01: 12 x 1 pr (field cables)</t>
        </is>
      </c>
      <c r="E5571" s="12" t="inlineStr"/>
      <c r="F5571" s="12" t="inlineStr">
        <is>
          <t>LNG 12: spill impoundment (NFPA 59A, to verify)</t>
        </is>
      </c>
      <c r="G5571" s="12" t="inlineStr">
        <is>
          <t>JB-LNG 12: spill impo-DI01</t>
        </is>
      </c>
      <c r="H5571" s="12" t="inlineStr">
        <is>
          <t>LNG 12: spill impoundment (NFPA 59A, to verify)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170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K-I-0134</t>
        </is>
      </c>
      <c r="B5572" s="12" t="inlineStr">
        <is>
          <t>K</t>
        </is>
      </c>
      <c r="C5572" s="12" t="inlineStr">
        <is>
          <t>Fuel supply (adjacent market)</t>
        </is>
      </c>
      <c r="D5572" s="12" t="inlineStr">
        <is>
          <t>Home run JB-LNG 12: spill impo-DI01 to the control / marshalling room</t>
        </is>
      </c>
      <c r="E5572" s="12" t="inlineStr"/>
      <c r="F5572" s="12" t="inlineStr">
        <is>
          <t>LNG 17: LNG e-house (13.8 kV / 480 V)</t>
        </is>
      </c>
      <c r="G5572" s="12" t="inlineStr">
        <is>
          <t>JB-LNG 12: spill impo-DI01</t>
        </is>
      </c>
      <c r="H5572" s="12" t="inlineStr">
        <is>
          <t>LNG 12: spill impoundment (NFPA 59A, to verify)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230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K-I-0135</t>
        </is>
      </c>
      <c r="B5573" s="12" t="inlineStr">
        <is>
          <t>K</t>
        </is>
      </c>
      <c r="C5573" s="12" t="inlineStr">
        <is>
          <t>Fuel supply (adjacent market)</t>
        </is>
      </c>
      <c r="D5573" s="12" t="inlineStr">
        <is>
          <t>Analog instrument to JB JB-LNG 13: send-out p-AI01: 12 x 1 pr (field cables)</t>
        </is>
      </c>
      <c r="E5573" s="12" t="inlineStr"/>
      <c r="F5573" s="12" t="inlineStr">
        <is>
          <t>LNG 13: send-out pumps 2 x 100%</t>
        </is>
      </c>
      <c r="G5573" s="12" t="inlineStr">
        <is>
          <t>JB-LNG 13: send-out p-AI01</t>
        </is>
      </c>
      <c r="H5573" s="12" t="inlineStr">
        <is>
          <t>LNG 13: send-out pumps 2 x 100%</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K-I-0136</t>
        </is>
      </c>
      <c r="B5574" s="12" t="inlineStr">
        <is>
          <t>K</t>
        </is>
      </c>
      <c r="C5574" s="12" t="inlineStr">
        <is>
          <t>Fuel supply (adjacent market)</t>
        </is>
      </c>
      <c r="D5574" s="12" t="inlineStr">
        <is>
          <t>Home run JB-LNG 13: send-out p-AI01 to the control / marshalling room</t>
        </is>
      </c>
      <c r="E5574" s="12" t="inlineStr"/>
      <c r="F5574" s="12" t="inlineStr">
        <is>
          <t>LNG 17: LNG e-house (13.8 kV / 480 V)</t>
        </is>
      </c>
      <c r="G5574" s="12" t="inlineStr">
        <is>
          <t>JB-LNG 13: send-out p-AI01</t>
        </is>
      </c>
      <c r="H5574" s="12" t="inlineStr">
        <is>
          <t>LNG 13: send-out pumps 2 x 100%</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K-I-0137</t>
        </is>
      </c>
      <c r="B5575" s="12" t="inlineStr">
        <is>
          <t>K</t>
        </is>
      </c>
      <c r="C5575" s="12" t="inlineStr">
        <is>
          <t>Fuel supply (adjacent market)</t>
        </is>
      </c>
      <c r="D5575" s="12" t="inlineStr">
        <is>
          <t>Discrete device to JB JB-LNG 13: send-out p-DI01: 12 x 1 pr (field cables)</t>
        </is>
      </c>
      <c r="E5575" s="12" t="inlineStr"/>
      <c r="F5575" s="12" t="inlineStr">
        <is>
          <t>LNG 13: send-out pumps 2 x 100%</t>
        </is>
      </c>
      <c r="G5575" s="12" t="inlineStr">
        <is>
          <t>JB-LNG 13: send-out p-DI01</t>
        </is>
      </c>
      <c r="H5575" s="12" t="inlineStr">
        <is>
          <t>LNG 13: send-out pumps 2 x 100%</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63</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K-I-0138</t>
        </is>
      </c>
      <c r="B5576" s="12" t="inlineStr">
        <is>
          <t>K</t>
        </is>
      </c>
      <c r="C5576" s="12" t="inlineStr">
        <is>
          <t>Fuel supply (adjacent market)</t>
        </is>
      </c>
      <c r="D5576" s="12" t="inlineStr">
        <is>
          <t>Home run JB-LNG 13: send-out p-DI01 to the control / marshalling room</t>
        </is>
      </c>
      <c r="E5576" s="12" t="inlineStr"/>
      <c r="F5576" s="12" t="inlineStr">
        <is>
          <t>LNG 17: LNG e-house (13.8 kV / 480 V)</t>
        </is>
      </c>
      <c r="G5576" s="12" t="inlineStr">
        <is>
          <t>JB-LNG 13: send-out p-DI01</t>
        </is>
      </c>
      <c r="H5576" s="12" t="inlineStr">
        <is>
          <t>LNG 13: send-out pumps 2 x 100%</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110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K-I-0139</t>
        </is>
      </c>
      <c r="B5577" s="12" t="inlineStr">
        <is>
          <t>K</t>
        </is>
      </c>
      <c r="C5577" s="12" t="inlineStr">
        <is>
          <t>Fuel supply (adjacent market)</t>
        </is>
      </c>
      <c r="D5577" s="12" t="inlineStr">
        <is>
          <t>Analog instrument to JB JB-LNG 14: vaporizers-AI01: 12 x 1 pr (field cables)</t>
        </is>
      </c>
      <c r="E5577" s="12" t="inlineStr"/>
      <c r="F5577" s="12" t="inlineStr">
        <is>
          <t>LNG 14: vaporizers + glycol heater</t>
        </is>
      </c>
      <c r="G5577" s="12" t="inlineStr">
        <is>
          <t>JB-LNG 14: vaporizers-AI01</t>
        </is>
      </c>
      <c r="H5577" s="12" t="inlineStr">
        <is>
          <t>LNG 14: vaporizers + glycol heater</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122</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K-I-0140</t>
        </is>
      </c>
      <c r="B5578" s="12" t="inlineStr">
        <is>
          <t>K</t>
        </is>
      </c>
      <c r="C5578" s="12" t="inlineStr">
        <is>
          <t>Fuel supply (adjacent market)</t>
        </is>
      </c>
      <c r="D5578" s="12" t="inlineStr">
        <is>
          <t>Home run JB-LNG 14: vaporizers-AI01 to the control / marshalling room</t>
        </is>
      </c>
      <c r="E5578" s="12" t="inlineStr"/>
      <c r="F5578" s="12" t="inlineStr">
        <is>
          <t>LNG 17: LNG e-house (13.8 kV / 480 V)</t>
        </is>
      </c>
      <c r="G5578" s="12" t="inlineStr">
        <is>
          <t>JB-LNG 14: vaporizers-AI01</t>
        </is>
      </c>
      <c r="H5578" s="12" t="inlineStr">
        <is>
          <t>LNG 14: vaporizers + glycol heater</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259</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K-I-0141</t>
        </is>
      </c>
      <c r="B5579" s="12" t="inlineStr">
        <is>
          <t>K</t>
        </is>
      </c>
      <c r="C5579" s="12" t="inlineStr">
        <is>
          <t>Fuel supply (adjacent market)</t>
        </is>
      </c>
      <c r="D5579" s="12" t="inlineStr">
        <is>
          <t>Discrete device to JB JB-LNG 14: vaporizers-DI01: 12 x 1 pr (field cables)</t>
        </is>
      </c>
      <c r="E5579" s="12" t="inlineStr"/>
      <c r="F5579" s="12" t="inlineStr">
        <is>
          <t>LNG 14: vaporizers + glycol heater</t>
        </is>
      </c>
      <c r="G5579" s="12" t="inlineStr">
        <is>
          <t>JB-LNG 14: vaporizers-DI01</t>
        </is>
      </c>
      <c r="H5579" s="12" t="inlineStr">
        <is>
          <t>LNG 14: vaporizers + glycol heater</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122</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K-I-0142</t>
        </is>
      </c>
      <c r="B5580" s="12" t="inlineStr">
        <is>
          <t>K</t>
        </is>
      </c>
      <c r="C5580" s="12" t="inlineStr">
        <is>
          <t>Fuel supply (adjacent market)</t>
        </is>
      </c>
      <c r="D5580" s="12" t="inlineStr">
        <is>
          <t>Home run JB-LNG 14: vaporizers-DI01 to the control / marshalling room</t>
        </is>
      </c>
      <c r="E5580" s="12" t="inlineStr"/>
      <c r="F5580" s="12" t="inlineStr">
        <is>
          <t>LNG 17: LNG e-house (13.8 kV / 480 V)</t>
        </is>
      </c>
      <c r="G5580" s="12" t="inlineStr">
        <is>
          <t>JB-LNG 14: vaporizers-DI01</t>
        </is>
      </c>
      <c r="H5580" s="12" t="inlineStr">
        <is>
          <t>LNG 14: vaporizers + glycol heater</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259</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K-I-0143</t>
        </is>
      </c>
      <c r="B5581" s="12" t="inlineStr">
        <is>
          <t>K</t>
        </is>
      </c>
      <c r="C5581" s="12" t="inlineStr">
        <is>
          <t>Fuel supply (adjacent market)</t>
        </is>
      </c>
      <c r="D5581" s="12" t="inlineStr">
        <is>
          <t>Analog instrument to JB JB-LNG 15: boil-off g-AI01: 12 x 1 pr (field cables)</t>
        </is>
      </c>
      <c r="E5581" s="12" t="inlineStr"/>
      <c r="F5581" s="12" t="inlineStr">
        <is>
          <t>LNG 15: boil-off gas compressor</t>
        </is>
      </c>
      <c r="G5581" s="12" t="inlineStr">
        <is>
          <t>JB-LNG 15: boil-off g-AI01</t>
        </is>
      </c>
      <c r="H5581" s="12" t="inlineStr">
        <is>
          <t>LNG 15: boil-off gas compressor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67</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K-I-0144</t>
        </is>
      </c>
      <c r="B5582" s="12" t="inlineStr">
        <is>
          <t>K</t>
        </is>
      </c>
      <c r="C5582" s="12" t="inlineStr">
        <is>
          <t>Fuel supply (adjacent market)</t>
        </is>
      </c>
      <c r="D5582" s="12" t="inlineStr">
        <is>
          <t>Home run JB-LNG 15: boil-off g-AI01 to the control / marshalling room</t>
        </is>
      </c>
      <c r="E5582" s="12" t="inlineStr"/>
      <c r="F5582" s="12" t="inlineStr">
        <is>
          <t>LNG 17: LNG e-house (13.8 kV / 480 V)</t>
        </is>
      </c>
      <c r="G5582" s="12" t="inlineStr">
        <is>
          <t>JB-LNG 15: boil-off g-AI01</t>
        </is>
      </c>
      <c r="H5582" s="12" t="inlineStr">
        <is>
          <t>LNG 15: boil-off gas compressor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25</v>
      </c>
      <c r="U5582" s="16" t="n">
        <v>54</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K-I-0145</t>
        </is>
      </c>
      <c r="B5583" s="12" t="inlineStr">
        <is>
          <t>K</t>
        </is>
      </c>
      <c r="C5583" s="12" t="inlineStr">
        <is>
          <t>Fuel supply (adjacent market)</t>
        </is>
      </c>
      <c r="D5583" s="12" t="inlineStr">
        <is>
          <t>Discrete device to JB JB-LNG 15: boil-off g-DI01: 12 x 1 pr (field cables)</t>
        </is>
      </c>
      <c r="E5583" s="12" t="inlineStr"/>
      <c r="F5583" s="12" t="inlineStr">
        <is>
          <t>LNG 15: boil-off gas compressor</t>
        </is>
      </c>
      <c r="G5583" s="12" t="inlineStr">
        <is>
          <t>JB-LNG 15: boil-off g-DI01</t>
        </is>
      </c>
      <c r="H5583" s="12" t="inlineStr">
        <is>
          <t>LNG 15: boil-off gas compressor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67</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K-I-0146</t>
        </is>
      </c>
      <c r="B5584" s="12" t="inlineStr">
        <is>
          <t>K</t>
        </is>
      </c>
      <c r="C5584" s="12" t="inlineStr">
        <is>
          <t>Fuel supply (adjacent market)</t>
        </is>
      </c>
      <c r="D5584" s="12" t="inlineStr">
        <is>
          <t>Home run JB-LNG 15: boil-off g-DI01 to the control / marshalling room</t>
        </is>
      </c>
      <c r="E5584" s="12" t="inlineStr"/>
      <c r="F5584" s="12" t="inlineStr">
        <is>
          <t>LNG 17: LNG e-house (13.8 kV / 480 V)</t>
        </is>
      </c>
      <c r="G5584" s="12" t="inlineStr">
        <is>
          <t>JB-LNG 15: boil-off g-DI01</t>
        </is>
      </c>
      <c r="H5584" s="12" t="inlineStr">
        <is>
          <t>LNG 15: boil-off gas compressor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v>
      </c>
      <c r="U5584" s="16" t="n">
        <v>54</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K-I-0147</t>
        </is>
      </c>
      <c r="B5585" s="12" t="inlineStr">
        <is>
          <t>K</t>
        </is>
      </c>
      <c r="C5585" s="12" t="inlineStr">
        <is>
          <t>Fuel supply (adjacent market)</t>
        </is>
      </c>
      <c r="D5585" s="12" t="inlineStr">
        <is>
          <t>Analog instrument to JB JB-LNG 16: send-out m-AI01: 12 x 1 pr (field cables)</t>
        </is>
      </c>
      <c r="E5585" s="12" t="inlineStr"/>
      <c r="F5585" s="12" t="inlineStr">
        <is>
          <t>LNG 16: send-out metering + pressure control</t>
        </is>
      </c>
      <c r="G5585" s="12" t="inlineStr">
        <is>
          <t>JB-LNG 16: send-out m-AI01</t>
        </is>
      </c>
      <c r="H5585" s="12" t="inlineStr">
        <is>
          <t>LNG 16: send-out metering + pressure control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74</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K-I-0148</t>
        </is>
      </c>
      <c r="B5586" s="12" t="inlineStr">
        <is>
          <t>K</t>
        </is>
      </c>
      <c r="C5586" s="12" t="inlineStr">
        <is>
          <t>Fuel supply (adjacent market)</t>
        </is>
      </c>
      <c r="D5586" s="12" t="inlineStr">
        <is>
          <t>Home run JB-LNG 16: send-out m-AI01 to the control / marshalling room</t>
        </is>
      </c>
      <c r="E5586" s="12" t="inlineStr"/>
      <c r="F5586" s="12" t="inlineStr">
        <is>
          <t>LNG 17: LNG e-house (13.8 kV / 480 V)</t>
        </is>
      </c>
      <c r="G5586" s="12" t="inlineStr">
        <is>
          <t>JB-LNG 16: send-out m-AI01</t>
        </is>
      </c>
      <c r="H5586" s="12" t="inlineStr">
        <is>
          <t>LNG 16: send-out metering + pressure control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K-I-0149</t>
        </is>
      </c>
      <c r="B5587" s="12" t="inlineStr">
        <is>
          <t>K</t>
        </is>
      </c>
      <c r="C5587" s="12" t="inlineStr">
        <is>
          <t>Fuel supply (adjacent market)</t>
        </is>
      </c>
      <c r="D5587" s="12" t="inlineStr">
        <is>
          <t>Discrete device to JB JB-LNG 16: send-out m-DI01: 12 x 1 pr (field cables)</t>
        </is>
      </c>
      <c r="E5587" s="12" t="inlineStr"/>
      <c r="F5587" s="12" t="inlineStr">
        <is>
          <t>LNG 16: send-out metering + pressure control</t>
        </is>
      </c>
      <c r="G5587" s="12" t="inlineStr">
        <is>
          <t>JB-LNG 16: send-out m-DI01</t>
        </is>
      </c>
      <c r="H5587" s="12" t="inlineStr">
        <is>
          <t>LNG 16: send-out metering + pressure control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74</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K-I-0150</t>
        </is>
      </c>
      <c r="B5588" s="12" t="inlineStr">
        <is>
          <t>K</t>
        </is>
      </c>
      <c r="C5588" s="12" t="inlineStr">
        <is>
          <t>Fuel supply (adjacent market)</t>
        </is>
      </c>
      <c r="D5588" s="12" t="inlineStr">
        <is>
          <t>Home run JB-LNG 16: send-out m-DI01 to the control / marshalling room</t>
        </is>
      </c>
      <c r="E5588" s="12" t="inlineStr"/>
      <c r="F5588" s="12" t="inlineStr">
        <is>
          <t>LNG 17: LNG e-house (13.8 kV / 480 V)</t>
        </is>
      </c>
      <c r="G5588" s="12" t="inlineStr">
        <is>
          <t>JB-LNG 16: send-out m-DI01</t>
        </is>
      </c>
      <c r="H5588" s="12" t="inlineStr">
        <is>
          <t>LNG 16: send-out metering + pressure control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K-I-0151</t>
        </is>
      </c>
      <c r="B5589" s="12" t="inlineStr">
        <is>
          <t>K</t>
        </is>
      </c>
      <c r="C5589" s="12" t="inlineStr">
        <is>
          <t>Fuel supply (adjacent market)</t>
        </is>
      </c>
      <c r="D5589" s="12" t="inlineStr">
        <is>
          <t>Analog instrument to JB JB-LNG 17: LNG e-hous-AI01: 12 x 1 pr (field cables)</t>
        </is>
      </c>
      <c r="E5589" s="12" t="inlineStr"/>
      <c r="F5589" s="12" t="inlineStr">
        <is>
          <t>LNG 17: LNG e-house (13.8 kV / 480 V)</t>
        </is>
      </c>
      <c r="G5589" s="12" t="inlineStr">
        <is>
          <t>JB-LNG 17: LNG e-hous-AI01</t>
        </is>
      </c>
      <c r="H5589" s="12" t="inlineStr">
        <is>
          <t>LNG 17: LNG e-house (13.8 kV / 480 V)</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58</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K-I-0152</t>
        </is>
      </c>
      <c r="B5590" s="12" t="inlineStr">
        <is>
          <t>K</t>
        </is>
      </c>
      <c r="C5590" s="12" t="inlineStr">
        <is>
          <t>Fuel supply (adjacent market)</t>
        </is>
      </c>
      <c r="D5590" s="12" t="inlineStr">
        <is>
          <t>Home run JB-LNG 17: LNG e-hous-AI01 to the control / marshalling room</t>
        </is>
      </c>
      <c r="E5590" s="12" t="inlineStr"/>
      <c r="F5590" s="12" t="inlineStr">
        <is>
          <t>LNG 17: LNG e-house (13.8 kV / 480 V)</t>
        </is>
      </c>
      <c r="G5590" s="12" t="inlineStr">
        <is>
          <t>JB-LNG 17: LNG e-hous-AI01</t>
        </is>
      </c>
      <c r="H5590" s="12" t="inlineStr">
        <is>
          <t>LNG 17: LNG e-house (13.8 kV / 480 V)</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Tray</t>
        </is>
      </c>
      <c r="T5590" s="16" t="n">
        <v>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K-I-0153</t>
        </is>
      </c>
      <c r="B5591" s="12" t="inlineStr">
        <is>
          <t>K</t>
        </is>
      </c>
      <c r="C5591" s="12" t="inlineStr">
        <is>
          <t>Fuel supply (adjacent market)</t>
        </is>
      </c>
      <c r="D5591" s="12" t="inlineStr">
        <is>
          <t>Discrete device to JB JB-LNG 17: LNG e-hous-DI01: 12 x 1 pr (field cables)</t>
        </is>
      </c>
      <c r="E5591" s="12" t="inlineStr"/>
      <c r="F5591" s="12" t="inlineStr">
        <is>
          <t>LNG 17: LNG e-house (13.8 kV / 480 V)</t>
        </is>
      </c>
      <c r="G5591" s="12" t="inlineStr">
        <is>
          <t>JB-LNG 17: LNG e-hous-DI01</t>
        </is>
      </c>
      <c r="H5591" s="12" t="inlineStr">
        <is>
          <t>LNG 17: LNG e-house (13.8 kV / 480 V)</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58</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K-I-0154</t>
        </is>
      </c>
      <c r="B5592" s="12" t="inlineStr">
        <is>
          <t>K</t>
        </is>
      </c>
      <c r="C5592" s="12" t="inlineStr">
        <is>
          <t>Fuel supply (adjacent market)</t>
        </is>
      </c>
      <c r="D5592" s="12" t="inlineStr">
        <is>
          <t>Home run JB-LNG 17: LNG e-hous-DI01 to the control / marshalling room</t>
        </is>
      </c>
      <c r="E5592" s="12" t="inlineStr"/>
      <c r="F5592" s="12" t="inlineStr">
        <is>
          <t>LNG 17: LNG e-house (13.8 kV / 480 V)</t>
        </is>
      </c>
      <c r="G5592" s="12" t="inlineStr">
        <is>
          <t>JB-LNG 17: LNG e-hous-DI01</t>
        </is>
      </c>
      <c r="H5592" s="12" t="inlineStr">
        <is>
          <t>LNG 17: LNG e-house (13.8 kV / 480 V)</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Tray</t>
        </is>
      </c>
      <c r="T5592" s="16" t="n">
        <v>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Analog instrument to JB JB-LNG 18: vent stack-AI01: 12 x 1 pr (field cables)</t>
        </is>
      </c>
      <c r="E5593" s="12" t="inlineStr"/>
      <c r="F5593" s="12" t="inlineStr">
        <is>
          <t>LNG 18: vent stack</t>
        </is>
      </c>
      <c r="G5593" s="12" t="inlineStr">
        <is>
          <t>JB-LNG 18: vent stack-AI01</t>
        </is>
      </c>
      <c r="H5593" s="12" t="inlineStr">
        <is>
          <t>LNG 18: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55</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K-I-0156</t>
        </is>
      </c>
      <c r="B5594" s="12" t="inlineStr">
        <is>
          <t>K</t>
        </is>
      </c>
      <c r="C5594" s="12" t="inlineStr">
        <is>
          <t>Fuel supply (adjacent market)</t>
        </is>
      </c>
      <c r="D5594" s="12" t="inlineStr">
        <is>
          <t>Home run JB-LNG 18: vent stack-AI01 to the control / marshalling room</t>
        </is>
      </c>
      <c r="E5594" s="12" t="inlineStr"/>
      <c r="F5594" s="12" t="inlineStr">
        <is>
          <t>LNG 17: LNG e-house (13.8 kV / 480 V)</t>
        </is>
      </c>
      <c r="G5594" s="12" t="inlineStr">
        <is>
          <t>JB-LNG 18: vent stack-AI01</t>
        </is>
      </c>
      <c r="H5594" s="12" t="inlineStr">
        <is>
          <t>LNG 18: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25</v>
      </c>
      <c r="U5594" s="16" t="n">
        <v>117</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K-I-0157</t>
        </is>
      </c>
      <c r="B5595" s="12" t="inlineStr">
        <is>
          <t>K</t>
        </is>
      </c>
      <c r="C5595" s="12" t="inlineStr">
        <is>
          <t>Fuel supply (adjacent market)</t>
        </is>
      </c>
      <c r="D5595" s="12" t="inlineStr">
        <is>
          <t>Discrete device to JB JB-LNG 18: vent stack-DI01: 12 x 1 pr (field cables)</t>
        </is>
      </c>
      <c r="E5595" s="12" t="inlineStr"/>
      <c r="F5595" s="12" t="inlineStr">
        <is>
          <t>LNG 18: vent stack</t>
        </is>
      </c>
      <c r="G5595" s="12" t="inlineStr">
        <is>
          <t>JB-LNG 18: vent stack-DI01</t>
        </is>
      </c>
      <c r="H5595" s="12" t="inlineStr">
        <is>
          <t>LNG 18: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55</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K-I-0158</t>
        </is>
      </c>
      <c r="B5596" s="12" t="inlineStr">
        <is>
          <t>K</t>
        </is>
      </c>
      <c r="C5596" s="12" t="inlineStr">
        <is>
          <t>Fuel supply (adjacent market)</t>
        </is>
      </c>
      <c r="D5596" s="12" t="inlineStr">
        <is>
          <t>Home run JB-LNG 18: vent stack-DI01 to the control / marshalling room</t>
        </is>
      </c>
      <c r="E5596" s="12" t="inlineStr"/>
      <c r="F5596" s="12" t="inlineStr">
        <is>
          <t>LNG 17: LNG e-house (13.8 kV / 480 V)</t>
        </is>
      </c>
      <c r="G5596" s="12" t="inlineStr">
        <is>
          <t>JB-LNG 18: vent stack-DI01</t>
        </is>
      </c>
      <c r="H5596" s="12" t="inlineStr">
        <is>
          <t>LNG 18: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v>
      </c>
      <c r="U5596" s="16" t="n">
        <v>117</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LNG impoundment sump pump</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6" t="n">
        <v>334</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Instrumentation</t>
        </is>
      </c>
      <c r="E5598" s="12" t="inlineStr"/>
      <c r="F5598" s="12" t="inlineStr">
        <is>
          <t>LNG 17: LNG e-house (13.8 kV / 480 V)</t>
        </is>
      </c>
      <c r="G5598" s="12" t="inlineStr"/>
      <c r="H5598" s="12" t="inlineStr">
        <is>
          <t>M&amp;R 1: pig receiver, lateral terminus</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6" t="n">
        <v>773</v>
      </c>
      <c r="U5598" s="16" t="n">
        <v>37</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K-I-0161</t>
        </is>
      </c>
      <c r="B5599" s="12" t="inlineStr">
        <is>
          <t>K</t>
        </is>
      </c>
      <c r="C5599" s="12" t="inlineStr">
        <is>
          <t>Fuel supply (adjacent market)</t>
        </is>
      </c>
      <c r="D5599" s="12" t="inlineStr">
        <is>
          <t>Discrete device to JB JB-M&amp;R 2: insulating -DI01: 8 x 1 pr (field cables)</t>
        </is>
      </c>
      <c r="E5599" s="12" t="inlineStr"/>
      <c r="F5599" s="12" t="inlineStr">
        <is>
          <t>M&amp;R 2: insulating joint + ESD valve</t>
        </is>
      </c>
      <c r="G5599" s="12" t="inlineStr">
        <is>
          <t>JB-M&amp;R 2: insulating -DI01</t>
        </is>
      </c>
      <c r="H5599" s="12" t="inlineStr">
        <is>
          <t>M&amp;R 2: insulating joint + ESD valve</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8</v>
      </c>
      <c r="O5599" s="12" t="n">
        <v>1</v>
      </c>
      <c r="P5599" s="12" t="n"/>
      <c r="Q5599" s="12" t="n"/>
      <c r="R5599" s="12" t="n"/>
      <c r="S5599" s="12" t="inlineStr">
        <is>
          <t>Tray / conduit</t>
        </is>
      </c>
      <c r="T5599" s="16" t="n">
        <v>40</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K-I-0162</t>
        </is>
      </c>
      <c r="B5600" s="12" t="inlineStr">
        <is>
          <t>K</t>
        </is>
      </c>
      <c r="C5600" s="12" t="inlineStr">
        <is>
          <t>Fuel supply (adjacent market)</t>
        </is>
      </c>
      <c r="D5600" s="12" t="inlineStr">
        <is>
          <t>Home run JB-M&amp;R 2: insulating -DI01 to the control / marshalling room</t>
        </is>
      </c>
      <c r="E5600" s="12" t="inlineStr"/>
      <c r="F5600" s="12" t="inlineStr">
        <is>
          <t>LNG 17: LNG e-house (13.8 kV / 480 V)</t>
        </is>
      </c>
      <c r="G5600" s="12" t="inlineStr">
        <is>
          <t>JB-M&amp;R 2: insulating -DI01</t>
        </is>
      </c>
      <c r="H5600" s="12" t="inlineStr">
        <is>
          <t>M&amp;R 2: insulating joint + ESD valve</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758</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Analog instrument to JB JB-M&amp;R 3: horizontal -AI01: 8 x 1 pr (field cables)</t>
        </is>
      </c>
      <c r="E5601" s="12" t="inlineStr"/>
      <c r="F5601" s="12" t="inlineStr">
        <is>
          <t>M&amp;R 3: horizontal filter-separator</t>
        </is>
      </c>
      <c r="G5601" s="12" t="inlineStr">
        <is>
          <t>JB-M&amp;R 3: horizontal -AI01</t>
        </is>
      </c>
      <c r="H5601" s="12" t="inlineStr">
        <is>
          <t>M&amp;R 3: horizontal filter-separator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8</v>
      </c>
      <c r="O5601" s="12" t="n">
        <v>1</v>
      </c>
      <c r="P5601" s="12" t="n"/>
      <c r="Q5601" s="12" t="n"/>
      <c r="R5601" s="12" t="n"/>
      <c r="S5601" s="12" t="inlineStr">
        <is>
          <t>Tray / conduit</t>
        </is>
      </c>
      <c r="T5601" s="16" t="n">
        <v>53</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K-I-0164</t>
        </is>
      </c>
      <c r="B5602" s="12" t="inlineStr">
        <is>
          <t>K</t>
        </is>
      </c>
      <c r="C5602" s="12" t="inlineStr">
        <is>
          <t>Fuel supply (adjacent market)</t>
        </is>
      </c>
      <c r="D5602" s="12" t="inlineStr">
        <is>
          <t>Home run JB-M&amp;R 3: horizontal -AI01 to the control / marshalling room</t>
        </is>
      </c>
      <c r="E5602" s="12" t="inlineStr"/>
      <c r="F5602" s="12" t="inlineStr">
        <is>
          <t>LNG 17: LNG e-house (13.8 kV / 480 V)</t>
        </is>
      </c>
      <c r="G5602" s="12" t="inlineStr">
        <is>
          <t>JB-M&amp;R 3: horizontal -AI01</t>
        </is>
      </c>
      <c r="H5602" s="12" t="inlineStr">
        <is>
          <t>M&amp;R 3: horizontal filter-separator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797</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Discrete device to JB JB-M&amp;R 3: horizontal -DI01: 12 x 1 pr (field cables)</t>
        </is>
      </c>
      <c r="E5603" s="12" t="inlineStr"/>
      <c r="F5603" s="12" t="inlineStr">
        <is>
          <t>M&amp;R 3: horizontal filter-separator</t>
        </is>
      </c>
      <c r="G5603" s="12" t="inlineStr">
        <is>
          <t>JB-M&amp;R 3: horizontal -DI01</t>
        </is>
      </c>
      <c r="H5603" s="12" t="inlineStr">
        <is>
          <t>M&amp;R 3: horizontal filter-separator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53</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K-I-0166</t>
        </is>
      </c>
      <c r="B5604" s="12" t="inlineStr">
        <is>
          <t>K</t>
        </is>
      </c>
      <c r="C5604" s="12" t="inlineStr">
        <is>
          <t>Fuel supply (adjacent market)</t>
        </is>
      </c>
      <c r="D5604" s="12" t="inlineStr">
        <is>
          <t>Home run JB-M&amp;R 3: horizontal -DI01 to the control / marshalling room</t>
        </is>
      </c>
      <c r="E5604" s="12" t="inlineStr"/>
      <c r="F5604" s="12" t="inlineStr">
        <is>
          <t>LNG 17: LNG e-house (13.8 kV / 480 V)</t>
        </is>
      </c>
      <c r="G5604" s="12" t="inlineStr">
        <is>
          <t>JB-M&amp;R 3: horizontal -DI01</t>
        </is>
      </c>
      <c r="H5604" s="12" t="inlineStr">
        <is>
          <t>M&amp;R 3: horizontal filter-separator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797</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1 (water bath)</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6" t="n">
        <v>593</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Instrumentation</t>
        </is>
      </c>
      <c r="E5606" s="12" t="inlineStr"/>
      <c r="F5606" s="12" t="inlineStr">
        <is>
          <t>LNG 17: LNG e-house (13.8 kV / 480 V)</t>
        </is>
      </c>
      <c r="G5606" s="12" t="inlineStr"/>
      <c r="H5606" s="12" t="inlineStr">
        <is>
          <t>M&amp;R 4: line heater 1 (water bath)</t>
        </is>
      </c>
      <c r="I5606" s="12" t="inlineStr">
        <is>
          <t>Instrumentation</t>
        </is>
      </c>
      <c r="J5606" s="12" t="inlineStr">
        <is>
          <t>Instrumentation ITC / PLTC, IS, #18 shielded pairs, blue jacket</t>
        </is>
      </c>
      <c r="K5606" s="12" t="inlineStr">
        <is>
          <t>ITC|12 pr|18</t>
        </is>
      </c>
      <c r="L5606" s="12" t="inlineStr">
        <is>
          <t>12 pr</t>
        </is>
      </c>
      <c r="M5606" s="12" t="inlineStr">
        <is>
          <t>18</t>
        </is>
      </c>
      <c r="N5606" s="12" t="n">
        <v>1</v>
      </c>
      <c r="O5606" s="12" t="n">
        <v>1</v>
      </c>
      <c r="P5606" s="12" t="n"/>
      <c r="Q5606" s="12" t="n"/>
      <c r="R5606" s="12" t="n"/>
      <c r="S5606" s="12" t="inlineStr">
        <is>
          <t>Duct bank</t>
        </is>
      </c>
      <c r="T5606" s="16" t="n">
        <v>593</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K-I-0169</t>
        </is>
      </c>
      <c r="B5607" s="12" t="inlineStr">
        <is>
          <t>K</t>
        </is>
      </c>
      <c r="C5607" s="12" t="inlineStr">
        <is>
          <t>Fuel supply (adjacent market)</t>
        </is>
      </c>
      <c r="D5607" s="12" t="inlineStr">
        <is>
          <t>Instrumentation</t>
        </is>
      </c>
      <c r="E5607" s="12" t="inlineStr"/>
      <c r="F5607" s="12" t="inlineStr">
        <is>
          <t>LNG 17: LNG e-house (13.8 kV / 480 V)</t>
        </is>
      </c>
      <c r="G5607" s="12" t="inlineStr"/>
      <c r="H5607" s="12" t="inlineStr">
        <is>
          <t>M&amp;R 4: line heater 2 (water bath)</t>
        </is>
      </c>
      <c r="I5607" s="12" t="inlineStr">
        <is>
          <t>Instrumentation</t>
        </is>
      </c>
      <c r="J5607" s="12" t="inlineStr">
        <is>
          <t>Instrumentation ITC / PLTC, IS, #18 shielded pairs, blue jacket</t>
        </is>
      </c>
      <c r="K5607" s="12" t="inlineStr">
        <is>
          <t>ITC|4 pr|18</t>
        </is>
      </c>
      <c r="L5607" s="12" t="inlineStr">
        <is>
          <t>4 pr</t>
        </is>
      </c>
      <c r="M5607" s="12" t="inlineStr">
        <is>
          <t>18</t>
        </is>
      </c>
      <c r="N5607" s="12" t="n">
        <v>1</v>
      </c>
      <c r="O5607" s="12" t="n">
        <v>1</v>
      </c>
      <c r="P5607" s="12" t="n"/>
      <c r="Q5607" s="12" t="n"/>
      <c r="R5607" s="12" t="n"/>
      <c r="S5607" s="12" t="inlineStr">
        <is>
          <t>Duct bank</t>
        </is>
      </c>
      <c r="T5607" s="16" t="n">
        <v>593</v>
      </c>
      <c r="U5607" s="16" t="n">
        <v>50</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Instrumentation</t>
        </is>
      </c>
      <c r="E5608" s="12" t="inlineStr"/>
      <c r="F5608" s="12" t="inlineStr">
        <is>
          <t>LNG 17: LNG e-house (13.8 kV / 480 V)</t>
        </is>
      </c>
      <c r="G5608" s="12" t="inlineStr"/>
      <c r="H5608" s="12" t="inlineStr">
        <is>
          <t>M&amp;R 4: line heater 2 (water bath)</t>
        </is>
      </c>
      <c r="I5608" s="12" t="inlineStr">
        <is>
          <t>Instrumentation</t>
        </is>
      </c>
      <c r="J5608" s="12" t="inlineStr">
        <is>
          <t>Instrumentation ITC / PLTC, IS, #18 shielded pairs, blue jacket</t>
        </is>
      </c>
      <c r="K5608" s="12" t="inlineStr">
        <is>
          <t>ITC|12 pr|18</t>
        </is>
      </c>
      <c r="L5608" s="12" t="inlineStr">
        <is>
          <t>12 pr</t>
        </is>
      </c>
      <c r="M5608" s="12" t="inlineStr">
        <is>
          <t>18</t>
        </is>
      </c>
      <c r="N5608" s="12" t="n">
        <v>1</v>
      </c>
      <c r="O5608" s="12" t="n">
        <v>1</v>
      </c>
      <c r="P5608" s="12" t="n"/>
      <c r="Q5608" s="12" t="n"/>
      <c r="R5608" s="12" t="n"/>
      <c r="S5608" s="12" t="inlineStr">
        <is>
          <t>Duct bank</t>
        </is>
      </c>
      <c r="T5608" s="16" t="n">
        <v>593</v>
      </c>
      <c r="U5608" s="16" t="n">
        <v>50</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K-I-0171</t>
        </is>
      </c>
      <c r="B5609" s="12" t="inlineStr">
        <is>
          <t>K</t>
        </is>
      </c>
      <c r="C5609" s="12" t="inlineStr">
        <is>
          <t>Fuel supply (adjacent market)</t>
        </is>
      </c>
      <c r="D5609" s="12" t="inlineStr">
        <is>
          <t>Instrumentation</t>
        </is>
      </c>
      <c r="E5609" s="12" t="inlineStr"/>
      <c r="F5609" s="12" t="inlineStr">
        <is>
          <t>LNG 17: LNG e-house (13.8 kV / 480 V)</t>
        </is>
      </c>
      <c r="G5609" s="12" t="inlineStr"/>
      <c r="H5609" s="12" t="inlineStr">
        <is>
          <t>M&amp;R 4: line heater 3 (water bath)</t>
        </is>
      </c>
      <c r="I5609" s="12" t="inlineStr">
        <is>
          <t>Instrumentation</t>
        </is>
      </c>
      <c r="J5609" s="12" t="inlineStr">
        <is>
          <t>Instrumentation ITC / PLTC, IS, #18 shielded pairs, blue jacket</t>
        </is>
      </c>
      <c r="K5609" s="12" t="inlineStr">
        <is>
          <t>ITC|4 pr|18</t>
        </is>
      </c>
      <c r="L5609" s="12" t="inlineStr">
        <is>
          <t>4 pr</t>
        </is>
      </c>
      <c r="M5609" s="12" t="inlineStr">
        <is>
          <t>18</t>
        </is>
      </c>
      <c r="N5609" s="12" t="n">
        <v>1</v>
      </c>
      <c r="O5609" s="12" t="n">
        <v>1</v>
      </c>
      <c r="P5609" s="12" t="n"/>
      <c r="Q5609" s="12" t="n"/>
      <c r="R5609" s="12" t="n"/>
      <c r="S5609" s="12" t="inlineStr">
        <is>
          <t>Duct bank</t>
        </is>
      </c>
      <c r="T5609" s="16" t="n">
        <v>593</v>
      </c>
      <c r="U5609" s="16" t="n">
        <v>68</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Instrumentation</t>
        </is>
      </c>
      <c r="E5610" s="12" t="inlineStr"/>
      <c r="F5610" s="12" t="inlineStr">
        <is>
          <t>LNG 17: LNG e-house (13.8 kV / 480 V)</t>
        </is>
      </c>
      <c r="G5610" s="12" t="inlineStr"/>
      <c r="H5610" s="12" t="inlineStr">
        <is>
          <t>M&amp;R 4: line heater 3 (water bath)</t>
        </is>
      </c>
      <c r="I5610" s="12" t="inlineStr">
        <is>
          <t>Instrumentation</t>
        </is>
      </c>
      <c r="J5610" s="12" t="inlineStr">
        <is>
          <t>Instrumentation ITC / PLTC, IS, #18 shielded pairs, blue jacket</t>
        </is>
      </c>
      <c r="K5610" s="12" t="inlineStr">
        <is>
          <t>ITC|12 pr|18</t>
        </is>
      </c>
      <c r="L5610" s="12" t="inlineStr">
        <is>
          <t>12 pr</t>
        </is>
      </c>
      <c r="M5610" s="12" t="inlineStr">
        <is>
          <t>18</t>
        </is>
      </c>
      <c r="N5610" s="12" t="n">
        <v>1</v>
      </c>
      <c r="O5610" s="12" t="n">
        <v>1</v>
      </c>
      <c r="P5610" s="12" t="n"/>
      <c r="Q5610" s="12" t="n"/>
      <c r="R5610" s="12" t="n"/>
      <c r="S5610" s="12" t="inlineStr">
        <is>
          <t>Duct bank</t>
        </is>
      </c>
      <c r="T5610" s="16" t="n">
        <v>593</v>
      </c>
      <c r="U5610" s="16" t="n">
        <v>68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K-I-0173</t>
        </is>
      </c>
      <c r="B5611" s="12" t="inlineStr">
        <is>
          <t>K</t>
        </is>
      </c>
      <c r="C5611" s="12" t="inlineStr">
        <is>
          <t>Fuel supply (adjacent market)</t>
        </is>
      </c>
      <c r="D5611" s="12" t="inlineStr">
        <is>
          <t>Analog instrument to JB JB-M&amp;R 5: ultrasonic -AI01: 20 x 1 pr (field cables)</t>
        </is>
      </c>
      <c r="E5611" s="12" t="inlineStr"/>
      <c r="F5611" s="12" t="inlineStr">
        <is>
          <t>M&amp;R 5: ultrasonic meters, 2 runs (custody transfer)</t>
        </is>
      </c>
      <c r="G5611" s="12" t="inlineStr">
        <is>
          <t>JB-M&amp;R 5: ultrasonic -AI01</t>
        </is>
      </c>
      <c r="H5611" s="12" t="inlineStr">
        <is>
          <t>M&amp;R 5: ultrasonic meters, 2 runs (custody transfer)</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20</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K-I-0174</t>
        </is>
      </c>
      <c r="B5612" s="12" t="inlineStr">
        <is>
          <t>K</t>
        </is>
      </c>
      <c r="C5612" s="12" t="inlineStr">
        <is>
          <t>Fuel supply (adjacent market)</t>
        </is>
      </c>
      <c r="D5612" s="12" t="inlineStr">
        <is>
          <t>Home run JB-M&amp;R 5: ultrasonic -AI01 to the control / marshalling room</t>
        </is>
      </c>
      <c r="E5612" s="12" t="inlineStr"/>
      <c r="F5612" s="12" t="inlineStr">
        <is>
          <t>LNG 17: LNG e-house (13.8 kV / 480 V)</t>
        </is>
      </c>
      <c r="G5612" s="12" t="inlineStr">
        <is>
          <t>JB-M&amp;R 5: ultrasonic -AI01</t>
        </is>
      </c>
      <c r="H5612" s="12" t="inlineStr">
        <is>
          <t>M&amp;R 5: ultrasonic meters, 2 runs (custody transfer)</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651</v>
      </c>
      <c r="U5612" s="16" t="n">
        <v>57</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K-I-0175</t>
        </is>
      </c>
      <c r="B5613" s="12" t="inlineStr">
        <is>
          <t>K</t>
        </is>
      </c>
      <c r="C5613" s="12" t="inlineStr">
        <is>
          <t>Fuel supply (adjacent market)</t>
        </is>
      </c>
      <c r="D5613" s="12" t="inlineStr">
        <is>
          <t>Discrete device to JB JB-M&amp;R 5: ultrasonic -DI01: 8 x 1 pr (field cables)</t>
        </is>
      </c>
      <c r="E5613" s="12" t="inlineStr"/>
      <c r="F5613" s="12" t="inlineStr">
        <is>
          <t>M&amp;R 5: ultrasonic meters, 2 runs (custody transfer)</t>
        </is>
      </c>
      <c r="G5613" s="12" t="inlineStr">
        <is>
          <t>JB-M&amp;R 5: ultrasonic -DI01</t>
        </is>
      </c>
      <c r="H5613" s="12" t="inlineStr">
        <is>
          <t>M&amp;R 5: ultrasonic meters, 2 runs (custody transfer)</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8</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K-I-0176</t>
        </is>
      </c>
      <c r="B5614" s="12" t="inlineStr">
        <is>
          <t>K</t>
        </is>
      </c>
      <c r="C5614" s="12" t="inlineStr">
        <is>
          <t>Fuel supply (adjacent market)</t>
        </is>
      </c>
      <c r="D5614" s="12" t="inlineStr">
        <is>
          <t>Home run JB-M&amp;R 5: ultrasonic -DI01 to the control / marshalling room</t>
        </is>
      </c>
      <c r="E5614" s="12" t="inlineStr"/>
      <c r="F5614" s="12" t="inlineStr">
        <is>
          <t>LNG 17: LNG e-house (13.8 kV / 480 V)</t>
        </is>
      </c>
      <c r="G5614" s="12" t="inlineStr">
        <is>
          <t>JB-M&amp;R 5: ultrasonic -DI01</t>
        </is>
      </c>
      <c r="H5614" s="12" t="inlineStr">
        <is>
          <t>M&amp;R 5: ultrasonic meters, 2 runs (custody transfer)</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651</v>
      </c>
      <c r="U5614" s="16" t="n">
        <v>57</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K-I-0177</t>
        </is>
      </c>
      <c r="B5615" s="12" t="inlineStr">
        <is>
          <t>K</t>
        </is>
      </c>
      <c r="C5615" s="12" t="inlineStr">
        <is>
          <t>Fuel supply (adjacent market)</t>
        </is>
      </c>
      <c r="D5615" s="12" t="inlineStr">
        <is>
          <t>Analog instrument to JB JB-M&amp;R 6: regulation -AI01: 12 x 1 pr (field cables)</t>
        </is>
      </c>
      <c r="E5615" s="12" t="inlineStr"/>
      <c r="F5615" s="12" t="inlineStr">
        <is>
          <t>M&amp;R 6: regulation / flow control building</t>
        </is>
      </c>
      <c r="G5615" s="12" t="inlineStr">
        <is>
          <t>JB-M&amp;R 6: regulation -AI01</t>
        </is>
      </c>
      <c r="H5615" s="12" t="inlineStr">
        <is>
          <t>M&amp;R 6: regulation / flow control building</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61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K-I-0178</t>
        </is>
      </c>
      <c r="B5616" s="12" t="inlineStr">
        <is>
          <t>K</t>
        </is>
      </c>
      <c r="C5616" s="12" t="inlineStr">
        <is>
          <t>Fuel supply (adjacent market)</t>
        </is>
      </c>
      <c r="D5616" s="12" t="inlineStr">
        <is>
          <t>Home run JB-M&amp;R 6: regulation -AI01 to the control / marshalling room</t>
        </is>
      </c>
      <c r="E5616" s="12" t="inlineStr"/>
      <c r="F5616" s="12" t="inlineStr">
        <is>
          <t>LNG 17: LNG e-house (13.8 kV / 480 V)</t>
        </is>
      </c>
      <c r="G5616" s="12" t="inlineStr">
        <is>
          <t>JB-M&amp;R 6: regulation -AI01</t>
        </is>
      </c>
      <c r="H5616" s="12" t="inlineStr">
        <is>
          <t>M&amp;R 6: regulation / flow control building</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470</v>
      </c>
      <c r="U5616" s="16" t="n">
        <v>70</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K-I-0179</t>
        </is>
      </c>
      <c r="B5617" s="12" t="inlineStr">
        <is>
          <t>K</t>
        </is>
      </c>
      <c r="C5617" s="12" t="inlineStr">
        <is>
          <t>Fuel supply (adjacent market)</t>
        </is>
      </c>
      <c r="D5617" s="12" t="inlineStr">
        <is>
          <t>Discrete device to JB JB-M&amp;R 6: regulation -DI01: 12 x 1 pr (field cables)</t>
        </is>
      </c>
      <c r="E5617" s="12" t="inlineStr"/>
      <c r="F5617" s="12" t="inlineStr">
        <is>
          <t>M&amp;R 6: regulation / flow control building</t>
        </is>
      </c>
      <c r="G5617" s="12" t="inlineStr">
        <is>
          <t>JB-M&amp;R 6: regulation -DI01</t>
        </is>
      </c>
      <c r="H5617" s="12" t="inlineStr">
        <is>
          <t>M&amp;R 6: regulation / flow control building</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K-I-0180</t>
        </is>
      </c>
      <c r="B5618" s="12" t="inlineStr">
        <is>
          <t>K</t>
        </is>
      </c>
      <c r="C5618" s="12" t="inlineStr">
        <is>
          <t>Fuel supply (adjacent market)</t>
        </is>
      </c>
      <c r="D5618" s="12" t="inlineStr">
        <is>
          <t>Home run JB-M&amp;R 6: regulation -DI01 to the control / marshalling room</t>
        </is>
      </c>
      <c r="E5618" s="12" t="inlineStr"/>
      <c r="F5618" s="12" t="inlineStr">
        <is>
          <t>LNG 17: LNG e-house (13.8 kV / 480 V)</t>
        </is>
      </c>
      <c r="G5618" s="12" t="inlineStr">
        <is>
          <t>JB-M&amp;R 6: regulation -DI01</t>
        </is>
      </c>
      <c r="H5618" s="12" t="inlineStr">
        <is>
          <t>M&amp;R 6: regulation / flow control building</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K-I-0181</t>
        </is>
      </c>
      <c r="B5619" s="12" t="inlineStr">
        <is>
          <t>K</t>
        </is>
      </c>
      <c r="C5619" s="12" t="inlineStr">
        <is>
          <t>Fuel supply (adjacent market)</t>
        </is>
      </c>
      <c r="D5619" s="12" t="inlineStr">
        <is>
          <t>Analog instrument to JB JB-M&amp;R 7: gas quality-AI01: 20 x 1 pr (field cables)</t>
        </is>
      </c>
      <c r="E5619" s="12" t="inlineStr"/>
      <c r="F5619" s="12" t="inlineStr">
        <is>
          <t>M&amp;R 7: gas quality + measurement building</t>
        </is>
      </c>
      <c r="G5619" s="12" t="inlineStr">
        <is>
          <t>JB-M&amp;R 7: gas quality-AI01</t>
        </is>
      </c>
      <c r="H5619" s="12" t="inlineStr">
        <is>
          <t>M&amp;R 7: gas quality + measurement building</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20</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K-I-0182</t>
        </is>
      </c>
      <c r="B5620" s="12" t="inlineStr">
        <is>
          <t>K</t>
        </is>
      </c>
      <c r="C5620" s="12" t="inlineStr">
        <is>
          <t>Fuel supply (adjacent market)</t>
        </is>
      </c>
      <c r="D5620" s="12" t="inlineStr">
        <is>
          <t>Home run JB-M&amp;R 7: gas quality-AI01 to the control / marshalling room</t>
        </is>
      </c>
      <c r="E5620" s="12" t="inlineStr"/>
      <c r="F5620" s="12" t="inlineStr">
        <is>
          <t>LNG 17: LNG e-house (13.8 kV / 480 V)</t>
        </is>
      </c>
      <c r="G5620" s="12" t="inlineStr">
        <is>
          <t>JB-M&amp;R 7: gas quality-AI01</t>
        </is>
      </c>
      <c r="H5620" s="12" t="inlineStr">
        <is>
          <t>M&amp;R 7: gas quality + measurement building</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616</v>
      </c>
      <c r="U5620" s="16" t="n">
        <v>52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K-I-0183</t>
        </is>
      </c>
      <c r="B5621" s="12" t="inlineStr">
        <is>
          <t>K</t>
        </is>
      </c>
      <c r="C5621" s="12" t="inlineStr">
        <is>
          <t>Fuel supply (adjacent market)</t>
        </is>
      </c>
      <c r="D5621" s="12" t="inlineStr">
        <is>
          <t>Discrete device to JB JB-M&amp;R 7: gas quality-DI01: 8 x 1 pr (field cables)</t>
        </is>
      </c>
      <c r="E5621" s="12" t="inlineStr"/>
      <c r="F5621" s="12" t="inlineStr">
        <is>
          <t>M&amp;R 7: gas quality + measurement building</t>
        </is>
      </c>
      <c r="G5621" s="12" t="inlineStr">
        <is>
          <t>JB-M&amp;R 7: gas quality-DI01</t>
        </is>
      </c>
      <c r="H5621" s="12" t="inlineStr">
        <is>
          <t>M&amp;R 7: gas quality + measurement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8</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K-I-0184</t>
        </is>
      </c>
      <c r="B5622" s="12" t="inlineStr">
        <is>
          <t>K</t>
        </is>
      </c>
      <c r="C5622" s="12" t="inlineStr">
        <is>
          <t>Fuel supply (adjacent market)</t>
        </is>
      </c>
      <c r="D5622" s="12" t="inlineStr">
        <is>
          <t>Home run JB-M&amp;R 7: gas quality-DI01 to the control / marshalling room</t>
        </is>
      </c>
      <c r="E5622" s="12" t="inlineStr"/>
      <c r="F5622" s="12" t="inlineStr">
        <is>
          <t>LNG 17: LNG e-house (13.8 kV / 480 V)</t>
        </is>
      </c>
      <c r="G5622" s="12" t="inlineStr">
        <is>
          <t>JB-M&amp;R 7: gas quality-DI01</t>
        </is>
      </c>
      <c r="H5622" s="12" t="inlineStr">
        <is>
          <t>M&amp;R 7: gas quality + measurement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616</v>
      </c>
      <c r="U5622" s="16" t="n">
        <v>52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Analog instrument to JB JB-M&amp;R 8: condensate -AI01: 4 x 1 pr (field cables)</t>
        </is>
      </c>
      <c r="E5623" s="12" t="inlineStr"/>
      <c r="F5623" s="12" t="inlineStr">
        <is>
          <t>M&amp;R 8: condensate tank</t>
        </is>
      </c>
      <c r="G5623" s="12" t="inlineStr">
        <is>
          <t>JB-M&amp;R 8: condensate -AI01</t>
        </is>
      </c>
      <c r="H5623" s="12" t="inlineStr">
        <is>
          <t>M&amp;R 8: condensate tank</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K-I-0186</t>
        </is>
      </c>
      <c r="B5624" s="12" t="inlineStr">
        <is>
          <t>K</t>
        </is>
      </c>
      <c r="C5624" s="12" t="inlineStr">
        <is>
          <t>Fuel supply (adjacent market)</t>
        </is>
      </c>
      <c r="D5624" s="12" t="inlineStr">
        <is>
          <t>Home run JB-M&amp;R 8: condensate -AI01 to the control / marshalling room</t>
        </is>
      </c>
      <c r="E5624" s="12" t="inlineStr"/>
      <c r="F5624" s="12" t="inlineStr">
        <is>
          <t>LNG 17: LNG e-house (13.8 kV / 480 V)</t>
        </is>
      </c>
      <c r="G5624" s="12" t="inlineStr">
        <is>
          <t>JB-M&amp;R 8: condensate -AI01</t>
        </is>
      </c>
      <c r="H5624" s="12" t="inlineStr">
        <is>
          <t>M&amp;R 8: condensate tank</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530</v>
      </c>
      <c r="U5624" s="16" t="n">
        <v>87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Discrete device to JB JB-M&amp;R 8: condensate -DI01: 4 x 1 pr (field cables)</t>
        </is>
      </c>
      <c r="E5625" s="12" t="inlineStr"/>
      <c r="F5625" s="12" t="inlineStr">
        <is>
          <t>M&amp;R 8: condensate tank</t>
        </is>
      </c>
      <c r="G5625" s="12" t="inlineStr">
        <is>
          <t>JB-M&amp;R 8: condensate -DI01</t>
        </is>
      </c>
      <c r="H5625" s="12" t="inlineStr">
        <is>
          <t>M&amp;R 8: condensate tank</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K-I-0188</t>
        </is>
      </c>
      <c r="B5626" s="12" t="inlineStr">
        <is>
          <t>K</t>
        </is>
      </c>
      <c r="C5626" s="12" t="inlineStr">
        <is>
          <t>Fuel supply (adjacent market)</t>
        </is>
      </c>
      <c r="D5626" s="12" t="inlineStr">
        <is>
          <t>Home run JB-M&amp;R 8: condensate -DI01 to the control / marshalling room</t>
        </is>
      </c>
      <c r="E5626" s="12" t="inlineStr"/>
      <c r="F5626" s="12" t="inlineStr">
        <is>
          <t>LNG 17: LNG e-house (13.8 kV / 480 V)</t>
        </is>
      </c>
      <c r="G5626" s="12" t="inlineStr">
        <is>
          <t>JB-M&amp;R 8: condensate -DI01</t>
        </is>
      </c>
      <c r="H5626" s="12" t="inlineStr">
        <is>
          <t>M&amp;R 8: condensate tank</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530</v>
      </c>
      <c r="U5626" s="16" t="n">
        <v>87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LNG 17: LNG e-house (13.8 kV / 480 V)</t>
        </is>
      </c>
      <c r="G5627" s="12" t="inlineStr"/>
      <c r="H5627" s="12" t="inlineStr">
        <is>
          <t>M&amp;R CP test station (as drawn)</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6" t="n">
        <v>441</v>
      </c>
      <c r="U5627" s="16" t="n">
        <v>42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K-I-0190</t>
        </is>
      </c>
      <c r="B5628" s="12" t="inlineStr">
        <is>
          <t>K</t>
        </is>
      </c>
      <c r="C5628" s="12" t="inlineStr">
        <is>
          <t>Fuel supply (adjacent market)</t>
        </is>
      </c>
      <c r="D5628" s="12" t="inlineStr">
        <is>
          <t>Instrumentation</t>
        </is>
      </c>
      <c r="E5628" s="12" t="inlineStr"/>
      <c r="F5628" s="12" t="inlineStr">
        <is>
          <t>H2 20: 13.8 kV e-house</t>
        </is>
      </c>
      <c r="G5628" s="12" t="inlineStr"/>
      <c r="H5628" s="12" t="inlineStr">
        <is>
          <t>PEM electrolyzer 1 (HyLYZER-1000)</t>
        </is>
      </c>
      <c r="I5628" s="12" t="inlineStr">
        <is>
          <t>Instrumentation</t>
        </is>
      </c>
      <c r="J5628" s="12" t="inlineStr">
        <is>
          <t>Instrumentation ITC / PLTC, IS, #18 shielded pairs, blue jacket</t>
        </is>
      </c>
      <c r="K5628" s="12" t="inlineStr">
        <is>
          <t>ITC|4 pr|18</t>
        </is>
      </c>
      <c r="L5628" s="12" t="inlineStr">
        <is>
          <t>4 pr</t>
        </is>
      </c>
      <c r="M5628" s="12" t="inlineStr">
        <is>
          <t>18</t>
        </is>
      </c>
      <c r="N5628" s="12" t="n">
        <v>1</v>
      </c>
      <c r="O5628" s="12" t="n">
        <v>1</v>
      </c>
      <c r="P5628" s="12" t="n"/>
      <c r="Q5628" s="12" t="n"/>
      <c r="R5628" s="12" t="n"/>
      <c r="S5628" s="12" t="inlineStr">
        <is>
          <t>Duct bank</t>
        </is>
      </c>
      <c r="T5628" s="16" t="n">
        <v>358</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K-I-0191</t>
        </is>
      </c>
      <c r="B5629" s="12" t="inlineStr">
        <is>
          <t>K</t>
        </is>
      </c>
      <c r="C5629" s="12" t="inlineStr">
        <is>
          <t>Fuel supply (adjacent market)</t>
        </is>
      </c>
      <c r="D5629" s="12" t="inlineStr">
        <is>
          <t>Instrumentation</t>
        </is>
      </c>
      <c r="E5629" s="12" t="inlineStr"/>
      <c r="F5629" s="12" t="inlineStr">
        <is>
          <t>H2 20: 13.8 kV e-house</t>
        </is>
      </c>
      <c r="G5629" s="12" t="inlineStr"/>
      <c r="H5629" s="12" t="inlineStr">
        <is>
          <t>PEM electrolyzer 2 (HyLYZER-1000)</t>
        </is>
      </c>
      <c r="I5629" s="12" t="inlineStr">
        <is>
          <t>Instrumentation</t>
        </is>
      </c>
      <c r="J5629" s="12" t="inlineStr">
        <is>
          <t>Instrumentation ITC / PLTC, IS, #18 shielded pairs, blue jacket</t>
        </is>
      </c>
      <c r="K5629" s="12" t="inlineStr">
        <is>
          <t>ITC|4 pr|18</t>
        </is>
      </c>
      <c r="L5629" s="12" t="inlineStr">
        <is>
          <t>4 pr</t>
        </is>
      </c>
      <c r="M5629" s="12" t="inlineStr">
        <is>
          <t>18</t>
        </is>
      </c>
      <c r="N5629" s="12" t="n">
        <v>1</v>
      </c>
      <c r="O5629" s="12" t="n">
        <v>1</v>
      </c>
      <c r="P5629" s="12" t="n"/>
      <c r="Q5629" s="12" t="n"/>
      <c r="R5629" s="12" t="n"/>
      <c r="S5629" s="12" t="inlineStr">
        <is>
          <t>Duct bank</t>
        </is>
      </c>
      <c r="T5629" s="16" t="n">
        <v>358</v>
      </c>
      <c r="U5629" s="16" t="n">
        <v>48</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K-I-0192</t>
        </is>
      </c>
      <c r="B5630" s="12" t="inlineStr">
        <is>
          <t>K</t>
        </is>
      </c>
      <c r="C5630" s="12" t="inlineStr">
        <is>
          <t>Fuel supply (adjacent market)</t>
        </is>
      </c>
      <c r="D5630" s="12" t="inlineStr">
        <is>
          <t>Instrumentation</t>
        </is>
      </c>
      <c r="E5630" s="12" t="inlineStr"/>
      <c r="F5630" s="12" t="inlineStr">
        <is>
          <t>H2 20: 13.8 kV e-house</t>
        </is>
      </c>
      <c r="G5630" s="12" t="inlineStr"/>
      <c r="H5630" s="12" t="inlineStr">
        <is>
          <t>PEM electrolyzer 3 (HyLYZER-1000)</t>
        </is>
      </c>
      <c r="I5630" s="12" t="inlineStr">
        <is>
          <t>Instrumentation</t>
        </is>
      </c>
      <c r="J5630" s="12" t="inlineStr">
        <is>
          <t>Instrumentation ITC / PLTC, IS, #18 shielded pairs, blue jacket</t>
        </is>
      </c>
      <c r="K5630" s="12" t="inlineStr">
        <is>
          <t>ITC|4 pr|18</t>
        </is>
      </c>
      <c r="L5630" s="12" t="inlineStr">
        <is>
          <t>4 pr</t>
        </is>
      </c>
      <c r="M5630" s="12" t="inlineStr">
        <is>
          <t>18</t>
        </is>
      </c>
      <c r="N5630" s="12" t="n">
        <v>1</v>
      </c>
      <c r="O5630" s="12" t="n">
        <v>1</v>
      </c>
      <c r="P5630" s="12" t="n"/>
      <c r="Q5630" s="12" t="n"/>
      <c r="R5630" s="12" t="n"/>
      <c r="S5630" s="12" t="inlineStr">
        <is>
          <t>Duct bank</t>
        </is>
      </c>
      <c r="T5630" s="16" t="n">
        <v>348</v>
      </c>
      <c r="U5630" s="16" t="n">
        <v>49</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K-I-0193</t>
        </is>
      </c>
      <c r="B5631" s="12" t="inlineStr">
        <is>
          <t>K</t>
        </is>
      </c>
      <c r="C5631" s="12" t="inlineStr">
        <is>
          <t>Fuel supply (adjacent market)</t>
        </is>
      </c>
      <c r="D5631" s="12" t="inlineStr">
        <is>
          <t>Instrumentation</t>
        </is>
      </c>
      <c r="E5631" s="12" t="inlineStr"/>
      <c r="F5631" s="12" t="inlineStr">
        <is>
          <t>H2 20: 13.8 kV e-house</t>
        </is>
      </c>
      <c r="G5631" s="12" t="inlineStr"/>
      <c r="H5631" s="12" t="inlineStr">
        <is>
          <t>PEM electrolyzer 4 (HyLYZER-1000)</t>
        </is>
      </c>
      <c r="I5631" s="12" t="inlineStr">
        <is>
          <t>Instrumentation</t>
        </is>
      </c>
      <c r="J5631" s="12" t="inlineStr">
        <is>
          <t>Instrumentation ITC / PLTC, IS, #18 shielded pairs, blue jacket</t>
        </is>
      </c>
      <c r="K5631" s="12" t="inlineStr">
        <is>
          <t>ITC|4 pr|18</t>
        </is>
      </c>
      <c r="L5631" s="12" t="inlineStr">
        <is>
          <t>4 pr</t>
        </is>
      </c>
      <c r="M5631" s="12" t="inlineStr">
        <is>
          <t>18</t>
        </is>
      </c>
      <c r="N5631" s="12" t="n">
        <v>1</v>
      </c>
      <c r="O5631" s="12" t="n">
        <v>1</v>
      </c>
      <c r="P5631" s="12" t="n"/>
      <c r="Q5631" s="12" t="n"/>
      <c r="R5631" s="12" t="n"/>
      <c r="S5631" s="12" t="inlineStr">
        <is>
          <t>Duct bank</t>
        </is>
      </c>
      <c r="T5631" s="16" t="n">
        <v>328</v>
      </c>
      <c r="U5631" s="16" t="n">
        <v>49</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K-I-0194</t>
        </is>
      </c>
      <c r="B5632" s="12" t="inlineStr">
        <is>
          <t>K</t>
        </is>
      </c>
      <c r="C5632" s="12" t="inlineStr">
        <is>
          <t>Fuel supply (adjacent market)</t>
        </is>
      </c>
      <c r="D5632" s="12" t="inlineStr">
        <is>
          <t>Instrumentation</t>
        </is>
      </c>
      <c r="E5632" s="12" t="inlineStr"/>
      <c r="F5632" s="12" t="inlineStr">
        <is>
          <t>H2 20: 13.8 kV e-house</t>
        </is>
      </c>
      <c r="G5632" s="12" t="inlineStr"/>
      <c r="H5632" s="12" t="inlineStr">
        <is>
          <t>PEM electrolyzer 5 (HyLYZER-1000)</t>
        </is>
      </c>
      <c r="I5632" s="12" t="inlineStr">
        <is>
          <t>Instrumentation</t>
        </is>
      </c>
      <c r="J5632" s="12" t="inlineStr">
        <is>
          <t>Instrumentation ITC / PLTC, IS, #18 shielded pairs, blue jacket</t>
        </is>
      </c>
      <c r="K5632" s="12" t="inlineStr">
        <is>
          <t>ITC|4 pr|18</t>
        </is>
      </c>
      <c r="L5632" s="12" t="inlineStr">
        <is>
          <t>4 pr</t>
        </is>
      </c>
      <c r="M5632" s="12" t="inlineStr">
        <is>
          <t>18</t>
        </is>
      </c>
      <c r="N5632" s="12" t="n">
        <v>1</v>
      </c>
      <c r="O5632" s="12" t="n">
        <v>1</v>
      </c>
      <c r="P5632" s="12" t="n"/>
      <c r="Q5632" s="12" t="n"/>
      <c r="R5632" s="12" t="n"/>
      <c r="S5632" s="12" t="inlineStr">
        <is>
          <t>Duct bank</t>
        </is>
      </c>
      <c r="T5632" s="16" t="n">
        <v>328</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K-P-0001</t>
        </is>
      </c>
      <c r="B5633" s="12" t="inlineStr">
        <is>
          <t>K</t>
        </is>
      </c>
      <c r="C5633" s="12" t="inlineStr">
        <is>
          <t>Fuel supply (adjacent market)</t>
        </is>
      </c>
      <c r="D5633" s="12" t="inlineStr">
        <is>
          <t>Motor 1 of 1, 15 kW</t>
        </is>
      </c>
      <c r="E5633" s="12" t="inlineStr"/>
      <c r="F5633" s="12" t="inlineStr">
        <is>
          <t>H2 20: 13.8 kV e-house</t>
        </is>
      </c>
      <c r="G5633" s="12" t="inlineStr">
        <is>
          <t>T-H2</t>
        </is>
      </c>
      <c r="H5633" s="12" t="inlineStr">
        <is>
          <t>H2 19: T-H2 230/13.8 kV (about 40 MVA)</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15</v>
      </c>
      <c r="R5633" s="12" t="n">
        <v>21.2</v>
      </c>
      <c r="S5633" s="12" t="inlineStr">
        <is>
          <t>Duct bank</t>
        </is>
      </c>
      <c r="T5633" s="16" t="n">
        <v>35</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is>
          <t>VD 0.7 %</t>
        </is>
      </c>
      <c r="AA5633" s="12">
        <f>N5633*O5633</f>
        <v/>
      </c>
    </row>
    <row r="5634">
      <c r="A5634" s="12" t="inlineStr">
        <is>
          <t>K-P-0002</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20: 13.8 kV e-house</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Tray</t>
        </is>
      </c>
      <c r="T5634" s="16" t="n">
        <v>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is>
          <t>VD 0.3 %</t>
        </is>
      </c>
      <c r="AA5634" s="12">
        <f>N5634*O5634</f>
        <v/>
      </c>
    </row>
    <row r="5635">
      <c r="A5635" s="12" t="inlineStr">
        <is>
          <t>K-P-0003</t>
        </is>
      </c>
      <c r="B5635" s="12" t="inlineStr">
        <is>
          <t>K</t>
        </is>
      </c>
      <c r="C5635" s="12" t="inlineStr">
        <is>
          <t>Fuel supply (adjacent market)</t>
        </is>
      </c>
      <c r="D5635" s="12" t="inlineStr">
        <is>
          <t>Motor 1 of 1, 15 kW</t>
        </is>
      </c>
      <c r="E5635" s="12" t="inlineStr"/>
      <c r="F5635" s="12" t="inlineStr">
        <is>
          <t>H2 20: 13.8 kV e-house</t>
        </is>
      </c>
      <c r="G5635" s="12" t="inlineStr"/>
      <c r="H5635" s="12" t="inlineStr">
        <is>
          <t>H2 21: rectifier transformer 1 (7 MVA)</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6" t="n">
        <v>356</v>
      </c>
      <c r="U5635" s="16" t="n">
        <v>48</v>
      </c>
      <c r="V5635" s="16">
        <f>ROUNDUP((T5635+U5635+2*'Read Me'!$B$13)*(1+'Read Me'!$B$12),-1)</f>
        <v/>
      </c>
      <c r="W5635" s="16">
        <f>V5635*N5635*O5635</f>
        <v/>
      </c>
      <c r="X5635" s="12">
        <f>IF(LEFT(I5635,2)="MV",2*N5635*IF(L5635="1/C",O5635,1),0)</f>
        <v/>
      </c>
      <c r="Y5635" s="12">
        <f>IF(OR(LEFT(K5635,4)="LVAX",LEFT(K5635,6)="MV15AX",LEFT(K5635,4)="CTAX",LEFT(K5635,2)="W|"),2*N5635*O5635,0)</f>
        <v/>
      </c>
      <c r="Z5635" s="12" t="inlineStr">
        <is>
          <t>VD 2.6 %</t>
        </is>
      </c>
      <c r="AA5635" s="12">
        <f>N5635*O5635</f>
        <v/>
      </c>
    </row>
    <row r="5636">
      <c r="A5636" s="12" t="inlineStr">
        <is>
          <t>K-P-0004</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21: rectifier transformer 2 (7 MVA)</t>
        </is>
      </c>
      <c r="I5636" s="12" t="inlineStr">
        <is>
          <t>LV 600 V</t>
        </is>
      </c>
      <c r="J5636" s="12" t="inlineStr">
        <is>
          <t>ARMOR-X MC-HL 600 V 3/C Cu XHHW-2 + ground, CWA, black PVC (Class I Div 2)</t>
        </is>
      </c>
      <c r="K5636" s="12" t="inlineStr">
        <is>
          <t>LVAX|3/C+G|8</t>
        </is>
      </c>
      <c r="L5636" s="12" t="inlineStr">
        <is>
          <t>3/C+G</t>
        </is>
      </c>
      <c r="M5636" s="12" t="inlineStr">
        <is>
          <t>8</t>
        </is>
      </c>
      <c r="N5636" s="12" t="n">
        <v>1</v>
      </c>
      <c r="O5636" s="12" t="n">
        <v>1</v>
      </c>
      <c r="P5636" s="12" t="n">
        <v>480</v>
      </c>
      <c r="Q5636" s="12" t="n">
        <v>15</v>
      </c>
      <c r="R5636" s="12" t="n">
        <v>21.2</v>
      </c>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is>
          <t>VD 2.5 %</t>
        </is>
      </c>
      <c r="AA5636" s="12">
        <f>N5636*O5636</f>
        <v/>
      </c>
    </row>
    <row r="5637">
      <c r="A5637" s="12" t="inlineStr">
        <is>
          <t>K-P-0005</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21: rectifier transformer 3 (7 MVA)</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15</v>
      </c>
      <c r="R5637" s="12" t="n">
        <v>21.2</v>
      </c>
      <c r="S5637" s="12" t="inlineStr">
        <is>
          <t>Duct bank</t>
        </is>
      </c>
      <c r="T5637" s="16" t="n">
        <v>334</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is>
          <t>VD 2.4 %</t>
        </is>
      </c>
      <c r="AA5637" s="12">
        <f>N5637*O5637</f>
        <v/>
      </c>
    </row>
    <row r="5638">
      <c r="A5638" s="12" t="inlineStr">
        <is>
          <t>K-P-0006</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21: rectifier transformer 4 (7 MVA)</t>
        </is>
      </c>
      <c r="I5638" s="12" t="inlineStr">
        <is>
          <t>LV 600 V</t>
        </is>
      </c>
      <c r="J5638" s="12" t="inlineStr">
        <is>
          <t>ARMOR-X MC-HL 600 V 3/C Cu XHHW-2 + ground, CWA, black PVC (Class I Div 2)</t>
        </is>
      </c>
      <c r="K5638" s="12" t="inlineStr">
        <is>
          <t>LVAX|3/C+G|8</t>
        </is>
      </c>
      <c r="L5638" s="12" t="inlineStr">
        <is>
          <t>3/C+G</t>
        </is>
      </c>
      <c r="M5638" s="12" t="inlineStr">
        <is>
          <t>8</t>
        </is>
      </c>
      <c r="N5638" s="12" t="n">
        <v>1</v>
      </c>
      <c r="O5638" s="12" t="n">
        <v>1</v>
      </c>
      <c r="P5638" s="12" t="n">
        <v>480</v>
      </c>
      <c r="Q5638" s="12" t="n">
        <v>15</v>
      </c>
      <c r="R5638" s="12" t="n">
        <v>21.2</v>
      </c>
      <c r="S5638" s="12" t="inlineStr">
        <is>
          <t>Duct bank</t>
        </is>
      </c>
      <c r="T5638" s="16" t="n">
        <v>312</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2.2 %</t>
        </is>
      </c>
      <c r="AA5638" s="12">
        <f>N5638*O5638</f>
        <v/>
      </c>
    </row>
    <row r="5639">
      <c r="A5639" s="12" t="inlineStr">
        <is>
          <t>K-P-0007</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21: rectifier transformer 5 (7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Duct bank</t>
        </is>
      </c>
      <c r="T5639" s="16" t="n">
        <v>254</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2.9 %</t>
        </is>
      </c>
      <c r="AA5639" s="12">
        <f>N5639*O5639</f>
        <v/>
      </c>
    </row>
    <row r="5640">
      <c r="A5640" s="12" t="inlineStr">
        <is>
          <t>K-P-0008</t>
        </is>
      </c>
      <c r="B5640" s="12" t="inlineStr">
        <is>
          <t>K</t>
        </is>
      </c>
      <c r="C5640" s="12" t="inlineStr">
        <is>
          <t>Fuel supply (adjacent market)</t>
        </is>
      </c>
      <c r="D5640" s="12" t="inlineStr">
        <is>
          <t>Motor 1 of 1, 15 kW</t>
        </is>
      </c>
      <c r="E5640" s="12" t="inlineStr"/>
      <c r="F5640" s="12" t="inlineStr">
        <is>
          <t>H2 20: 13.8 kV e-house</t>
        </is>
      </c>
      <c r="G5640" s="12" t="inlineStr">
        <is>
          <t>H2-EL</t>
        </is>
      </c>
      <c r="H5640" s="12" t="inlineStr">
        <is>
          <t>H2 22: electrolyzer building (5 x HyLYZER-1000 + 5 rectifiers)</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346</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2.4 %</t>
        </is>
      </c>
      <c r="AA5640" s="12">
        <f>N5640*O5640</f>
        <v/>
      </c>
    </row>
    <row r="5641">
      <c r="A5641" s="12" t="inlineStr">
        <is>
          <t>K-P-0009</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23: dry coolers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6" t="n">
        <v>100</v>
      </c>
      <c r="U5641" s="16" t="n">
        <v>32</v>
      </c>
      <c r="V5641" s="16">
        <f>ROUNDUP((T5641+U5641+2*'Read Me'!$B$13)*(1+'Read Me'!$B$12),-1)</f>
        <v/>
      </c>
      <c r="W5641" s="16">
        <f>V5641*N5641*O5641</f>
        <v/>
      </c>
      <c r="X5641" s="12">
        <f>IF(LEFT(I5641,2)="MV",2*N5641*IF(L5641="1/C",O5641,1),0)</f>
        <v/>
      </c>
      <c r="Y5641" s="12">
        <f>IF(OR(LEFT(K5641,4)="LVAX",LEFT(K5641,6)="MV15AX",LEFT(K5641,4)="CTAX",LEFT(K5641,2)="W|"),2*N5641*O5641,0)</f>
        <v/>
      </c>
      <c r="Z5641" s="12" t="inlineStr">
        <is>
          <t>VD 1.3 %</t>
        </is>
      </c>
      <c r="AA5641" s="12">
        <f>N5641*O5641</f>
        <v/>
      </c>
    </row>
    <row r="5642">
      <c r="A5642" s="12" t="inlineStr">
        <is>
          <t>K-P-0010</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24: water purification (RO / EDI)</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1.8 %</t>
        </is>
      </c>
      <c r="AA5642" s="12">
        <f>N5642*O5642</f>
        <v/>
      </c>
    </row>
    <row r="5643">
      <c r="A5643" s="12" t="inlineStr">
        <is>
          <t>K-P-0011</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25: H2 dryer / purification</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Duct bank</t>
        </is>
      </c>
      <c r="T5643" s="16" t="n">
        <v>0</v>
      </c>
      <c r="U5643" s="16" t="n">
        <v>49</v>
      </c>
      <c r="V5643" s="16">
        <f>ROUNDUP((T5643+U5643+2*'Read Me'!$B$13)*(1+'Read Me'!$B$12),-1)</f>
        <v/>
      </c>
      <c r="W5643" s="16">
        <f>V5643*N5643*O5643</f>
        <v/>
      </c>
      <c r="X5643" s="12">
        <f>IF(LEFT(I5643,2)="MV",2*N5643*IF(L5643="1/C",O5643,1),0)</f>
        <v/>
      </c>
      <c r="Y5643" s="12">
        <f>IF(OR(LEFT(K5643,4)="LVAX",LEFT(K5643,6)="MV15AX",LEFT(K5643,4)="CTAX",LEFT(K5643,2)="W|"),2*N5643*O5643,0)</f>
        <v/>
      </c>
      <c r="Z5643" s="12" t="inlineStr">
        <is>
          <t>VD 0.5 %</t>
        </is>
      </c>
      <c r="AA5643" s="12">
        <f>N5643*O5643</f>
        <v/>
      </c>
    </row>
    <row r="5644">
      <c r="A5644" s="12" t="inlineStr">
        <is>
          <t>K-P-0012</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26: H2 compressor 1 (40 ft ISO)</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Duct bank</t>
        </is>
      </c>
      <c r="T5644" s="16" t="n">
        <v>50</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0.8 %</t>
        </is>
      </c>
      <c r="AA5644" s="12">
        <f>N5644*O5644</f>
        <v/>
      </c>
    </row>
    <row r="5645">
      <c r="A5645" s="12" t="inlineStr">
        <is>
          <t>K-P-0013</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26: H2 compressor 2 (40 ft ISO)</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Duct bank</t>
        </is>
      </c>
      <c r="T5645" s="16" t="n">
        <v>50</v>
      </c>
      <c r="U5645" s="16" t="n">
        <v>47</v>
      </c>
      <c r="V5645" s="16">
        <f>ROUNDUP((T5645+U5645+2*'Read Me'!$B$13)*(1+'Read Me'!$B$12),-1)</f>
        <v/>
      </c>
      <c r="W5645" s="16">
        <f>V5645*N5645*O5645</f>
        <v/>
      </c>
      <c r="X5645" s="12">
        <f>IF(LEFT(I5645,2)="MV",2*N5645*IF(L5645="1/C",O5645,1),0)</f>
        <v/>
      </c>
      <c r="Y5645" s="12">
        <f>IF(OR(LEFT(K5645,4)="LVAX",LEFT(K5645,6)="MV15AX",LEFT(K5645,4)="CTAX",LEFT(K5645,2)="W|"),2*N5645*O5645,0)</f>
        <v/>
      </c>
      <c r="Z5645" s="12" t="inlineStr">
        <is>
          <t>VD 1.0 %</t>
        </is>
      </c>
      <c r="AA5645" s="12">
        <f>N5645*O5645</f>
        <v/>
      </c>
    </row>
    <row r="5646">
      <c r="A5646" s="12" t="inlineStr">
        <is>
          <t>K-P-0014</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27: storage tube bank (~40 ft tubes)</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Duct bank</t>
        </is>
      </c>
      <c r="T5646" s="16" t="n">
        <v>50</v>
      </c>
      <c r="U5646" s="16" t="n">
        <v>97</v>
      </c>
      <c r="V5646" s="16">
        <f>ROUNDUP((T5646+U5646+2*'Read Me'!$B$13)*(1+'Read Me'!$B$12),-1)</f>
        <v/>
      </c>
      <c r="W5646" s="16">
        <f>V5646*N5646*O5646</f>
        <v/>
      </c>
      <c r="X5646" s="12">
        <f>IF(LEFT(I5646,2)="MV",2*N5646*IF(L5646="1/C",O5646,1),0)</f>
        <v/>
      </c>
      <c r="Y5646" s="12">
        <f>IF(OR(LEFT(K5646,4)="LVAX",LEFT(K5646,6)="MV15AX",LEFT(K5646,4)="CTAX",LEFT(K5646,2)="W|"),2*N5646*O5646,0)</f>
        <v/>
      </c>
      <c r="Z5646" s="12" t="inlineStr">
        <is>
          <t>VD 1.5 %</t>
        </is>
      </c>
      <c r="AA5646" s="12">
        <f>N5646*O5646</f>
        <v/>
      </c>
    </row>
    <row r="5647">
      <c r="A5647" s="12" t="inlineStr">
        <is>
          <t>K-P-0015</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27: storage tube bank (~40 ft tubes)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Duct bank</t>
        </is>
      </c>
      <c r="T5647" s="16" t="n">
        <v>50</v>
      </c>
      <c r="U5647" s="16" t="n">
        <v>117</v>
      </c>
      <c r="V5647" s="16">
        <f>ROUNDUP((T5647+U5647+2*'Read Me'!$B$13)*(1+'Read Me'!$B$12),-1)</f>
        <v/>
      </c>
      <c r="W5647" s="16">
        <f>V5647*N5647*O5647</f>
        <v/>
      </c>
      <c r="X5647" s="12">
        <f>IF(LEFT(I5647,2)="MV",2*N5647*IF(L5647="1/C",O5647,1),0)</f>
        <v/>
      </c>
      <c r="Y5647" s="12">
        <f>IF(OR(LEFT(K5647,4)="LVAX",LEFT(K5647,6)="MV15AX",LEFT(K5647,4)="CTAX",LEFT(K5647,2)="W|"),2*N5647*O5647,0)</f>
        <v/>
      </c>
      <c r="Z5647" s="12" t="inlineStr">
        <is>
          <t>VD 1.7 %</t>
        </is>
      </c>
      <c r="AA5647" s="12">
        <f>N5647*O5647</f>
        <v/>
      </c>
    </row>
    <row r="5648">
      <c r="A5648" s="12" t="inlineStr">
        <is>
          <t>K-P-0016</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27: storage tube bank (~40 ft tubes)</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Duct bank</t>
        </is>
      </c>
      <c r="T5648" s="16" t="n">
        <v>50</v>
      </c>
      <c r="U5648" s="16" t="n">
        <v>97</v>
      </c>
      <c r="V5648" s="16">
        <f>ROUNDUP((T5648+U5648+2*'Read Me'!$B$13)*(1+'Read Me'!$B$12),-1)</f>
        <v/>
      </c>
      <c r="W5648" s="16">
        <f>V5648*N5648*O5648</f>
        <v/>
      </c>
      <c r="X5648" s="12">
        <f>IF(LEFT(I5648,2)="MV",2*N5648*IF(L5648="1/C",O5648,1),0)</f>
        <v/>
      </c>
      <c r="Y5648" s="12">
        <f>IF(OR(LEFT(K5648,4)="LVAX",LEFT(K5648,6)="MV15AX",LEFT(K5648,4)="CTAX",LEFT(K5648,2)="W|"),2*N5648*O5648,0)</f>
        <v/>
      </c>
      <c r="Z5648" s="12" t="inlineStr">
        <is>
          <t>VD 1.5 %</t>
        </is>
      </c>
      <c r="AA5648" s="12">
        <f>N5648*O5648</f>
        <v/>
      </c>
    </row>
    <row r="5649">
      <c r="A5649" s="12" t="inlineStr">
        <is>
          <t>K-P-0017</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27: storage tube bank (~40 ft tubes)</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Duct bank</t>
        </is>
      </c>
      <c r="T5649" s="16" t="n">
        <v>50</v>
      </c>
      <c r="U5649" s="16" t="n">
        <v>117</v>
      </c>
      <c r="V5649" s="16">
        <f>ROUNDUP((T5649+U5649+2*'Read Me'!$B$13)*(1+'Read Me'!$B$12),-1)</f>
        <v/>
      </c>
      <c r="W5649" s="16">
        <f>V5649*N5649*O5649</f>
        <v/>
      </c>
      <c r="X5649" s="12">
        <f>IF(LEFT(I5649,2)="MV",2*N5649*IF(L5649="1/C",O5649,1),0)</f>
        <v/>
      </c>
      <c r="Y5649" s="12">
        <f>IF(OR(LEFT(K5649,4)="LVAX",LEFT(K5649,6)="MV15AX",LEFT(K5649,4)="CTAX",LEFT(K5649,2)="W|"),2*N5649*O5649,0)</f>
        <v/>
      </c>
      <c r="Z5649" s="12" t="inlineStr">
        <is>
          <t>VD 1.7 %</t>
        </is>
      </c>
      <c r="AA5649" s="12">
        <f>N5649*O5649</f>
        <v/>
      </c>
    </row>
    <row r="5650">
      <c r="A5650" s="12" t="inlineStr">
        <is>
          <t>K-P-0018</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28: N2 purge supply</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6" t="n">
        <v>53</v>
      </c>
      <c r="U5650" s="16" t="n">
        <v>36</v>
      </c>
      <c r="V5650" s="16">
        <f>ROUNDUP((T5650+U5650+2*'Read Me'!$B$13)*(1+'Read Me'!$B$12),-1)</f>
        <v/>
      </c>
      <c r="W5650" s="16">
        <f>V5650*N5650*O5650</f>
        <v/>
      </c>
      <c r="X5650" s="12">
        <f>IF(LEFT(I5650,2)="MV",2*N5650*IF(L5650="1/C",O5650,1),0)</f>
        <v/>
      </c>
      <c r="Y5650" s="12">
        <f>IF(OR(LEFT(K5650,4)="LVAX",LEFT(K5650,6)="MV15AX",LEFT(K5650,4)="CTAX",LEFT(K5650,2)="W|"),2*N5650*O5650,0)</f>
        <v/>
      </c>
      <c r="Z5650" s="12" t="inlineStr">
        <is>
          <t>VD 0.9 %</t>
        </is>
      </c>
      <c r="AA5650" s="12">
        <f>N5650*O5650</f>
        <v/>
      </c>
    </row>
    <row r="5651">
      <c r="A5651" s="12" t="inlineStr">
        <is>
          <t>K-P-0019</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29: vent stack</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Duct bank</t>
        </is>
      </c>
      <c r="T5651" s="16" t="n">
        <v>55</v>
      </c>
      <c r="U5651" s="16" t="n">
        <v>205</v>
      </c>
      <c r="V5651" s="16">
        <f>ROUNDUP((T5651+U5651+2*'Read Me'!$B$13)*(1+'Read Me'!$B$12),-1)</f>
        <v/>
      </c>
      <c r="W5651" s="16">
        <f>V5651*N5651*O5651</f>
        <v/>
      </c>
      <c r="X5651" s="12">
        <f>IF(LEFT(I5651,2)="MV",2*N5651*IF(L5651="1/C",O5651,1),0)</f>
        <v/>
      </c>
      <c r="Y5651" s="12">
        <f>IF(OR(LEFT(K5651,4)="LVAX",LEFT(K5651,6)="MV15AX",LEFT(K5651,4)="CTAX",LEFT(K5651,2)="W|"),2*N5651*O5651,0)</f>
        <v/>
      </c>
      <c r="Z5651" s="12" t="inlineStr">
        <is>
          <t>VD 2.7 %</t>
        </is>
      </c>
      <c r="AA5651" s="12">
        <f>N5651*O5651</f>
        <v/>
      </c>
    </row>
    <row r="5652">
      <c r="A5652" s="12" t="inlineStr">
        <is>
          <t>K-P-0020</t>
        </is>
      </c>
      <c r="B5652" s="12" t="inlineStr">
        <is>
          <t>K</t>
        </is>
      </c>
      <c r="C5652" s="12" t="inlineStr">
        <is>
          <t>Fuel supply (adjacent market)</t>
        </is>
      </c>
      <c r="D5652" s="12" t="inlineStr">
        <is>
          <t>Motor 1 of 1, 15 kW</t>
        </is>
      </c>
      <c r="E5652" s="12" t="inlineStr"/>
      <c r="F5652" s="12" t="inlineStr">
        <is>
          <t>LNG 17: LNG e-house (13.8 kV / 480 V)</t>
        </is>
      </c>
      <c r="G5652" s="12" t="inlineStr"/>
      <c r="H5652" s="12" t="inlineStr">
        <is>
          <t>H2 30: H2 / gas blending station (plant gas yard)</t>
        </is>
      </c>
      <c r="I5652" s="12" t="inlineStr">
        <is>
          <t>LV 600 V</t>
        </is>
      </c>
      <c r="J5652" s="12" t="inlineStr">
        <is>
          <t>ARMOR-X MC-HL 600 V 3/C Cu XHHW-2 + ground, CWA, black PVC (Class I Div 2)</t>
        </is>
      </c>
      <c r="K5652" s="12" t="inlineStr">
        <is>
          <t>LVAX|3/C+G|4</t>
        </is>
      </c>
      <c r="L5652" s="12" t="inlineStr">
        <is>
          <t>3/C+G</t>
        </is>
      </c>
      <c r="M5652" s="12" t="inlineStr">
        <is>
          <t>4</t>
        </is>
      </c>
      <c r="N5652" s="12" t="n">
        <v>1</v>
      </c>
      <c r="O5652" s="12" t="n">
        <v>1</v>
      </c>
      <c r="P5652" s="12" t="n">
        <v>480</v>
      </c>
      <c r="Q5652" s="12" t="n">
        <v>15</v>
      </c>
      <c r="R5652" s="12" t="n">
        <v>21.2</v>
      </c>
      <c r="S5652" s="12" t="inlineStr">
        <is>
          <t>Duct bank</t>
        </is>
      </c>
      <c r="T5652" s="16" t="n">
        <v>994</v>
      </c>
      <c r="U5652" s="16" t="n">
        <v>114</v>
      </c>
      <c r="V5652" s="16">
        <f>ROUNDUP((T5652+U5652+2*'Read Me'!$B$13)*(1+'Read Me'!$B$12),-1)</f>
        <v/>
      </c>
      <c r="W5652" s="16">
        <f>V5652*N5652*O5652</f>
        <v/>
      </c>
      <c r="X5652" s="12">
        <f>IF(LEFT(I5652,2)="MV",2*N5652*IF(L5652="1/C",O5652,1),0)</f>
        <v/>
      </c>
      <c r="Y5652" s="12">
        <f>IF(OR(LEFT(K5652,4)="LVAX",LEFT(K5652,6)="MV15AX",LEFT(K5652,4)="CTAX",LEFT(K5652,2)="W|"),2*N5652*O5652,0)</f>
        <v/>
      </c>
      <c r="Z5652" s="12" t="inlineStr">
        <is>
          <t>VD 2.9 %</t>
        </is>
      </c>
      <c r="AA5652" s="12">
        <f>N5652*O5652</f>
        <v/>
      </c>
    </row>
    <row r="5653">
      <c r="A5653" s="12" t="inlineStr">
        <is>
          <t>K-P-0021</t>
        </is>
      </c>
      <c r="B5653" s="12" t="inlineStr">
        <is>
          <t>K</t>
        </is>
      </c>
      <c r="C5653" s="12" t="inlineStr">
        <is>
          <t>Fuel supply (adjacent market)</t>
        </is>
      </c>
      <c r="D5653" s="12" t="inlineStr">
        <is>
          <t>Motor 1 of 2, 250 kW</t>
        </is>
      </c>
      <c r="E5653" s="12" t="inlineStr"/>
      <c r="F5653" s="12" t="inlineStr">
        <is>
          <t>H2 20: 13.8 kV e-house</t>
        </is>
      </c>
      <c r="G5653" s="12" t="inlineStr"/>
      <c r="H5653" s="12" t="inlineStr">
        <is>
          <t>H2 pipe track and cable trench, hall -&gt; dryer / compressors (N2, instr</t>
        </is>
      </c>
      <c r="I5653" s="12" t="inlineStr">
        <is>
          <t>LV 600 V</t>
        </is>
      </c>
      <c r="J5653" s="12" t="inlineStr">
        <is>
          <t>ARMOR-X MC-HL 600 V 3/C Cu XHHW-2 + ground, CWA, black PVC (Class I Div 2)</t>
        </is>
      </c>
      <c r="K5653" s="12" t="inlineStr">
        <is>
          <t>LVAX|3/C+G|4/0</t>
        </is>
      </c>
      <c r="L5653" s="12" t="inlineStr">
        <is>
          <t>3/C+G</t>
        </is>
      </c>
      <c r="M5653" s="12" t="inlineStr">
        <is>
          <t>4/0</t>
        </is>
      </c>
      <c r="N5653" s="12" t="n">
        <v>2</v>
      </c>
      <c r="O5653" s="12" t="n">
        <v>1</v>
      </c>
      <c r="P5653" s="12" t="n">
        <v>480</v>
      </c>
      <c r="Q5653" s="12" t="n">
        <v>250</v>
      </c>
      <c r="R5653" s="12" t="n">
        <v>353.8</v>
      </c>
      <c r="S5653" s="12" t="inlineStr">
        <is>
          <t>Duct bank</t>
        </is>
      </c>
      <c r="T5653" s="16" t="n">
        <v>53</v>
      </c>
      <c r="U5653" s="16" t="n">
        <v>62</v>
      </c>
      <c r="V5653" s="16">
        <f>ROUNDUP((T5653+U5653+2*'Read Me'!$B$13)*(1+'Read Me'!$B$12),-1)</f>
        <v/>
      </c>
      <c r="W5653" s="16">
        <f>V5653*N5653*O5653</f>
        <v/>
      </c>
      <c r="X5653" s="12">
        <f>IF(LEFT(I5653,2)="MV",2*N5653*IF(L5653="1/C",O5653,1),0)</f>
        <v/>
      </c>
      <c r="Y5653" s="12">
        <f>IF(OR(LEFT(K5653,4)="LVAX",LEFT(K5653,6)="MV15AX",LEFT(K5653,4)="CTAX",LEFT(K5653,2)="W|"),2*N5653*O5653,0)</f>
        <v/>
      </c>
      <c r="Z5653" s="12" t="inlineStr">
        <is>
          <t>VD 0.5 %</t>
        </is>
      </c>
      <c r="AA5653" s="12">
        <f>N5653*O5653</f>
        <v/>
      </c>
    </row>
    <row r="5654">
      <c r="A5654" s="12" t="inlineStr">
        <is>
          <t>K-P-0022</t>
        </is>
      </c>
      <c r="B5654" s="12" t="inlineStr">
        <is>
          <t>K</t>
        </is>
      </c>
      <c r="C5654" s="12" t="inlineStr">
        <is>
          <t>Fuel supply (adjacent market)</t>
        </is>
      </c>
      <c r="D5654" s="12" t="inlineStr">
        <is>
          <t>Motor 2 of 2, 250 kW</t>
        </is>
      </c>
      <c r="E5654" s="12" t="inlineStr"/>
      <c r="F5654" s="12" t="inlineStr">
        <is>
          <t>H2 20: 13.8 kV e-house</t>
        </is>
      </c>
      <c r="G5654" s="12" t="inlineStr"/>
      <c r="H5654" s="12" t="inlineStr">
        <is>
          <t>H2 pipe track and cable trench, hall -&gt; dryer / compressors (N2, instr</t>
        </is>
      </c>
      <c r="I5654" s="12" t="inlineStr">
        <is>
          <t>LV 600 V</t>
        </is>
      </c>
      <c r="J5654" s="12" t="inlineStr">
        <is>
          <t>ARMOR-X MC-HL 600 V 3/C Cu XHHW-2 + ground, CWA, black PVC (Class I Div 2)</t>
        </is>
      </c>
      <c r="K5654" s="12" t="inlineStr">
        <is>
          <t>LVAX|3/C+G|4/0</t>
        </is>
      </c>
      <c r="L5654" s="12" t="inlineStr">
        <is>
          <t>3/C+G</t>
        </is>
      </c>
      <c r="M5654" s="12" t="inlineStr">
        <is>
          <t>4/0</t>
        </is>
      </c>
      <c r="N5654" s="12" t="n">
        <v>2</v>
      </c>
      <c r="O5654" s="12" t="n">
        <v>1</v>
      </c>
      <c r="P5654" s="12" t="n">
        <v>480</v>
      </c>
      <c r="Q5654" s="12" t="n">
        <v>250</v>
      </c>
      <c r="R5654" s="12" t="n">
        <v>353.8</v>
      </c>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is>
          <t>VD 0.5 %</t>
        </is>
      </c>
      <c r="AA5654" s="12">
        <f>N5654*O5654</f>
        <v/>
      </c>
    </row>
    <row r="5655">
      <c r="A5655" s="12" t="inlineStr">
        <is>
          <t>K-P-0023</t>
        </is>
      </c>
      <c r="B5655" s="12" t="inlineStr">
        <is>
          <t>K</t>
        </is>
      </c>
      <c r="C5655" s="12" t="inlineStr">
        <is>
          <t>Fuel supply (adjacent market)</t>
        </is>
      </c>
      <c r="D5655" s="12" t="inlineStr">
        <is>
          <t>LV power feeder</t>
        </is>
      </c>
      <c r="E5655" s="12" t="inlineStr"/>
      <c r="F5655" s="12" t="inlineStr">
        <is>
          <t>H2 20: 13.8 kV e-house</t>
        </is>
      </c>
      <c r="G5655" s="12" t="inlineStr">
        <is>
          <t>H2-ST</t>
        </is>
      </c>
      <c r="H5655" s="12" t="inlineStr">
        <is>
          <t>H2 storage tube banks x4</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Duct bank</t>
        </is>
      </c>
      <c r="T5655" s="16" t="n">
        <v>50</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is>
          <t>VD 1.4 %</t>
        </is>
      </c>
      <c r="AA5655" s="12">
        <f>N5655*O5655</f>
        <v/>
      </c>
    </row>
    <row r="5656">
      <c r="A5656" s="12" t="inlineStr">
        <is>
          <t>K-P-0024</t>
        </is>
      </c>
      <c r="B5656" s="12" t="inlineStr">
        <is>
          <t>K</t>
        </is>
      </c>
      <c r="C5656" s="12" t="inlineStr">
        <is>
          <t>Fuel supply (adjacent market)</t>
        </is>
      </c>
      <c r="D5656" s="12" t="inlineStr">
        <is>
          <t>LV power feeder</t>
        </is>
      </c>
      <c r="E5656" s="12" t="inlineStr"/>
      <c r="F5656" s="12" t="inlineStr">
        <is>
          <t>H2 20: 13.8 kV e-house</t>
        </is>
      </c>
      <c r="G5656" s="12" t="inlineStr">
        <is>
          <t>H2R</t>
        </is>
      </c>
      <c r="H5656" s="12" t="inlineStr">
        <is>
          <t>H2R: hydrogen pipeline receiving station (pig receiver, filters, meter</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Duct bank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is>
          <t>VD 0.7 %</t>
        </is>
      </c>
      <c r="AA5656" s="12">
        <f>N5656*O5656</f>
        <v/>
      </c>
    </row>
    <row r="5657">
      <c r="A5657" s="12" t="inlineStr">
        <is>
          <t>K-P-0025</t>
        </is>
      </c>
      <c r="B5657" s="12" t="inlineStr">
        <is>
          <t>K</t>
        </is>
      </c>
      <c r="C5657" s="12" t="inlineStr">
        <is>
          <t>Fuel supply (adjacent market)</t>
        </is>
      </c>
      <c r="D5657" s="12" t="inlineStr">
        <is>
          <t>Motor 1 of 1, 15 kW</t>
        </is>
      </c>
      <c r="E5657" s="12" t="inlineStr"/>
      <c r="F5657" s="12" t="inlineStr">
        <is>
          <t>LNG 17: LNG e-house (13.8 kV / 480 V)</t>
        </is>
      </c>
      <c r="G5657" s="12" t="inlineStr"/>
      <c r="H5657" s="12" t="inlineStr">
        <is>
          <t>LNG 10: truck unloading bay 1</t>
        </is>
      </c>
      <c r="I5657" s="12" t="inlineStr">
        <is>
          <t>LV 600 V</t>
        </is>
      </c>
      <c r="J5657" s="12" t="inlineStr">
        <is>
          <t>ARMOR-X MC-HL 600 V 3/C Cu XHHW-2 + ground, CWA, black PVC (Class I Div 2)</t>
        </is>
      </c>
      <c r="K5657" s="12" t="inlineStr">
        <is>
          <t>LVAX|3/C+G|8</t>
        </is>
      </c>
      <c r="L5657" s="12" t="inlineStr">
        <is>
          <t>3/C+G</t>
        </is>
      </c>
      <c r="M5657" s="12" t="inlineStr">
        <is>
          <t>8</t>
        </is>
      </c>
      <c r="N5657" s="12" t="n">
        <v>1</v>
      </c>
      <c r="O5657" s="12" t="n">
        <v>1</v>
      </c>
      <c r="P5657" s="12" t="n">
        <v>480</v>
      </c>
      <c r="Q5657" s="12" t="n">
        <v>15</v>
      </c>
      <c r="R5657" s="12" t="n">
        <v>21.2</v>
      </c>
      <c r="S5657" s="12" t="inlineStr">
        <is>
          <t>Duct bank</t>
        </is>
      </c>
      <c r="T5657" s="16" t="n">
        <v>237</v>
      </c>
      <c r="U5657" s="16" t="n">
        <v>61</v>
      </c>
      <c r="V5657" s="16">
        <f>ROUNDUP((T5657+U5657+2*'Read Me'!$B$13)*(1+'Read Me'!$B$12),-1)</f>
        <v/>
      </c>
      <c r="W5657" s="16">
        <f>V5657*N5657*O5657</f>
        <v/>
      </c>
      <c r="X5657" s="12">
        <f>IF(LEFT(I5657,2)="MV",2*N5657*IF(L5657="1/C",O5657,1),0)</f>
        <v/>
      </c>
      <c r="Y5657" s="12">
        <f>IF(OR(LEFT(K5657,4)="LVAX",LEFT(K5657,6)="MV15AX",LEFT(K5657,4)="CTAX",LEFT(K5657,2)="W|"),2*N5657*O5657,0)</f>
        <v/>
      </c>
      <c r="Z5657" s="12" t="inlineStr">
        <is>
          <t>VD 1.9 %</t>
        </is>
      </c>
      <c r="AA5657" s="12">
        <f>N5657*O5657</f>
        <v/>
      </c>
    </row>
    <row r="5658">
      <c r="A5658" s="12" t="inlineStr">
        <is>
          <t>K-P-0026</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LNG 10: truck unloading bay 2</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15</v>
      </c>
      <c r="R5658" s="12" t="n">
        <v>21.2</v>
      </c>
      <c r="S5658" s="12" t="inlineStr">
        <is>
          <t>Duct bank</t>
        </is>
      </c>
      <c r="T5658" s="16" t="n">
        <v>147</v>
      </c>
      <c r="U5658" s="16" t="n">
        <v>66</v>
      </c>
      <c r="V5658" s="16">
        <f>ROUNDUP((T5658+U5658+2*'Read Me'!$B$13)*(1+'Read Me'!$B$12),-1)</f>
        <v/>
      </c>
      <c r="W5658" s="16">
        <f>V5658*N5658*O5658</f>
        <v/>
      </c>
      <c r="X5658" s="12">
        <f>IF(LEFT(I5658,2)="MV",2*N5658*IF(L5658="1/C",O5658,1),0)</f>
        <v/>
      </c>
      <c r="Y5658" s="12">
        <f>IF(OR(LEFT(K5658,4)="LVAX",LEFT(K5658,6)="MV15AX",LEFT(K5658,4)="CTAX",LEFT(K5658,2)="W|"),2*N5658*O5658,0)</f>
        <v/>
      </c>
      <c r="Z5658" s="12" t="inlineStr">
        <is>
          <t>VD 2.2 %</t>
        </is>
      </c>
      <c r="AA5658" s="12">
        <f>N5658*O5658</f>
        <v/>
      </c>
    </row>
    <row r="5659">
      <c r="A5659" s="12" t="inlineStr">
        <is>
          <t>K-P-0027</t>
        </is>
      </c>
      <c r="B5659" s="12" t="inlineStr">
        <is>
          <t>K</t>
        </is>
      </c>
      <c r="C5659" s="12" t="inlineStr">
        <is>
          <t>Fuel supply (adjacent market)</t>
        </is>
      </c>
      <c r="D5659" s="12" t="inlineStr">
        <is>
          <t>Motor 1 of 1, 15 kW</t>
        </is>
      </c>
      <c r="E5659" s="12" t="inlineStr"/>
      <c r="F5659" s="12" t="inlineStr">
        <is>
          <t>LNG 17: LNG e-house (13.8 kV / 480 V)</t>
        </is>
      </c>
      <c r="G5659" s="12" t="inlineStr"/>
      <c r="H5659" s="12" t="inlineStr">
        <is>
          <t>LNG 10: unloading skid</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15</v>
      </c>
      <c r="R5659" s="12" t="n">
        <v>21.2</v>
      </c>
      <c r="S5659" s="12" t="inlineStr">
        <is>
          <t>Duct bank</t>
        </is>
      </c>
      <c r="T5659" s="16" t="n">
        <v>237</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is>
          <t>VD 2.7 %</t>
        </is>
      </c>
      <c r="AA5659" s="12">
        <f>N5659*O5659</f>
        <v/>
      </c>
    </row>
    <row r="5660">
      <c r="A5660" s="12" t="inlineStr">
        <is>
          <t>K-P-0028</t>
        </is>
      </c>
      <c r="B5660" s="12" t="inlineStr">
        <is>
          <t>K</t>
        </is>
      </c>
      <c r="C5660" s="12" t="inlineStr">
        <is>
          <t>Fuel supply (adjacent market)</t>
        </is>
      </c>
      <c r="D5660" s="12" t="inlineStr">
        <is>
          <t>LV power feeder</t>
        </is>
      </c>
      <c r="E5660" s="12" t="inlineStr"/>
      <c r="F5660" s="12" t="inlineStr">
        <is>
          <t>LNG 17: LNG e-house (13.8 kV / 480 V)</t>
        </is>
      </c>
      <c r="G5660" s="12" t="inlineStr">
        <is>
          <t>LNG-T1</t>
        </is>
      </c>
      <c r="H5660" s="12" t="inlineStr">
        <is>
          <t>LNG 11: tank 1, Chart HS 50000 (51,780 gal)</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10</v>
      </c>
      <c r="R5660" s="12" t="n">
        <v>14.2</v>
      </c>
      <c r="S5660" s="12" t="inlineStr">
        <is>
          <t>Duct bank</t>
        </is>
      </c>
      <c r="T5660" s="16" t="n">
        <v>210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is>
          <t>VD 1.6 %</t>
        </is>
      </c>
      <c r="AA5660" s="12">
        <f>N5660*O5660</f>
        <v/>
      </c>
    </row>
    <row r="5661">
      <c r="A5661" s="12" t="inlineStr">
        <is>
          <t>K-P-0029</t>
        </is>
      </c>
      <c r="B5661" s="12" t="inlineStr">
        <is>
          <t>K</t>
        </is>
      </c>
      <c r="C5661" s="12" t="inlineStr">
        <is>
          <t>Fuel supply (adjacent market)</t>
        </is>
      </c>
      <c r="D5661" s="12" t="inlineStr">
        <is>
          <t>LV power feeder</t>
        </is>
      </c>
      <c r="E5661" s="12" t="inlineStr"/>
      <c r="F5661" s="12" t="inlineStr">
        <is>
          <t>LNG 17: LNG e-house (13.8 kV / 480 V)</t>
        </is>
      </c>
      <c r="G5661" s="12" t="inlineStr">
        <is>
          <t>LNG-T2</t>
        </is>
      </c>
      <c r="H5661" s="12" t="inlineStr">
        <is>
          <t>LNG 11: tank 2, Chart HS 50000 (51,780 gal)</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10</v>
      </c>
      <c r="R5661" s="12" t="n">
        <v>14.2</v>
      </c>
      <c r="S5661" s="12" t="inlineStr">
        <is>
          <t>Duct bank</t>
        </is>
      </c>
      <c r="T5661" s="16" t="n">
        <v>230</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is>
          <t>VD 1.8 %</t>
        </is>
      </c>
      <c r="AA5661" s="12">
        <f>N5661*O5661</f>
        <v/>
      </c>
    </row>
    <row r="5662">
      <c r="A5662" s="12" t="inlineStr">
        <is>
          <t>K-P-0030</t>
        </is>
      </c>
      <c r="B5662" s="12" t="inlineStr">
        <is>
          <t>K</t>
        </is>
      </c>
      <c r="C5662" s="12" t="inlineStr">
        <is>
          <t>Fuel supply (adjacent market)</t>
        </is>
      </c>
      <c r="D5662" s="12" t="inlineStr">
        <is>
          <t>LV power feeder</t>
        </is>
      </c>
      <c r="E5662" s="12" t="inlineStr"/>
      <c r="F5662" s="12" t="inlineStr">
        <is>
          <t>LNG 17: LNG e-house (13.8 kV / 480 V)</t>
        </is>
      </c>
      <c r="G5662" s="12" t="inlineStr">
        <is>
          <t>LNG-T3</t>
        </is>
      </c>
      <c r="H5662" s="12" t="inlineStr">
        <is>
          <t>LNG 11: tank 3, Chart HS 50000 (51,780 gal)</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10</v>
      </c>
      <c r="R5662" s="12" t="n">
        <v>14.2</v>
      </c>
      <c r="S5662" s="12" t="inlineStr">
        <is>
          <t>Duct bank</t>
        </is>
      </c>
      <c r="T5662" s="16" t="n">
        <v>250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1.9 %</t>
        </is>
      </c>
      <c r="AA5662" s="12">
        <f>N5662*O5662</f>
        <v/>
      </c>
    </row>
    <row r="5663">
      <c r="A5663" s="12" t="inlineStr">
        <is>
          <t>K-P-0031</t>
        </is>
      </c>
      <c r="B5663" s="12" t="inlineStr">
        <is>
          <t>K</t>
        </is>
      </c>
      <c r="C5663" s="12" t="inlineStr">
        <is>
          <t>Fuel supply (adjacent market)</t>
        </is>
      </c>
      <c r="D5663" s="12" t="inlineStr">
        <is>
          <t>LV power feeder</t>
        </is>
      </c>
      <c r="E5663" s="12" t="inlineStr"/>
      <c r="F5663" s="12" t="inlineStr">
        <is>
          <t>LNG 17: LNG e-house (13.8 kV / 480 V)</t>
        </is>
      </c>
      <c r="G5663" s="12" t="inlineStr">
        <is>
          <t>LNG-T4</t>
        </is>
      </c>
      <c r="H5663" s="12" t="inlineStr">
        <is>
          <t>LNG 11: tank 4, Chart HS 50000 (51,780 gal)</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10</v>
      </c>
      <c r="R5663" s="12" t="n">
        <v>14.2</v>
      </c>
      <c r="S5663" s="12" t="inlineStr">
        <is>
          <t>Duct bank</t>
        </is>
      </c>
      <c r="T5663" s="16" t="n">
        <v>270</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is>
          <t>VD 2.1 %</t>
        </is>
      </c>
      <c r="AA5663" s="12">
        <f>N5663*O5663</f>
        <v/>
      </c>
    </row>
    <row r="5664">
      <c r="A5664" s="12" t="inlineStr">
        <is>
          <t>K-P-0032</t>
        </is>
      </c>
      <c r="B5664" s="12" t="inlineStr">
        <is>
          <t>K</t>
        </is>
      </c>
      <c r="C5664" s="12" t="inlineStr">
        <is>
          <t>Fuel supply (adjacent market)</t>
        </is>
      </c>
      <c r="D5664" s="12" t="inlineStr">
        <is>
          <t>LV power feeder</t>
        </is>
      </c>
      <c r="E5664" s="12" t="inlineStr"/>
      <c r="F5664" s="12" t="inlineStr">
        <is>
          <t>LNG 17: LNG e-house (13.8 kV / 480 V)</t>
        </is>
      </c>
      <c r="G5664" s="12" t="inlineStr">
        <is>
          <t>LNG-T5</t>
        </is>
      </c>
      <c r="H5664" s="12" t="inlineStr">
        <is>
          <t>LNG 11: tank 5, Chart HS 50000 (51,780 gal)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10</v>
      </c>
      <c r="R5664" s="12" t="n">
        <v>14.2</v>
      </c>
      <c r="S5664" s="12" t="inlineStr">
        <is>
          <t>Duct bank</t>
        </is>
      </c>
      <c r="T5664" s="16" t="n">
        <v>290</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K-P-0033</t>
        </is>
      </c>
      <c r="B5665" s="12" t="inlineStr">
        <is>
          <t>K</t>
        </is>
      </c>
      <c r="C5665" s="12" t="inlineStr">
        <is>
          <t>Fuel supply (adjacent market)</t>
        </is>
      </c>
      <c r="D5665" s="12" t="inlineStr">
        <is>
          <t>LV power feeder</t>
        </is>
      </c>
      <c r="E5665" s="12" t="inlineStr"/>
      <c r="F5665" s="12" t="inlineStr">
        <is>
          <t>LNG 17: LNG e-house (13.8 kV / 480 V)</t>
        </is>
      </c>
      <c r="G5665" s="12" t="inlineStr">
        <is>
          <t>LNG-T6</t>
        </is>
      </c>
      <c r="H5665" s="12" t="inlineStr">
        <is>
          <t>LNG 11: tank 6, Chart HS 50000 (51,780 gal)</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10</v>
      </c>
      <c r="R5665" s="12" t="n">
        <v>14.2</v>
      </c>
      <c r="S5665" s="12" t="inlineStr">
        <is>
          <t>Duct bank</t>
        </is>
      </c>
      <c r="T5665" s="16" t="n">
        <v>310</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2.3 %</t>
        </is>
      </c>
      <c r="AA5665" s="12">
        <f>N5665*O5665</f>
        <v/>
      </c>
    </row>
    <row r="5666">
      <c r="A5666" s="12" t="inlineStr">
        <is>
          <t>K-P-0034</t>
        </is>
      </c>
      <c r="B5666" s="12" t="inlineStr">
        <is>
          <t>K</t>
        </is>
      </c>
      <c r="C5666" s="12" t="inlineStr">
        <is>
          <t>Fuel supply (adjacent market)</t>
        </is>
      </c>
      <c r="D5666" s="12" t="inlineStr">
        <is>
          <t>LV power feeder</t>
        </is>
      </c>
      <c r="E5666" s="12" t="inlineStr"/>
      <c r="F5666" s="12" t="inlineStr">
        <is>
          <t>LNG 17: LNG e-house (13.8 kV / 480 V)</t>
        </is>
      </c>
      <c r="G5666" s="12" t="inlineStr">
        <is>
          <t>LNG-T7</t>
        </is>
      </c>
      <c r="H5666" s="12" t="inlineStr">
        <is>
          <t>LNG 11: tank 7,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330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2.5 %</t>
        </is>
      </c>
      <c r="AA5666" s="12">
        <f>N5666*O5666</f>
        <v/>
      </c>
    </row>
    <row r="5667">
      <c r="A5667" s="12" t="inlineStr">
        <is>
          <t>K-P-0035</t>
        </is>
      </c>
      <c r="B5667" s="12" t="inlineStr">
        <is>
          <t>K</t>
        </is>
      </c>
      <c r="C5667" s="12" t="inlineStr">
        <is>
          <t>Fuel supply (adjacent market)</t>
        </is>
      </c>
      <c r="D5667" s="12" t="inlineStr">
        <is>
          <t>LV power feeder</t>
        </is>
      </c>
      <c r="E5667" s="12" t="inlineStr"/>
      <c r="F5667" s="12" t="inlineStr">
        <is>
          <t>LNG 17: LNG e-house (13.8 kV / 480 V)</t>
        </is>
      </c>
      <c r="G5667" s="12" t="inlineStr">
        <is>
          <t>LNG-T8</t>
        </is>
      </c>
      <c r="H5667" s="12" t="inlineStr">
        <is>
          <t>LNG 11: tank 8,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350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2.6 %</t>
        </is>
      </c>
      <c r="AA5667" s="12">
        <f>N5667*O5667</f>
        <v/>
      </c>
    </row>
    <row r="5668">
      <c r="A5668" s="12" t="inlineStr">
        <is>
          <t>K-P-0036</t>
        </is>
      </c>
      <c r="B5668" s="12" t="inlineStr">
        <is>
          <t>K</t>
        </is>
      </c>
      <c r="C5668" s="12" t="inlineStr">
        <is>
          <t>Fuel supply (adjacent market)</t>
        </is>
      </c>
      <c r="D5668" s="12" t="inlineStr">
        <is>
          <t>Motor 1 of 1, 15 kW</t>
        </is>
      </c>
      <c r="E5668" s="12" t="inlineStr"/>
      <c r="F5668" s="12" t="inlineStr">
        <is>
          <t>LNG 17: LNG e-house (13.8 kV / 480 V)</t>
        </is>
      </c>
      <c r="G5668" s="12" t="inlineStr"/>
      <c r="H5668" s="12" t="inlineStr">
        <is>
          <t>LNG 12: spill impoundment (NFPA 59A, to verify)</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15</v>
      </c>
      <c r="R5668" s="12" t="n">
        <v>21.2</v>
      </c>
      <c r="S5668" s="12" t="inlineStr">
        <is>
          <t>Duct bank</t>
        </is>
      </c>
      <c r="T5668" s="16" t="n">
        <v>230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2.7 %</t>
        </is>
      </c>
      <c r="AA5668" s="12">
        <f>N5668*O5668</f>
        <v/>
      </c>
    </row>
    <row r="5669">
      <c r="A5669" s="12" t="inlineStr">
        <is>
          <t>K-P-0037</t>
        </is>
      </c>
      <c r="B5669" s="12" t="inlineStr">
        <is>
          <t>K</t>
        </is>
      </c>
      <c r="C5669" s="12" t="inlineStr">
        <is>
          <t>Fuel supply (adjacent market)</t>
        </is>
      </c>
      <c r="D5669" s="12" t="inlineStr">
        <is>
          <t>Motor 1 of 1, 15 kW</t>
        </is>
      </c>
      <c r="E5669" s="12" t="inlineStr"/>
      <c r="F5669" s="12" t="inlineStr">
        <is>
          <t>LNG 17: LNG e-house (13.8 kV / 480 V)</t>
        </is>
      </c>
      <c r="G5669" s="12" t="inlineStr"/>
      <c r="H5669" s="12" t="inlineStr">
        <is>
          <t>LNG 13: send-out pumps 2 x 100%</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15</v>
      </c>
      <c r="R5669" s="12" t="n">
        <v>21.2</v>
      </c>
      <c r="S5669" s="12" t="inlineStr">
        <is>
          <t>Duct bank</t>
        </is>
      </c>
      <c r="T5669" s="16" t="n">
        <v>110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1.4 %</t>
        </is>
      </c>
      <c r="AA5669" s="12">
        <f>N5669*O5669</f>
        <v/>
      </c>
    </row>
    <row r="5670">
      <c r="A5670" s="12" t="inlineStr">
        <is>
          <t>K-P-0038</t>
        </is>
      </c>
      <c r="B5670" s="12" t="inlineStr">
        <is>
          <t>K</t>
        </is>
      </c>
      <c r="C5670" s="12" t="inlineStr">
        <is>
          <t>Fuel supply (adjacent market)</t>
        </is>
      </c>
      <c r="D5670" s="12" t="inlineStr">
        <is>
          <t>Motor 1 of 1, 15 kW</t>
        </is>
      </c>
      <c r="E5670" s="12" t="inlineStr"/>
      <c r="F5670" s="12" t="inlineStr">
        <is>
          <t>LNG 17: LNG e-house (13.8 kV / 480 V)</t>
        </is>
      </c>
      <c r="G5670" s="12" t="inlineStr"/>
      <c r="H5670" s="12" t="inlineStr">
        <is>
          <t>LNG 14: vaporizers + glycol heater</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15</v>
      </c>
      <c r="R5670" s="12" t="n">
        <v>21.2</v>
      </c>
      <c r="S5670" s="12" t="inlineStr">
        <is>
          <t>Duct bank</t>
        </is>
      </c>
      <c r="T5670" s="16" t="n">
        <v>259</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3.0 %</t>
        </is>
      </c>
      <c r="AA5670" s="12">
        <f>N5670*O5670</f>
        <v/>
      </c>
    </row>
    <row r="5671">
      <c r="A5671" s="12" t="inlineStr">
        <is>
          <t>K-P-0039</t>
        </is>
      </c>
      <c r="B5671" s="12" t="inlineStr">
        <is>
          <t>K</t>
        </is>
      </c>
      <c r="C5671" s="12" t="inlineStr">
        <is>
          <t>Fuel supply (adjacent market)</t>
        </is>
      </c>
      <c r="D5671" s="12" t="inlineStr">
        <is>
          <t>Motor 1 of 1, 15 kW</t>
        </is>
      </c>
      <c r="E5671" s="12" t="inlineStr"/>
      <c r="F5671" s="12" t="inlineStr">
        <is>
          <t>LNG 17: LNG e-house (13.8 kV / 480 V)</t>
        </is>
      </c>
      <c r="G5671" s="12" t="inlineStr"/>
      <c r="H5671" s="12" t="inlineStr">
        <is>
          <t>LNG 15: boil-off gas compressor</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15</v>
      </c>
      <c r="R5671" s="12" t="n">
        <v>21.2</v>
      </c>
      <c r="S5671" s="12" t="inlineStr">
        <is>
          <t>Duct bank</t>
        </is>
      </c>
      <c r="T5671" s="16" t="n">
        <v>25</v>
      </c>
      <c r="U5671" s="16" t="n">
        <v>54</v>
      </c>
      <c r="V5671" s="16">
        <f>ROUNDUP((T5671+U5671+2*'Read Me'!$B$13)*(1+'Read Me'!$B$12),-1)</f>
        <v/>
      </c>
      <c r="W5671" s="16">
        <f>V5671*N5671*O5671</f>
        <v/>
      </c>
      <c r="X5671" s="12">
        <f>IF(LEFT(I5671,2)="MV",2*N5671*IF(L5671="1/C",O5671,1),0)</f>
        <v/>
      </c>
      <c r="Y5671" s="12">
        <f>IF(OR(LEFT(K5671,4)="LVAX",LEFT(K5671,6)="MV15AX",LEFT(K5671,4)="CTAX",LEFT(K5671,2)="W|"),2*N5671*O5671,0)</f>
        <v/>
      </c>
      <c r="Z5671" s="12" t="inlineStr">
        <is>
          <t>VD 0.8 %</t>
        </is>
      </c>
      <c r="AA5671" s="12">
        <f>N5671*O5671</f>
        <v/>
      </c>
    </row>
    <row r="5672">
      <c r="A5672" s="12" t="inlineStr">
        <is>
          <t>K-P-0040</t>
        </is>
      </c>
      <c r="B5672" s="12" t="inlineStr">
        <is>
          <t>K</t>
        </is>
      </c>
      <c r="C5672" s="12" t="inlineStr">
        <is>
          <t>Fuel supply (adjacent market)</t>
        </is>
      </c>
      <c r="D5672" s="12" t="inlineStr">
        <is>
          <t>Motor 1 of 1, 15 kW</t>
        </is>
      </c>
      <c r="E5672" s="12" t="inlineStr"/>
      <c r="F5672" s="12" t="inlineStr">
        <is>
          <t>LNG 17: LNG e-house (13.8 kV / 480 V)</t>
        </is>
      </c>
      <c r="G5672" s="12" t="inlineStr"/>
      <c r="H5672" s="12" t="inlineStr">
        <is>
          <t>LNG 16: send-out metering + pressure control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15</v>
      </c>
      <c r="R5672" s="12" t="n">
        <v>21.2</v>
      </c>
      <c r="S5672" s="12" t="inlineStr">
        <is>
          <t>Duct bank</t>
        </is>
      </c>
      <c r="T5672" s="16" t="n">
        <v>20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0.5 %</t>
        </is>
      </c>
      <c r="AA5672" s="12">
        <f>N5672*O5672</f>
        <v/>
      </c>
    </row>
    <row r="5673">
      <c r="A5673" s="12" t="inlineStr">
        <is>
          <t>K-P-0041</t>
        </is>
      </c>
      <c r="B5673" s="12" t="inlineStr">
        <is>
          <t>K</t>
        </is>
      </c>
      <c r="C5673" s="12" t="inlineStr">
        <is>
          <t>Fuel supply (adjacent market)</t>
        </is>
      </c>
      <c r="D5673" s="12" t="inlineStr">
        <is>
          <t>Motor 1 of 1, 15 kW</t>
        </is>
      </c>
      <c r="E5673" s="12" t="inlineStr"/>
      <c r="F5673" s="12" t="inlineStr">
        <is>
          <t>LNG 17: LNG e-house (13.8 kV / 480 V)</t>
        </is>
      </c>
      <c r="G5673" s="12" t="inlineStr"/>
      <c r="H5673" s="12" t="inlineStr">
        <is>
          <t>LNG 17: LNG e-house (13.8 kV / 480 V)</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15</v>
      </c>
      <c r="R5673" s="12" t="n">
        <v>21.2</v>
      </c>
      <c r="S5673" s="12" t="inlineStr">
        <is>
          <t>Tray</t>
        </is>
      </c>
      <c r="T5673" s="16" t="n">
        <v>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0.3 %</t>
        </is>
      </c>
      <c r="AA5673" s="12">
        <f>N5673*O5673</f>
        <v/>
      </c>
    </row>
    <row r="5674">
      <c r="A5674" s="12" t="inlineStr">
        <is>
          <t>K-P-0042</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18: vent stack</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25</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is>
          <t>VD 1.4 %</t>
        </is>
      </c>
      <c r="AA5674" s="12">
        <f>N5674*O5674</f>
        <v/>
      </c>
    </row>
    <row r="5675">
      <c r="A5675" s="12" t="inlineStr">
        <is>
          <t>K-P-0043</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LNG impoundment sump pump</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15</v>
      </c>
      <c r="R5675" s="12" t="n">
        <v>21.2</v>
      </c>
      <c r="S5675" s="12" t="inlineStr">
        <is>
          <t>Duct bank</t>
        </is>
      </c>
      <c r="T5675" s="16" t="n">
        <v>334</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2.4 %</t>
        </is>
      </c>
      <c r="AA5675" s="12">
        <f>N5675*O5675</f>
        <v/>
      </c>
    </row>
    <row r="5676">
      <c r="A5676" s="12" t="inlineStr">
        <is>
          <t>K-P-0044</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2: insulating joint + ESD valve</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10</v>
      </c>
      <c r="R5676" s="12" t="n">
        <v>14.2</v>
      </c>
      <c r="S5676" s="12" t="inlineStr">
        <is>
          <t>Duct bank</t>
        </is>
      </c>
      <c r="T5676" s="16" t="n">
        <v>758</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2.2 %</t>
        </is>
      </c>
      <c r="AA5676" s="12">
        <f>N5676*O5676</f>
        <v/>
      </c>
    </row>
    <row r="5677">
      <c r="A5677" s="12" t="inlineStr">
        <is>
          <t>K-P-0045</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3: horizontal filter-separator</t>
        </is>
      </c>
      <c r="I5677" s="12" t="inlineStr">
        <is>
          <t>LV 600 V</t>
        </is>
      </c>
      <c r="J5677" s="12" t="inlineStr">
        <is>
          <t>ARMOR-X MC-HL 600 V 3/C Cu XHHW-2 + ground, CWA, black PVC (Class I Div 2)</t>
        </is>
      </c>
      <c r="K5677" s="12" t="inlineStr">
        <is>
          <t>LVAX|3/C+G|4</t>
        </is>
      </c>
      <c r="L5677" s="12" t="inlineStr">
        <is>
          <t>3/C+G</t>
        </is>
      </c>
      <c r="M5677" s="12" t="inlineStr">
        <is>
          <t>4</t>
        </is>
      </c>
      <c r="N5677" s="12" t="n">
        <v>1</v>
      </c>
      <c r="O5677" s="12" t="n">
        <v>1</v>
      </c>
      <c r="P5677" s="12" t="n">
        <v>480</v>
      </c>
      <c r="Q5677" s="12" t="n">
        <v>15</v>
      </c>
      <c r="R5677" s="12" t="n">
        <v>21.2</v>
      </c>
      <c r="S5677" s="12" t="inlineStr">
        <is>
          <t>Duct bank</t>
        </is>
      </c>
      <c r="T5677" s="16" t="n">
        <v>797</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is>
          <t>VD 2.2 %</t>
        </is>
      </c>
      <c r="AA5677" s="12">
        <f>N5677*O5677</f>
        <v/>
      </c>
    </row>
    <row r="5678">
      <c r="A5678" s="12" t="inlineStr">
        <is>
          <t>K-P-0046</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4: line heater 1 (water bath)</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6" t="n">
        <v>593</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2.6 %</t>
        </is>
      </c>
      <c r="AA5678" s="12">
        <f>N5678*O5678</f>
        <v/>
      </c>
    </row>
    <row r="5679">
      <c r="A5679" s="12" t="inlineStr">
        <is>
          <t>K-P-0047</t>
        </is>
      </c>
      <c r="B5679" s="12" t="inlineStr">
        <is>
          <t>K</t>
        </is>
      </c>
      <c r="C5679" s="12" t="inlineStr">
        <is>
          <t>Fuel supply (adjacent market)</t>
        </is>
      </c>
      <c r="D5679" s="12" t="inlineStr">
        <is>
          <t>LV power feeder</t>
        </is>
      </c>
      <c r="E5679" s="12" t="inlineStr"/>
      <c r="F5679" s="12" t="inlineStr">
        <is>
          <t>LNG 17: LNG e-house (13.8 kV / 480 V)</t>
        </is>
      </c>
      <c r="G5679" s="12" t="inlineStr"/>
      <c r="H5679" s="12" t="inlineStr">
        <is>
          <t>M&amp;R 4: line heater 2 (water bath)</t>
        </is>
      </c>
      <c r="I5679" s="12" t="inlineStr">
        <is>
          <t>LV 600 V</t>
        </is>
      </c>
      <c r="J5679" s="12" t="inlineStr">
        <is>
          <t>ARMOR-X MC-HL 600 V 3/C Cu XHHW-2 + ground, CWA, black PVC (Class I Div 2)</t>
        </is>
      </c>
      <c r="K5679" s="12" t="inlineStr">
        <is>
          <t>LVAX|3/C+G|6</t>
        </is>
      </c>
      <c r="L5679" s="12" t="inlineStr">
        <is>
          <t>3/C+G</t>
        </is>
      </c>
      <c r="M5679" s="12" t="inlineStr">
        <is>
          <t>6</t>
        </is>
      </c>
      <c r="N5679" s="12" t="n">
        <v>1</v>
      </c>
      <c r="O5679" s="12" t="n">
        <v>1</v>
      </c>
      <c r="P5679" s="12" t="n">
        <v>480</v>
      </c>
      <c r="Q5679" s="12" t="n">
        <v>15</v>
      </c>
      <c r="R5679" s="12" t="n">
        <v>21.2</v>
      </c>
      <c r="S5679" s="12" t="inlineStr">
        <is>
          <t>Duct bank</t>
        </is>
      </c>
      <c r="T5679" s="16" t="n">
        <v>593</v>
      </c>
      <c r="U5679" s="16" t="n">
        <v>50</v>
      </c>
      <c r="V5679" s="16">
        <f>ROUNDUP((T5679+U5679+2*'Read Me'!$B$13)*(1+'Read Me'!$B$12),-1)</f>
        <v/>
      </c>
      <c r="W5679" s="16">
        <f>V5679*N5679*O5679</f>
        <v/>
      </c>
      <c r="X5679" s="12">
        <f>IF(LEFT(I5679,2)="MV",2*N5679*IF(L5679="1/C",O5679,1),0)</f>
        <v/>
      </c>
      <c r="Y5679" s="12">
        <f>IF(OR(LEFT(K5679,4)="LVAX",LEFT(K5679,6)="MV15AX",LEFT(K5679,4)="CTAX",LEFT(K5679,2)="W|"),2*N5679*O5679,0)</f>
        <v/>
      </c>
      <c r="Z5679" s="12" t="inlineStr">
        <is>
          <t>VD 2.7 %</t>
        </is>
      </c>
      <c r="AA5679" s="12">
        <f>N5679*O5679</f>
        <v/>
      </c>
    </row>
    <row r="5680">
      <c r="A5680" s="12" t="inlineStr">
        <is>
          <t>K-P-0048</t>
        </is>
      </c>
      <c r="B5680" s="12" t="inlineStr">
        <is>
          <t>K</t>
        </is>
      </c>
      <c r="C5680" s="12" t="inlineStr">
        <is>
          <t>Fuel supply (adjacent market)</t>
        </is>
      </c>
      <c r="D5680" s="12" t="inlineStr">
        <is>
          <t>LV power feeder</t>
        </is>
      </c>
      <c r="E5680" s="12" t="inlineStr"/>
      <c r="F5680" s="12" t="inlineStr">
        <is>
          <t>LNG 17: LNG e-house (13.8 kV / 480 V)</t>
        </is>
      </c>
      <c r="G5680" s="12" t="inlineStr"/>
      <c r="H5680" s="12" t="inlineStr">
        <is>
          <t>M&amp;R 4: line heater 3 (water bath)</t>
        </is>
      </c>
      <c r="I5680" s="12" t="inlineStr">
        <is>
          <t>LV 600 V</t>
        </is>
      </c>
      <c r="J5680" s="12" t="inlineStr">
        <is>
          <t>ARMOR-X MC-HL 600 V 3/C Cu XHHW-2 + ground, CWA, black PVC (Class I Div 2)</t>
        </is>
      </c>
      <c r="K5680" s="12" t="inlineStr">
        <is>
          <t>LVAX|3/C+G|6</t>
        </is>
      </c>
      <c r="L5680" s="12" t="inlineStr">
        <is>
          <t>3/C+G</t>
        </is>
      </c>
      <c r="M5680" s="12" t="inlineStr">
        <is>
          <t>6</t>
        </is>
      </c>
      <c r="N5680" s="12" t="n">
        <v>1</v>
      </c>
      <c r="O5680" s="12" t="n">
        <v>1</v>
      </c>
      <c r="P5680" s="12" t="n">
        <v>480</v>
      </c>
      <c r="Q5680" s="12" t="n">
        <v>15</v>
      </c>
      <c r="R5680" s="12" t="n">
        <v>21.2</v>
      </c>
      <c r="S5680" s="12" t="inlineStr">
        <is>
          <t>Duct bank</t>
        </is>
      </c>
      <c r="T5680" s="16" t="n">
        <v>593</v>
      </c>
      <c r="U5680" s="16" t="n">
        <v>68</v>
      </c>
      <c r="V5680" s="16">
        <f>ROUNDUP((T5680+U5680+2*'Read Me'!$B$13)*(1+'Read Me'!$B$12),-1)</f>
        <v/>
      </c>
      <c r="W5680" s="16">
        <f>V5680*N5680*O5680</f>
        <v/>
      </c>
      <c r="X5680" s="12">
        <f>IF(LEFT(I5680,2)="MV",2*N5680*IF(L5680="1/C",O5680,1),0)</f>
        <v/>
      </c>
      <c r="Y5680" s="12">
        <f>IF(OR(LEFT(K5680,4)="LVAX",LEFT(K5680,6)="MV15AX",LEFT(K5680,4)="CTAX",LEFT(K5680,2)="W|"),2*N5680*O5680,0)</f>
        <v/>
      </c>
      <c r="Z5680" s="12" t="inlineStr">
        <is>
          <t>VD 2.7 %</t>
        </is>
      </c>
      <c r="AA5680" s="12">
        <f>N5680*O5680</f>
        <v/>
      </c>
    </row>
    <row r="5681">
      <c r="A5681" s="12" t="inlineStr">
        <is>
          <t>K-P-0049</t>
        </is>
      </c>
      <c r="B5681" s="12" t="inlineStr">
        <is>
          <t>K</t>
        </is>
      </c>
      <c r="C5681" s="12" t="inlineStr">
        <is>
          <t>Fuel supply (adjacent market)</t>
        </is>
      </c>
      <c r="D5681" s="12" t="inlineStr">
        <is>
          <t>LV panel / distribution feeder</t>
        </is>
      </c>
      <c r="E5681" s="12" t="inlineStr"/>
      <c r="F5681" s="12" t="inlineStr">
        <is>
          <t>LNG 17: LNG e-house (13.8 kV / 480 V)</t>
        </is>
      </c>
      <c r="G5681" s="12" t="inlineStr"/>
      <c r="H5681" s="12" t="inlineStr">
        <is>
          <t>M&amp;R 6: regulation / flow control building</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10</v>
      </c>
      <c r="R5681" s="12" t="n">
        <v>14.2</v>
      </c>
      <c r="S5681" s="12" t="inlineStr">
        <is>
          <t>Duct bank</t>
        </is>
      </c>
      <c r="T5681" s="16" t="n">
        <v>470</v>
      </c>
      <c r="U5681" s="16" t="n">
        <v>70</v>
      </c>
      <c r="V5681" s="16">
        <f>ROUNDUP((T5681+U5681+2*'Read Me'!$B$13)*(1+'Read Me'!$B$12),-1)</f>
        <v/>
      </c>
      <c r="W5681" s="16">
        <f>V5681*N5681*O5681</f>
        <v/>
      </c>
      <c r="X5681" s="12">
        <f>IF(LEFT(I5681,2)="MV",2*N5681*IF(L5681="1/C",O5681,1),0)</f>
        <v/>
      </c>
      <c r="Y5681" s="12">
        <f>IF(OR(LEFT(K5681,4)="LVAX",LEFT(K5681,6)="MV15AX",LEFT(K5681,4)="CTAX",LEFT(K5681,2)="W|"),2*N5681*O5681,0)</f>
        <v/>
      </c>
      <c r="Z5681" s="12" t="inlineStr">
        <is>
          <t>VD 2.3 %</t>
        </is>
      </c>
      <c r="AA5681" s="12">
        <f>N5681*O5681</f>
        <v/>
      </c>
    </row>
    <row r="5682">
      <c r="A5682" s="12" t="inlineStr">
        <is>
          <t>K-P-0050</t>
        </is>
      </c>
      <c r="B5682" s="12" t="inlineStr">
        <is>
          <t>K</t>
        </is>
      </c>
      <c r="C5682" s="12" t="inlineStr">
        <is>
          <t>Fuel supply (adjacent market)</t>
        </is>
      </c>
      <c r="D5682" s="12" t="inlineStr">
        <is>
          <t>LV panel / distribution feeder</t>
        </is>
      </c>
      <c r="E5682" s="12" t="inlineStr"/>
      <c r="F5682" s="12" t="inlineStr">
        <is>
          <t>LNG 17: LNG e-house (13.8 kV / 480 V)</t>
        </is>
      </c>
      <c r="G5682" s="12" t="inlineStr"/>
      <c r="H5682" s="12" t="inlineStr">
        <is>
          <t>M&amp;R 7: gas quality + measurement building</t>
        </is>
      </c>
      <c r="I5682" s="12" t="inlineStr">
        <is>
          <t>LV 600 V</t>
        </is>
      </c>
      <c r="J5682" s="12" t="inlineStr">
        <is>
          <t>ARMOR-X MC-HL 600 V 3/C Cu XHHW-2 + ground, CWA, black PVC (Class I Div 2)</t>
        </is>
      </c>
      <c r="K5682" s="12" t="inlineStr">
        <is>
          <t>LVAX|3/C+G|2</t>
        </is>
      </c>
      <c r="L5682" s="12" t="inlineStr">
        <is>
          <t>3/C+G</t>
        </is>
      </c>
      <c r="M5682" s="12" t="inlineStr">
        <is>
          <t>2</t>
        </is>
      </c>
      <c r="N5682" s="12" t="n">
        <v>1</v>
      </c>
      <c r="O5682" s="12" t="n">
        <v>1</v>
      </c>
      <c r="P5682" s="12" t="n">
        <v>480</v>
      </c>
      <c r="Q5682" s="12" t="n">
        <v>30</v>
      </c>
      <c r="R5682" s="12" t="n">
        <v>42.5</v>
      </c>
      <c r="S5682" s="12" t="inlineStr">
        <is>
          <t>Duct bank</t>
        </is>
      </c>
      <c r="T5682" s="16" t="n">
        <v>616</v>
      </c>
      <c r="U5682" s="16" t="n">
        <v>52</v>
      </c>
      <c r="V5682" s="16">
        <f>ROUNDUP((T5682+U5682+2*'Read Me'!$B$13)*(1+'Read Me'!$B$12),-1)</f>
        <v/>
      </c>
      <c r="W5682" s="16">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K-P-0051</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8: condensate tank</t>
        </is>
      </c>
      <c r="I5683" s="12" t="inlineStr">
        <is>
          <t>LV 600 V</t>
        </is>
      </c>
      <c r="J5683" s="12" t="inlineStr">
        <is>
          <t>ARMOR-X MC-HL 600 V 3/C Cu XHHW-2 + ground, CWA, black PVC (Class I Div 2)</t>
        </is>
      </c>
      <c r="K5683" s="12" t="inlineStr">
        <is>
          <t>LVAX|3/C+G|8</t>
        </is>
      </c>
      <c r="L5683" s="12" t="inlineStr">
        <is>
          <t>3/C+G</t>
        </is>
      </c>
      <c r="M5683" s="12" t="inlineStr">
        <is>
          <t>8</t>
        </is>
      </c>
      <c r="N5683" s="12" t="n">
        <v>1</v>
      </c>
      <c r="O5683" s="12" t="n">
        <v>1</v>
      </c>
      <c r="P5683" s="12" t="n">
        <v>480</v>
      </c>
      <c r="Q5683" s="12" t="n">
        <v>10</v>
      </c>
      <c r="R5683" s="12" t="n">
        <v>14.2</v>
      </c>
      <c r="S5683" s="12" t="inlineStr">
        <is>
          <t>Duct bank</t>
        </is>
      </c>
      <c r="T5683" s="16" t="n">
        <v>530</v>
      </c>
      <c r="U5683" s="16" t="n">
        <v>87</v>
      </c>
      <c r="V5683" s="16">
        <f>ROUNDUP((T5683+U5683+2*'Read Me'!$B$13)*(1+'Read Me'!$B$12),-1)</f>
        <v/>
      </c>
      <c r="W5683" s="16">
        <f>V5683*N5683*O5683</f>
        <v/>
      </c>
      <c r="X5683" s="12">
        <f>IF(LEFT(I5683,2)="MV",2*N5683*IF(L5683="1/C",O5683,1),0)</f>
        <v/>
      </c>
      <c r="Y5683" s="12">
        <f>IF(OR(LEFT(K5683,4)="LVAX",LEFT(K5683,6)="MV15AX",LEFT(K5683,4)="CTAX",LEFT(K5683,2)="W|"),2*N5683*O5683,0)</f>
        <v/>
      </c>
      <c r="Z5683" s="12" t="inlineStr">
        <is>
          <t>VD 2.6 %</t>
        </is>
      </c>
      <c r="AA5683" s="12">
        <f>N5683*O5683</f>
        <v/>
      </c>
    </row>
    <row r="5684">
      <c r="A5684" s="12" t="inlineStr">
        <is>
          <t>K-P-0052</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9: service panel + UPS, SCADA RTU, CP</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466</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2.1 %</t>
        </is>
      </c>
      <c r="AA5684" s="12">
        <f>N5684*O5684</f>
        <v/>
      </c>
    </row>
    <row r="5685">
      <c r="A5685" s="12" t="inlineStr">
        <is>
          <t>K-P-0053</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CP test station (as drawn)</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441</v>
      </c>
      <c r="U5685" s="16" t="n">
        <v>42</v>
      </c>
      <c r="V5685" s="16">
        <f>ROUNDUP((T5685+U5685+2*'Read Me'!$B$13)*(1+'Read Me'!$B$12),-1)</f>
        <v/>
      </c>
      <c r="W5685" s="16">
        <f>V5685*N5685*O5685</f>
        <v/>
      </c>
      <c r="X5685" s="12">
        <f>IF(LEFT(I5685,2)="MV",2*N5685*IF(L5685="1/C",O5685,1),0)</f>
        <v/>
      </c>
      <c r="Y5685" s="12">
        <f>IF(OR(LEFT(K5685,4)="LVAX",LEFT(K5685,6)="MV15AX",LEFT(K5685,4)="CTAX",LEFT(K5685,2)="W|"),2*N5685*O5685,0)</f>
        <v/>
      </c>
      <c r="Z5685" s="12" t="inlineStr">
        <is>
          <t>VD 2.0 %</t>
        </is>
      </c>
      <c r="AA5685" s="12">
        <f>N5685*O5685</f>
        <v/>
      </c>
    </row>
    <row r="5686">
      <c r="A5686" s="12" t="inlineStr">
        <is>
          <t>K-P-0054</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SCADA antenna mast base (as drawn)</t>
        </is>
      </c>
      <c r="I5686" s="12" t="inlineStr">
        <is>
          <t>LV 600 V</t>
        </is>
      </c>
      <c r="J5686" s="12" t="inlineStr">
        <is>
          <t>ARMOR-X MC-HL 600 V 3/C Cu XHHW-2 + ground, CWA, black PVC (Class I Div 2)</t>
        </is>
      </c>
      <c r="K5686" s="12" t="inlineStr">
        <is>
          <t>LVAX|3/C+G|8</t>
        </is>
      </c>
      <c r="L5686" s="12" t="inlineStr">
        <is>
          <t>3/C+G</t>
        </is>
      </c>
      <c r="M5686" s="12" t="inlineStr">
        <is>
          <t>8</t>
        </is>
      </c>
      <c r="N5686" s="12" t="n">
        <v>1</v>
      </c>
      <c r="O5686" s="12" t="n">
        <v>1</v>
      </c>
      <c r="P5686" s="12" t="n">
        <v>480</v>
      </c>
      <c r="Q5686" s="12" t="n">
        <v>15</v>
      </c>
      <c r="R5686" s="12" t="n">
        <v>21.2</v>
      </c>
      <c r="S5686" s="12" t="inlineStr">
        <is>
          <t>Duct bank</t>
        </is>
      </c>
      <c r="T5686" s="16" t="n">
        <v>433</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is>
          <t>VD 3.0 %</t>
        </is>
      </c>
      <c r="AA5686" s="12">
        <f>N5686*O5686</f>
        <v/>
      </c>
    </row>
    <row r="5687">
      <c r="A5687" s="12" t="inlineStr">
        <is>
          <t>K-MV-0001</t>
        </is>
      </c>
      <c r="B5687" s="12" t="inlineStr">
        <is>
          <t>K</t>
        </is>
      </c>
      <c r="C5687" s="12" t="inlineStr">
        <is>
          <t>Fuel supply (adjacent market)</t>
        </is>
      </c>
      <c r="D5687" s="12" t="inlineStr">
        <is>
          <t>H2 13.8 kV e-house (electrolyzers)</t>
        </is>
      </c>
      <c r="E5687" s="12" t="inlineStr">
        <is>
          <t>SWGR-13.8-3</t>
        </is>
      </c>
      <c r="F5687" s="12" t="inlineStr">
        <is>
          <t>R1 SWGR-13.8-3 (11 x 36 in cubicles, 15 kV metal-clad)</t>
        </is>
      </c>
      <c r="G5687" s="12" t="inlineStr"/>
      <c r="H5687" s="12" t="inlineStr">
        <is>
          <t>H2 20: 13.8 kV e-house</t>
        </is>
      </c>
      <c r="I5687" s="12" t="inlineStr">
        <is>
          <t>MV 15 kV</t>
        </is>
      </c>
      <c r="J5687" s="12" t="inlineStr">
        <is>
          <t>MV-105 15 kV 1/C Cu, EPR 133%, Cu tape shield, PVC jacket (triplexed)</t>
        </is>
      </c>
      <c r="K5687" s="12" t="inlineStr">
        <is>
          <t>MV15|1/C|750</t>
        </is>
      </c>
      <c r="L5687" s="12" t="inlineStr">
        <is>
          <t>1/C</t>
        </is>
      </c>
      <c r="M5687" s="12" t="inlineStr">
        <is>
          <t>750 kcmil</t>
        </is>
      </c>
      <c r="N5687" s="12" t="n">
        <v>2</v>
      </c>
      <c r="O5687" s="12" t="n">
        <v>3</v>
      </c>
      <c r="P5687" s="12" t="n">
        <v>13800</v>
      </c>
      <c r="Q5687" s="12" t="n">
        <v>20000</v>
      </c>
      <c r="R5687" s="12" t="n">
        <v>837</v>
      </c>
      <c r="S5687" s="12" t="inlineStr">
        <is>
          <t>HV duct bank</t>
        </is>
      </c>
      <c r="T5687" s="16" t="n">
        <v>4013</v>
      </c>
      <c r="U5687" s="16" t="n">
        <v>128</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K-MV-0002</t>
        </is>
      </c>
      <c r="B5688" s="12" t="inlineStr">
        <is>
          <t>K</t>
        </is>
      </c>
      <c r="C5688" s="12" t="inlineStr">
        <is>
          <t>Fuel supply (adjacent market)</t>
        </is>
      </c>
      <c r="D5688" s="12" t="inlineStr">
        <is>
          <t>LNG e-house</t>
        </is>
      </c>
      <c r="E5688" s="12" t="inlineStr">
        <is>
          <t>SWGR-13.8-3</t>
        </is>
      </c>
      <c r="F5688" s="12" t="inlineStr">
        <is>
          <t>R1 SWGR-13.8-3 (11 x 36 in cubicles, 15 kV metal-clad)</t>
        </is>
      </c>
      <c r="G5688" s="12" t="inlineStr"/>
      <c r="H5688" s="12" t="inlineStr">
        <is>
          <t>LNG 17: LNG e-house (13.8 kV / 480 V)</t>
        </is>
      </c>
      <c r="I5688" s="12" t="inlineStr">
        <is>
          <t>MV 15 kV</t>
        </is>
      </c>
      <c r="J5688" s="12" t="inlineStr">
        <is>
          <t>MV-105 15 kV 1/C Cu, EPR 133%, Cu tape shield, PVC jacket (triplexed)</t>
        </is>
      </c>
      <c r="K5688" s="12" t="inlineStr">
        <is>
          <t>MV15|1/C|4/0</t>
        </is>
      </c>
      <c r="L5688" s="12" t="inlineStr">
        <is>
          <t>1/C</t>
        </is>
      </c>
      <c r="M5688" s="12" t="inlineStr">
        <is>
          <t>4/0</t>
        </is>
      </c>
      <c r="N5688" s="12" t="n">
        <v>1</v>
      </c>
      <c r="O5688" s="12" t="n">
        <v>3</v>
      </c>
      <c r="P5688" s="12" t="n">
        <v>13800</v>
      </c>
      <c r="Q5688" s="12" t="n">
        <v>5000</v>
      </c>
      <c r="R5688" s="12" t="n">
        <v>209</v>
      </c>
      <c r="S5688" s="12" t="inlineStr">
        <is>
          <t>Duct bank</t>
        </is>
      </c>
      <c r="T5688" s="16" t="n">
        <v>2649</v>
      </c>
      <c r="U5688" s="16" t="n">
        <v>219</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C-C-0128</t>
        </is>
      </c>
      <c r="B5689" s="12" t="inlineStr">
        <is>
          <t>C</t>
        </is>
      </c>
      <c r="C5689" s="12" t="inlineStr">
        <is>
          <t>Grid interface</t>
        </is>
      </c>
      <c r="D5689" s="12" t="inlineStr">
        <is>
          <t>Motor 1 of 2: control / local station</t>
        </is>
      </c>
      <c r="E5689" s="12" t="inlineStr">
        <is>
          <t>MCC-C1</t>
        </is>
      </c>
      <c r="F5689" s="12" t="inlineStr">
        <is>
          <t>R1 MCC-C1</t>
        </is>
      </c>
      <c r="G5689" s="12" t="inlineStr"/>
      <c r="H5689" s="12" t="inlineStr">
        <is>
          <t>Small-bore piping: instrument air, service water, nitrogen, HRSG drain</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Tray</t>
        </is>
      </c>
      <c r="T5689" s="16" t="n">
        <v>614</v>
      </c>
      <c r="U5689" s="16" t="n">
        <v>145</v>
      </c>
      <c r="V5689" s="16">
        <f>ROUNDUP((T5689+U5689+2*'Read Me'!$B$13)*(1+'Read Me'!$B$12),-1)</f>
        <v/>
      </c>
      <c r="W5689" s="16">
        <f>V5689*N5689*O5689</f>
        <v/>
      </c>
      <c r="X5689" s="12">
        <f>IF(LEFT(I5689,2)="MV",2*N5689*IF(L5689="1/C",O5689,1),0)</f>
        <v/>
      </c>
      <c r="Y5689" s="12">
        <f>IF(OR(LEFT(K5689,4)="LVAX",LEFT(K5689,6)="MV15AX",LEFT(K5689,4)="CTAX",LEFT(K5689,2)="W|"),2*N5689*O5689,0)</f>
        <v/>
      </c>
      <c r="Z5689" s="12" t="inlineStr"/>
      <c r="AA5689" s="12">
        <f>N5689*O5689</f>
        <v/>
      </c>
    </row>
    <row r="5690">
      <c r="A5690" s="12" t="inlineStr">
        <is>
          <t>C-C-0129</t>
        </is>
      </c>
      <c r="B5690" s="12" t="inlineStr">
        <is>
          <t>C</t>
        </is>
      </c>
      <c r="C5690" s="12" t="inlineStr">
        <is>
          <t>Grid interface</t>
        </is>
      </c>
      <c r="D5690" s="12" t="inlineStr">
        <is>
          <t>Motor 2 of 2: control / local station</t>
        </is>
      </c>
      <c r="E5690" s="12" t="inlineStr">
        <is>
          <t>MCC-C1</t>
        </is>
      </c>
      <c r="F5690" s="12" t="inlineStr">
        <is>
          <t>R1 MCC-C1</t>
        </is>
      </c>
      <c r="G5690" s="12" t="inlineStr"/>
      <c r="H5690" s="12" t="inlineStr">
        <is>
          <t>Small-bore piping: instrument air, service water, nitrogen, HRSG drain</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Tray</t>
        </is>
      </c>
      <c r="T5690" s="16" t="n">
        <v>614</v>
      </c>
      <c r="U5690" s="16" t="n">
        <v>145</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C-I-0081</t>
        </is>
      </c>
      <c r="B5691" s="12" t="inlineStr">
        <is>
          <t>C</t>
        </is>
      </c>
      <c r="C5691" s="12" t="inlineStr">
        <is>
          <t>Grid interface</t>
        </is>
      </c>
      <c r="D5691" s="12" t="inlineStr">
        <is>
          <t>Analog instrument to JB JB-Small-bore piping:-AI01: 10 x 1 pr (field cables)</t>
        </is>
      </c>
      <c r="E5691" s="12" t="inlineStr"/>
      <c r="F5691" s="12" t="inlineStr">
        <is>
          <t>Small-bore piping: instrument air, service water, nitrogen, HRSG drain</t>
        </is>
      </c>
      <c r="G5691" s="12" t="inlineStr">
        <is>
          <t>JB-Small-bore piping:-AI01</t>
        </is>
      </c>
      <c r="H5691" s="12" t="inlineStr">
        <is>
          <t>Small-bore piping: instrument air, service water, nitrogen, HRSG drain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10</v>
      </c>
      <c r="O5691" s="12" t="n">
        <v>1</v>
      </c>
      <c r="P5691" s="12" t="n"/>
      <c r="Q5691" s="12" t="n"/>
      <c r="R5691" s="12" t="n"/>
      <c r="S5691" s="12" t="inlineStr">
        <is>
          <t>Tray / conduit</t>
        </is>
      </c>
      <c r="T5691" s="16" t="n">
        <v>250</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C-I-0082</t>
        </is>
      </c>
      <c r="B5692" s="12" t="inlineStr">
        <is>
          <t>C</t>
        </is>
      </c>
      <c r="C5692" s="12" t="inlineStr">
        <is>
          <t>Grid interface</t>
        </is>
      </c>
      <c r="D5692" s="12" t="inlineStr">
        <is>
          <t>Home run JB-Small-bore piping:-AI01 to the control / marshalling room</t>
        </is>
      </c>
      <c r="E5692" s="12" t="inlineStr">
        <is>
          <t>R1</t>
        </is>
      </c>
      <c r="F5692" s="12" t="inlineStr">
        <is>
          <t>R1: main electrical building (64 x 180 ft)</t>
        </is>
      </c>
      <c r="G5692" s="12" t="inlineStr">
        <is>
          <t>JB-Small-bore piping:-AI01</t>
        </is>
      </c>
      <c r="H5692" s="12" t="inlineStr">
        <is>
          <t>Small-bore piping: instrument air, service water, nitrogen, HRSG drain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1218</v>
      </c>
      <c r="U5692" s="16" t="n">
        <v>200</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C-I-0083</t>
        </is>
      </c>
      <c r="B5693" s="12" t="inlineStr">
        <is>
          <t>C</t>
        </is>
      </c>
      <c r="C5693" s="12" t="inlineStr">
        <is>
          <t>Grid interface</t>
        </is>
      </c>
      <c r="D5693" s="12" t="inlineStr">
        <is>
          <t>Discrete device to JB JB-Small-bore piping:-DI01: 10 x 1 pr (field cables)</t>
        </is>
      </c>
      <c r="E5693" s="12" t="inlineStr"/>
      <c r="F5693" s="12" t="inlineStr">
        <is>
          <t>Small-bore piping: instrument air, service water, nitrogen, HRSG drain</t>
        </is>
      </c>
      <c r="G5693" s="12" t="inlineStr">
        <is>
          <t>JB-Small-bore piping:-DI01</t>
        </is>
      </c>
      <c r="H5693" s="12" t="inlineStr">
        <is>
          <t>Small-bore piping: instrument air, service water, nitrogen, HRSG drain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10</v>
      </c>
      <c r="O5693" s="12" t="n">
        <v>1</v>
      </c>
      <c r="P5693" s="12" t="n"/>
      <c r="Q5693" s="12" t="n"/>
      <c r="R5693" s="12" t="n"/>
      <c r="S5693" s="12" t="inlineStr">
        <is>
          <t>Tray / conduit</t>
        </is>
      </c>
      <c r="T5693" s="16" t="n">
        <v>250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C-I-0084</t>
        </is>
      </c>
      <c r="B5694" s="12" t="inlineStr">
        <is>
          <t>C</t>
        </is>
      </c>
      <c r="C5694" s="12" t="inlineStr">
        <is>
          <t>Grid interface</t>
        </is>
      </c>
      <c r="D5694" s="12" t="inlineStr">
        <is>
          <t>Home run JB-Small-bore piping:-DI01 to the control / marshalling room</t>
        </is>
      </c>
      <c r="E5694" s="12" t="inlineStr">
        <is>
          <t>R1</t>
        </is>
      </c>
      <c r="F5694" s="12" t="inlineStr">
        <is>
          <t>R1: main electrical building (64 x 180 ft)</t>
        </is>
      </c>
      <c r="G5694" s="12" t="inlineStr">
        <is>
          <t>JB-Small-bore piping:-DI01</t>
        </is>
      </c>
      <c r="H5694" s="12" t="inlineStr">
        <is>
          <t>Small-bore piping: instrument air, service water, nitrogen, HRSG drain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1218</v>
      </c>
      <c r="U5694" s="16" t="n">
        <v>200</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C-P-0006</t>
        </is>
      </c>
      <c r="B5695" s="12" t="inlineStr">
        <is>
          <t>C</t>
        </is>
      </c>
      <c r="C5695" s="12" t="inlineStr">
        <is>
          <t>Grid interface</t>
        </is>
      </c>
      <c r="D5695" s="12" t="inlineStr">
        <is>
          <t>Motor 1 of 2, 250 kW</t>
        </is>
      </c>
      <c r="E5695" s="12" t="inlineStr">
        <is>
          <t>MCC-C1</t>
        </is>
      </c>
      <c r="F5695" s="12" t="inlineStr">
        <is>
          <t>R1 MCC-C1</t>
        </is>
      </c>
      <c r="G5695" s="12" t="inlineStr"/>
      <c r="H5695" s="12" t="inlineStr">
        <is>
          <t>Small-bore piping: instrument air, service water, nitrogen, HRSG drain</t>
        </is>
      </c>
      <c r="I5695" s="12" t="inlineStr">
        <is>
          <t>LV 600 V</t>
        </is>
      </c>
      <c r="J5695" s="12" t="inlineStr">
        <is>
          <t>Type TC-ER 600 V 3/C Cu XHHW-2 + ground, PVC jacket</t>
        </is>
      </c>
      <c r="K5695" s="12" t="inlineStr">
        <is>
          <t>LV|3/C+G|250</t>
        </is>
      </c>
      <c r="L5695" s="12" t="inlineStr">
        <is>
          <t>3/C+G</t>
        </is>
      </c>
      <c r="M5695" s="12" t="inlineStr">
        <is>
          <t>250 kcmil</t>
        </is>
      </c>
      <c r="N5695" s="12" t="n">
        <v>2</v>
      </c>
      <c r="O5695" s="12" t="n">
        <v>1</v>
      </c>
      <c r="P5695" s="12" t="n">
        <v>480</v>
      </c>
      <c r="Q5695" s="12" t="n">
        <v>250</v>
      </c>
      <c r="R5695" s="12" t="n">
        <v>353.8</v>
      </c>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C-P-0007</t>
        </is>
      </c>
      <c r="B5696" s="12" t="inlineStr">
        <is>
          <t>C</t>
        </is>
      </c>
      <c r="C5696" s="12" t="inlineStr">
        <is>
          <t>Grid interface</t>
        </is>
      </c>
      <c r="D5696" s="12" t="inlineStr">
        <is>
          <t>Motor 2 of 2, 250 kW</t>
        </is>
      </c>
      <c r="E5696" s="12" t="inlineStr">
        <is>
          <t>MCC-C1</t>
        </is>
      </c>
      <c r="F5696" s="12" t="inlineStr">
        <is>
          <t>R1 MCC-C1</t>
        </is>
      </c>
      <c r="G5696" s="12" t="inlineStr"/>
      <c r="H5696" s="12" t="inlineStr">
        <is>
          <t>Small-bore piping: instrument air, service water, nitrogen, HRSG drain</t>
        </is>
      </c>
      <c r="I5696" s="12" t="inlineStr">
        <is>
          <t>LV 600 V</t>
        </is>
      </c>
      <c r="J5696" s="12" t="inlineStr">
        <is>
          <t>Type TC-ER 600 V 3/C Cu XHHW-2 + ground, PVC jacket</t>
        </is>
      </c>
      <c r="K5696" s="12" t="inlineStr">
        <is>
          <t>LV|3/C+G|250</t>
        </is>
      </c>
      <c r="L5696" s="12" t="inlineStr">
        <is>
          <t>3/C+G</t>
        </is>
      </c>
      <c r="M5696" s="12" t="inlineStr">
        <is>
          <t>250 kcmil</t>
        </is>
      </c>
      <c r="N5696" s="12" t="n">
        <v>2</v>
      </c>
      <c r="O5696" s="12" t="n">
        <v>1</v>
      </c>
      <c r="P5696" s="12" t="n">
        <v>480</v>
      </c>
      <c r="Q5696" s="12" t="n">
        <v>250</v>
      </c>
      <c r="R5696" s="12" t="n">
        <v>353.8</v>
      </c>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is>
          <t>VD 2.7 %</t>
        </is>
      </c>
      <c r="AA5696" s="12">
        <f>N5696*O5696</f>
        <v/>
      </c>
    </row>
  </sheetData>
  <autoFilter ref="A1:AA5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Schedule'!$AA$2:$AA$5696,'Cable Schedule'!$K$2:$K$5696,A2)</f>
        <v/>
      </c>
      <c r="G2" s="18">
        <f>SUMIFS('Cable Schedule'!$W$2:$W$5696,'Cable Schedule'!$K$2:$K$5696,A2)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Schedule'!$AA$2:$AA$5696,'Cable Schedule'!$K$2:$K$5696,A3)</f>
        <v/>
      </c>
      <c r="G3" s="18">
        <f>SUMIFS('Cable Schedule'!$W$2:$W$5696,'Cable Schedule'!$K$2:$K$5696,A3)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Schedule'!$AA$2:$AA$5696,'Cable Schedule'!$K$2:$K$5696,A4)</f>
        <v/>
      </c>
      <c r="G4" s="18">
        <f>SUMIFS('Cable Schedule'!$W$2:$W$5696,'Cable Schedule'!$K$2:$K$5696,A4)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Schedule'!$AA$2:$AA$5696,'Cable Schedule'!$K$2:$K$5696,A5)</f>
        <v/>
      </c>
      <c r="G5" s="18">
        <f>SUMIFS('Cable Schedule'!$W$2:$W$5696,'Cable Schedule'!$K$2:$K$5696,A5)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Schedule'!$AA$2:$AA$5696,'Cable Schedule'!$K$2:$K$5696,A6)</f>
        <v/>
      </c>
      <c r="G6" s="18">
        <f>SUMIFS('Cable Schedule'!$W$2:$W$5696,'Cable Schedule'!$K$2:$K$5696,A6)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Schedule'!$AA$2:$AA$5696,'Cable Schedule'!$K$2:$K$5696,A7)</f>
        <v/>
      </c>
      <c r="G7" s="18">
        <f>SUMIFS('Cable Schedule'!$W$2:$W$5696,'Cable Schedule'!$K$2:$K$5696,A7)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Schedule'!$AA$2:$AA$5696,'Cable Schedule'!$K$2:$K$5696,A8)</f>
        <v/>
      </c>
      <c r="G8" s="18">
        <f>SUMIFS('Cable Schedule'!$W$2:$W$5696,'Cable Schedule'!$K$2:$K$5696,A8)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Schedule'!$AA$2:$AA$5696,'Cable Schedule'!$K$2:$K$5696,A9)</f>
        <v/>
      </c>
      <c r="G9" s="18">
        <f>SUMIFS('Cable Schedule'!$W$2:$W$5696,'Cable Schedule'!$K$2:$K$5696,A9)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Schedule'!$AA$2:$AA$5696,'Cable Schedule'!$K$2:$K$5696,A10)</f>
        <v/>
      </c>
      <c r="G10" s="18">
        <f>SUMIFS('Cable Schedule'!$W$2:$W$5696,'Cable Schedule'!$K$2:$K$5696,A10)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Schedule'!$AA$2:$AA$5696,'Cable Schedule'!$K$2:$K$5696,A11)</f>
        <v/>
      </c>
      <c r="G11" s="18">
        <f>SUMIFS('Cable Schedule'!$W$2:$W$5696,'Cable Schedule'!$K$2:$K$5696,A11)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Schedule'!$AA$2:$AA$5696,'Cable Schedule'!$K$2:$K$5696,A12)</f>
        <v/>
      </c>
      <c r="G12" s="18">
        <f>SUMIFS('Cable Schedule'!$W$2:$W$5696,'Cable Schedule'!$K$2:$K$5696,A12)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Schedule'!$AA$2:$AA$5696,'Cable Schedule'!$K$2:$K$5696,A13)</f>
        <v/>
      </c>
      <c r="G13" s="18">
        <f>SUMIFS('Cable Schedule'!$W$2:$W$5696,'Cable Schedule'!$K$2:$K$5696,A13)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Schedule'!$AA$2:$AA$5696,'Cable Schedule'!$K$2:$K$5696,A14)</f>
        <v/>
      </c>
      <c r="G14" s="18">
        <f>SUMIFS('Cable Schedule'!$W$2:$W$5696,'Cable Schedule'!$K$2:$K$5696,A14)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Schedule'!$AA$2:$AA$5696,'Cable Schedule'!$K$2:$K$5696,A15)</f>
        <v/>
      </c>
      <c r="G15" s="18">
        <f>SUMIFS('Cable Schedule'!$W$2:$W$5696,'Cable Schedule'!$K$2:$K$5696,A15)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Schedule'!$AA$2:$AA$5696,'Cable Schedule'!$K$2:$K$5696,A16)</f>
        <v/>
      </c>
      <c r="G16" s="18">
        <f>SUMIFS('Cable Schedule'!$W$2:$W$5696,'Cable Schedule'!$K$2:$K$5696,A16)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Schedule'!$AA$2:$AA$5696,'Cable Schedule'!$K$2:$K$5696,A17)</f>
        <v/>
      </c>
      <c r="G17" s="18">
        <f>SUMIFS('Cable Schedule'!$W$2:$W$5696,'Cable Schedule'!$K$2:$K$5696,A17)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Schedule'!$AA$2:$AA$5696,'Cable Schedule'!$K$2:$K$5696,A18)</f>
        <v/>
      </c>
      <c r="G18" s="18">
        <f>SUMIFS('Cable Schedule'!$W$2:$W$5696,'Cable Schedule'!$K$2:$K$5696,A18)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Schedule'!$AA$2:$AA$5696,'Cable Schedule'!$K$2:$K$5696,A19)</f>
        <v/>
      </c>
      <c r="G19" s="18">
        <f>SUMIFS('Cable Schedule'!$W$2:$W$5696,'Cable Schedule'!$K$2:$K$5696,A19)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Schedule'!$AA$2:$AA$5696,'Cable Schedule'!$K$2:$K$5696,A20)</f>
        <v/>
      </c>
      <c r="G20" s="18">
        <f>SUMIFS('Cable Schedule'!$W$2:$W$5696,'Cable Schedule'!$K$2:$K$5696,A20)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Schedule'!$AA$2:$AA$5696,'Cable Schedule'!$K$2:$K$5696,A21)</f>
        <v/>
      </c>
      <c r="G21" s="18">
        <f>SUMIFS('Cable Schedule'!$W$2:$W$5696,'Cable Schedule'!$K$2:$K$5696,A21)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Schedule'!$AA$2:$AA$5696,'Cable Schedule'!$K$2:$K$5696,A22)</f>
        <v/>
      </c>
      <c r="G22" s="18">
        <f>SUMIFS('Cable Schedule'!$W$2:$W$5696,'Cable Schedule'!$K$2:$K$5696,A22)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Schedule'!$AA$2:$AA$5696,'Cable Schedule'!$K$2:$K$5696,A23)</f>
        <v/>
      </c>
      <c r="G23" s="18">
        <f>SUMIFS('Cable Schedule'!$W$2:$W$5696,'Cable Schedule'!$K$2:$K$5696,A23)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Schedule'!$AA$2:$AA$5696,'Cable Schedule'!$K$2:$K$5696,A24)</f>
        <v/>
      </c>
      <c r="G24" s="18">
        <f>SUMIFS('Cable Schedule'!$W$2:$W$5696,'Cable Schedule'!$K$2:$K$5696,A24)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Schedule'!$AA$2:$AA$5696,'Cable Schedule'!$K$2:$K$5696,A25)</f>
        <v/>
      </c>
      <c r="G25" s="18">
        <f>SUMIFS('Cable Schedule'!$W$2:$W$5696,'Cable Schedule'!$K$2:$K$5696,A25)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Schedule'!$AA$2:$AA$5696,'Cable Schedule'!$K$2:$K$5696,A26)</f>
        <v/>
      </c>
      <c r="G26" s="18">
        <f>SUMIFS('Cable Schedule'!$W$2:$W$5696,'Cable Schedule'!$K$2:$K$5696,A26)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Schedule'!$AA$2:$AA$5696,'Cable Schedule'!$K$2:$K$5696,A27)</f>
        <v/>
      </c>
      <c r="G27" s="18">
        <f>SUMIFS('Cable Schedule'!$W$2:$W$5696,'Cable Schedule'!$K$2:$K$5696,A27)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Schedule'!$AA$2:$AA$5696,'Cable Schedule'!$K$2:$K$5696,A28)</f>
        <v/>
      </c>
      <c r="G28" s="18">
        <f>SUMIFS('Cable Schedule'!$W$2:$W$5696,'Cable Schedule'!$K$2:$K$5696,A28)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Schedule'!$AA$2:$AA$5696,'Cable Schedule'!$K$2:$K$5696,A29)</f>
        <v/>
      </c>
      <c r="G29" s="18">
        <f>SUMIFS('Cable Schedule'!$W$2:$W$5696,'Cable Schedule'!$K$2:$K$5696,A29)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Schedule'!$AA$2:$AA$5696,'Cable Schedule'!$K$2:$K$5696,A30)</f>
        <v/>
      </c>
      <c r="G30" s="18">
        <f>SUMIFS('Cable Schedule'!$W$2:$W$5696,'Cable Schedule'!$K$2:$K$5696,A30)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Schedule'!$AA$2:$AA$5696,'Cable Schedule'!$K$2:$K$5696,A31)</f>
        <v/>
      </c>
      <c r="G31" s="18">
        <f>SUMIFS('Cable Schedule'!$W$2:$W$5696,'Cable Schedule'!$K$2:$K$5696,A31)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Schedule'!$AA$2:$AA$5696,'Cable Schedule'!$K$2:$K$5696,A32)</f>
        <v/>
      </c>
      <c r="G32" s="18">
        <f>SUMIFS('Cable Schedule'!$W$2:$W$5696,'Cable Schedule'!$K$2:$K$5696,A32)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Schedule'!$AA$2:$AA$5696,'Cable Schedule'!$K$2:$K$5696,A33)</f>
        <v/>
      </c>
      <c r="G33" s="18">
        <f>SUMIFS('Cable Schedule'!$W$2:$W$5696,'Cable Schedule'!$K$2:$K$5696,A33)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Schedule'!$AA$2:$AA$5696,'Cable Schedule'!$K$2:$K$5696,A34)</f>
        <v/>
      </c>
      <c r="G34" s="18">
        <f>SUMIFS('Cable Schedule'!$W$2:$W$5696,'Cable Schedule'!$K$2:$K$5696,A34)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Schedule'!$AA$2:$AA$5696,'Cable Schedule'!$K$2:$K$5696,A35)</f>
        <v/>
      </c>
      <c r="G35" s="18">
        <f>SUMIFS('Cable Schedule'!$W$2:$W$5696,'Cable Schedule'!$K$2:$K$5696,A35)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Schedule'!$AA$2:$AA$5696,'Cable Schedule'!$K$2:$K$5696,A36)</f>
        <v/>
      </c>
      <c r="G36" s="18">
        <f>SUMIFS('Cable Schedule'!$W$2:$W$5696,'Cable Schedule'!$K$2:$K$5696,A36)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Schedule'!$AA$2:$AA$5696,'Cable Schedule'!$K$2:$K$5696,A37)</f>
        <v/>
      </c>
      <c r="G37" s="18">
        <f>SUMIFS('Cable Schedule'!$W$2:$W$5696,'Cable Schedule'!$K$2:$K$5696,A37)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Schedule'!$AA$2:$AA$5696,'Cable Schedule'!$K$2:$K$5696,A38)</f>
        <v/>
      </c>
      <c r="G38" s="18">
        <f>SUMIFS('Cable Schedule'!$W$2:$W$5696,'Cable Schedule'!$K$2:$K$5696,A38)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Schedule'!$AA$2:$AA$5696,'Cable Schedule'!$K$2:$K$5696,A39)</f>
        <v/>
      </c>
      <c r="G39" s="18">
        <f>SUMIFS('Cable Schedule'!$W$2:$W$5696,'Cable Schedule'!$K$2:$K$5696,A39)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Schedule'!$AA$2:$AA$5696,'Cable Schedule'!$K$2:$K$5696,A40)</f>
        <v/>
      </c>
      <c r="G40" s="18">
        <f>SUMIFS('Cable Schedule'!$W$2:$W$5696,'Cable Schedule'!$K$2:$K$5696,A40)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Schedule'!$AA$2:$AA$5696,'Cable Schedule'!$K$2:$K$5696,A41)</f>
        <v/>
      </c>
      <c r="G41" s="18">
        <f>SUMIFS('Cable Schedule'!$W$2:$W$5696,'Cable Schedule'!$K$2:$K$5696,A41)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Schedule'!$AA$2:$AA$5696,'Cable Schedule'!$K$2:$K$5696,A42)</f>
        <v/>
      </c>
      <c r="G42" s="18">
        <f>SUMIFS('Cable Schedule'!$W$2:$W$5696,'Cable Schedule'!$K$2:$K$5696,A42)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Schedule'!$AA$2:$AA$5696,'Cable Schedule'!$K$2:$K$5696,A43)</f>
        <v/>
      </c>
      <c r="G43" s="18">
        <f>SUMIFS('Cable Schedule'!$W$2:$W$5696,'Cable Schedule'!$K$2:$K$5696,A43)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Schedule'!$AA$2:$AA$5696,'Cable Schedule'!$K$2:$K$5696,A44)</f>
        <v/>
      </c>
      <c r="G44" s="18">
        <f>SUMIFS('Cable Schedule'!$W$2:$W$5696,'Cable Schedule'!$K$2:$K$5696,A44)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Schedule'!$AA$2:$AA$5696,'Cable Schedule'!$K$2:$K$5696,A45)</f>
        <v/>
      </c>
      <c r="G45" s="18">
        <f>SUMIFS('Cable Schedule'!$W$2:$W$5696,'Cable Schedule'!$K$2:$K$5696,A45)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Schedule'!$AA$2:$AA$5696,'Cable Schedule'!$K$2:$K$5696,A46)</f>
        <v/>
      </c>
      <c r="G46" s="18">
        <f>SUMIFS('Cable Schedule'!$W$2:$W$5696,'Cable Schedule'!$K$2:$K$5696,A46)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Schedule'!$AA$2:$AA$5696,'Cable Schedule'!$K$2:$K$5696,A47)</f>
        <v/>
      </c>
      <c r="G47" s="18">
        <f>SUMIFS('Cable Schedule'!$W$2:$W$5696,'Cable Schedule'!$K$2:$K$5696,A47)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Schedule'!$AA$2:$AA$5696,'Cable Schedule'!$K$2:$K$5696,A48)</f>
        <v/>
      </c>
      <c r="G48" s="18">
        <f>SUMIFS('Cable Schedule'!$W$2:$W$5696,'Cable Schedule'!$K$2:$K$5696,A48)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Schedule'!$AA$2:$AA$5696,'Cable Schedule'!$K$2:$K$5696,A49)</f>
        <v/>
      </c>
      <c r="G49" s="18">
        <f>SUMIFS('Cable Schedule'!$W$2:$W$5696,'Cable Schedule'!$K$2:$K$5696,A49)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Schedule'!$AA$2:$AA$5696,'Cable Schedule'!$K$2:$K$5696,A50)</f>
        <v/>
      </c>
      <c r="G50" s="18">
        <f>SUMIFS('Cable Schedule'!$W$2:$W$5696,'Cable Schedule'!$K$2:$K$5696,A50)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Schedule'!$AA$2:$AA$5696,'Cable Schedule'!$K$2:$K$5696,A51)</f>
        <v/>
      </c>
      <c r="G51" s="18">
        <f>SUMIFS('Cable Schedule'!$W$2:$W$5696,'Cable Schedule'!$K$2:$K$5696,A51)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Schedule'!$AA$2:$AA$5696,'Cable Schedule'!$K$2:$K$5696,A52)</f>
        <v/>
      </c>
      <c r="G52" s="18">
        <f>SUMIFS('Cable Schedule'!$W$2:$W$5696,'Cable Schedule'!$K$2:$K$5696,A52)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Schedule'!$AA$2:$AA$5696,'Cable Schedule'!$K$2:$K$5696,A53)</f>
        <v/>
      </c>
      <c r="G53" s="18">
        <f>SUMIFS('Cable Schedule'!$W$2:$W$5696,'Cable Schedule'!$K$2:$K$5696,A53)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Schedule'!$AA$2:$AA$5696,'Cable Schedule'!$K$2:$K$5696,A54)</f>
        <v/>
      </c>
      <c r="G54" s="18">
        <f>SUMIFS('Cable Schedule'!$W$2:$W$5696,'Cable Schedule'!$K$2:$K$5696,A54)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Schedule'!$AA$2:$AA$5696,'Cable Schedule'!$K$2:$K$5696,A55)</f>
        <v/>
      </c>
      <c r="G55" s="18">
        <f>SUMIFS('Cable Schedule'!$W$2:$W$5696,'Cable Schedule'!$K$2:$K$5696,A55)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Schedule'!$AA$2:$AA$5696,'Cable Schedule'!$K$2:$K$5696,A56)</f>
        <v/>
      </c>
      <c r="G56" s="18">
        <f>SUMIFS('Cable Schedule'!$W$2:$W$5696,'Cable Schedule'!$K$2:$K$5696,A56)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Schedule'!$AA$2:$AA$5696,'Cable Schedule'!$K$2:$K$5696,A57)</f>
        <v/>
      </c>
      <c r="G57" s="18">
        <f>SUMIFS('Cable Schedule'!$W$2:$W$5696,'Cable Schedule'!$K$2:$K$5696,A57)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Schedule'!$AA$2:$AA$5696,'Cable Schedule'!$K$2:$K$5696,A58)</f>
        <v/>
      </c>
      <c r="G58" s="18">
        <f>SUMIFS('Cable Schedule'!$W$2:$W$5696,'Cable Schedule'!$K$2:$K$5696,A58)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Schedule'!$AA$2:$AA$5696,'Cable Schedule'!$K$2:$K$5696,A59)</f>
        <v/>
      </c>
      <c r="G59" s="18">
        <f>SUMIFS('Cable Schedule'!$W$2:$W$5696,'Cable Schedule'!$K$2:$K$5696,A59)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Schedule'!$AA$2:$AA$5696,'Cable Schedule'!$K$2:$K$5696,A60)</f>
        <v/>
      </c>
      <c r="G60" s="18">
        <f>SUMIFS('Cable Schedule'!$W$2:$W$5696,'Cable Schedule'!$K$2:$K$5696,A60)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Schedule'!$AA$2:$AA$5696,'Cable Schedule'!$K$2:$K$5696,A61)</f>
        <v/>
      </c>
      <c r="G61" s="18">
        <f>SUMIFS('Cable Schedule'!$W$2:$W$5696,'Cable Schedule'!$K$2:$K$5696,A61)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Schedule'!$AA$2:$AA$5696,'Cable Schedule'!$K$2:$K$5696,A62)</f>
        <v/>
      </c>
      <c r="G62" s="18">
        <f>SUMIFS('Cable Schedule'!$W$2:$W$5696,'Cable Schedule'!$K$2:$K$5696,A62)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Schedule'!$AA$2:$AA$5696,'Cable Schedule'!$K$2:$K$5696,A63)</f>
        <v/>
      </c>
      <c r="G63" s="18">
        <f>SUMIFS('Cable Schedule'!$W$2:$W$5696,'Cable Schedule'!$K$2:$K$5696,A63)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Schedule'!$AA$2:$AA$5696,'Cable Schedule'!$K$2:$K$5696,A64)</f>
        <v/>
      </c>
      <c r="G64" s="18">
        <f>SUMIFS('Cable Schedule'!$W$2:$W$5696,'Cable Schedule'!$K$2:$K$5696,A64)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Schedule'!$AA$2:$AA$5696,'Cable Schedule'!$K$2:$K$5696,A65)</f>
        <v/>
      </c>
      <c r="G65" s="18">
        <f>SUMIFS('Cable Schedule'!$W$2:$W$5696,'Cable Schedule'!$K$2:$K$5696,A65)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Schedule'!$AA$2:$AA$5696,'Cable Schedule'!$K$2:$K$5696,A66)</f>
        <v/>
      </c>
      <c r="G66" s="18">
        <f>SUMIFS('Cable Schedule'!$W$2:$W$5696,'Cable Schedule'!$K$2:$K$5696,A66)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Schedule'!$AA$2:$AA$5696,'Cable Schedule'!$K$2:$K$5696,A67)</f>
        <v/>
      </c>
      <c r="G67" s="18">
        <f>SUMIFS('Cable Schedule'!$W$2:$W$5696,'Cable Schedule'!$K$2:$K$5696,A67)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Schedule'!$AA$2:$AA$5696,'Cable Schedule'!$K$2:$K$5696,A68)</f>
        <v/>
      </c>
      <c r="G68" s="18">
        <f>SUMIFS('Cable Schedule'!$W$2:$W$5696,'Cable Schedule'!$K$2:$K$5696,A68)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Schedule'!$AA$2:$AA$5696,'Cable Schedule'!$K$2:$K$5696,A69)</f>
        <v/>
      </c>
      <c r="G69" s="18">
        <f>SUMIFS('Cable Schedule'!$W$2:$W$5696,'Cable Schedule'!$K$2:$K$5696,A69)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Schedule'!$AA$2:$AA$5696,'Cable Schedule'!$K$2:$K$5696,A70)</f>
        <v/>
      </c>
      <c r="G70" s="18">
        <f>SUMIFS('Cable Schedule'!$W$2:$W$5696,'Cable Schedule'!$K$2:$K$5696,A70)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Schedule'!$AA$2:$AA$5696,'Cable Schedule'!$K$2:$K$5696,A71)</f>
        <v/>
      </c>
      <c r="G71" s="18">
        <f>SUMIFS('Cable Schedule'!$W$2:$W$5696,'Cable Schedule'!$K$2:$K$5696,A71)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Schedule'!$AA$2:$AA$5696,'Cable Schedule'!$K$2:$K$5696,A72)</f>
        <v/>
      </c>
      <c r="G72" s="18">
        <f>SUMIFS('Cable Schedule'!$W$2:$W$5696,'Cable Schedule'!$K$2:$K$5696,A72)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Schedule'!$AA$2:$AA$5696,'Cable Schedule'!$K$2:$K$5696,A73)</f>
        <v/>
      </c>
      <c r="G73" s="18">
        <f>SUMIFS('Cable Schedule'!$W$2:$W$5696,'Cable Schedule'!$K$2:$K$5696,A73)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Schedule'!$AA$2:$AA$5696,'Cable Schedule'!$K$2:$K$5696,A74)</f>
        <v/>
      </c>
      <c r="G74" s="18">
        <f>SUMIFS('Cable Schedule'!$W$2:$W$5696,'Cable Schedule'!$K$2:$K$5696,A74)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Schedule'!$AA$2:$AA$5696,'Cable Schedule'!$K$2:$K$5696,A75)</f>
        <v/>
      </c>
      <c r="G75" s="18">
        <f>SUMIFS('Cable Schedule'!$W$2:$W$5696,'Cable Schedule'!$K$2:$K$5696,A75)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Schedule'!$AA$2:$AA$5696,'Cable Schedule'!$K$2:$K$5696,A76)</f>
        <v/>
      </c>
      <c r="G76" s="18">
        <f>SUMIFS('Cable Schedule'!$W$2:$W$5696,'Cable Schedule'!$K$2:$K$5696,A76)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Schedule'!$AA$2:$AA$5696,'Cable Schedule'!$K$2:$K$5696,A77)</f>
        <v/>
      </c>
      <c r="G77" s="18">
        <f>SUMIFS('Cable Schedule'!$W$2:$W$5696,'Cable Schedule'!$K$2:$K$5696,A77)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Schedule'!$AA$2:$AA$5696,'Cable Schedule'!$K$2:$K$5696,A78)</f>
        <v/>
      </c>
      <c r="G78" s="18">
        <f>SUMIFS('Cable Schedule'!$W$2:$W$5696,'Cable Schedule'!$K$2:$K$5696,A78)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Schedule'!$AA$2:$AA$5696,'Cable Schedule'!$K$2:$K$5696,A79)</f>
        <v/>
      </c>
      <c r="G79" s="18">
        <f>SUMIFS('Cable Schedule'!$W$2:$W$5696,'Cable Schedule'!$K$2:$K$5696,A79)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Schedule'!$AA$2:$AA$5696,'Cable Schedule'!$K$2:$K$5696,A80)</f>
        <v/>
      </c>
      <c r="G80" s="18">
        <f>SUMIFS('Cable Schedule'!$W$2:$W$5696,'Cable Schedule'!$K$2:$K$5696,A80)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Schedule'!$AA$2:$AA$5696,'Cable Schedule'!$K$2:$K$5696,A81)</f>
        <v/>
      </c>
      <c r="G81" s="18">
        <f>SUMIFS('Cable Schedule'!$W$2:$W$5696,'Cable Schedule'!$K$2:$K$5696,A81)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Schedule'!$AA$2:$AA$5696,'Cable Schedule'!$K$2:$K$5696,A82)</f>
        <v/>
      </c>
      <c r="G82" s="18">
        <f>SUMIFS('Cable Schedule'!$W$2:$W$5696,'Cable Schedule'!$K$2:$K$5696,A82)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Schedule'!X2:X5696)</f>
        <v/>
      </c>
    </row>
    <row r="3">
      <c r="A3" s="12" t="inlineStr">
        <is>
          <t>ARMOR-X / Type W connectors and glands</t>
        </is>
      </c>
      <c r="B3" s="18">
        <f>SUM('Cable Schedule'!Y2:Y5696)</f>
        <v/>
      </c>
    </row>
    <row r="4">
      <c r="A4" s="12" t="inlineStr">
        <is>
          <t>MV splice kits (allowance: 1 per 2,500 ft of MV 1/C)</t>
        </is>
      </c>
      <c r="B4" s="18">
        <f>ROUNDUP(SUMIFS('Cable Schedule'!W2:W5696,'Cable Schedule'!I2:I5696,"MV*",'Cable Schedule'!L2:L5696,"1/C")/2500,0)</f>
        <v/>
      </c>
    </row>
    <row r="5">
      <c r="A5" s="12" t="inlineStr">
        <is>
          <t>230 kV outdoor terminations</t>
        </is>
      </c>
      <c r="B5" s="18">
        <f>2*SUMIFS('Cable Schedule'!O2:O5696,'Cable Schedule'!I2:I5696,"HV 230 kV")</f>
        <v/>
      </c>
    </row>
    <row r="6">
      <c r="A6" s="12" t="inlineStr">
        <is>
          <t>600 V compression lugs (power, 4 per end)</t>
        </is>
      </c>
      <c r="B6" s="18">
        <f>2*4*SUMIFS('Cable Schedule'!N2:N5696,'Cable Schedule'!I2:I5696,"LV 600 V")</f>
        <v/>
      </c>
    </row>
    <row r="7">
      <c r="A7" s="12" t="inlineStr">
        <is>
          <t>Instrument / control cable glands (2 per run)</t>
        </is>
      </c>
      <c r="B7" s="18">
        <f>2*(COUNTIF('Cable Schedule'!I2:I5696,"Control")+COUNTIF('Cable Schedule'!I2:I5696,"Instrumentation"))</f>
        <v/>
      </c>
    </row>
    <row r="8">
      <c r="A8" s="12" t="inlineStr">
        <is>
          <t>Fibre patch / termination (2 per link)</t>
        </is>
      </c>
      <c r="B8" s="18">
        <f>2*COUNTIF('Cable Schedule'!I2:I5696,"Fibre / data")</f>
        <v/>
      </c>
    </row>
    <row r="9">
      <c r="A9" s="12" t="inlineStr">
        <is>
          <t>Ground connections: exothermic welds (allowance 1 per 25 ft of grid)</t>
        </is>
      </c>
      <c r="B9" s="18">
        <f>ROUNDUP(SUMIFS('Cable Schedule'!W2:W5696,'Cable Schedule'!I2:I5696,"Grounding")/25,0)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Schedule'!$W$2:$W$5696,'Cable Schedule'!$B$2:$B$5696,"A",'Cable Schedule'!$I$2:$I$5696,"MV 15 kV")</f>
        <v/>
      </c>
      <c r="C3" s="18">
        <f>SUMIFS('Cable Schedule'!$W$2:$W$5696,'Cable Schedule'!$B$2:$B$5696,"A",'Cable Schedule'!$I$2:$I$5696,"MV 5 kV")</f>
        <v/>
      </c>
      <c r="D3" s="18">
        <f>SUMIFS('Cable Schedule'!$W$2:$W$5696,'Cable Schedule'!$B$2:$B$5696,"A",'Cable Schedule'!$I$2:$I$5696,"MV 25 kV")</f>
        <v/>
      </c>
      <c r="E3" s="18">
        <f>SUMIFS('Cable Schedule'!$W$2:$W$5696,'Cable Schedule'!$B$2:$B$5696,"A",'Cable Schedule'!$I$2:$I$5696,"MV 35 kV")</f>
        <v/>
      </c>
      <c r="F3" s="18">
        <f>SUMIFS('Cable Schedule'!$W$2:$W$5696,'Cable Schedule'!$B$2:$B$5696,"A",'Cable Schedule'!$I$2:$I$5696,"HV 230 kV")</f>
        <v/>
      </c>
      <c r="G3" s="18">
        <f>SUMIFS('Cable Schedule'!$W$2:$W$5696,'Cable Schedule'!$B$2:$B$5696,"A",'Cable Schedule'!$I$2:$I$5696,"LV 600 V")</f>
        <v/>
      </c>
      <c r="H3" s="18">
        <f>SUMIFS('Cable Schedule'!$W$2:$W$5696,'Cable Schedule'!$B$2:$B$5696,"A",'Cable Schedule'!$I$2:$I$5696,"Control")</f>
        <v/>
      </c>
      <c r="I3" s="18">
        <f>SUMIFS('Cable Schedule'!$W$2:$W$5696,'Cable Schedule'!$B$2:$B$5696,"A",'Cable Schedule'!$I$2:$I$5696,"Instrumentation")</f>
        <v/>
      </c>
      <c r="J3" s="18">
        <f>SUMIFS('Cable Schedule'!$W$2:$W$5696,'Cable Schedule'!$B$2:$B$5696,"A",'Cable Schedule'!$I$2:$I$5696,"Fire alarm")</f>
        <v/>
      </c>
      <c r="K3" s="18">
        <f>SUMIFS('Cable Schedule'!$W$2:$W$5696,'Cable Schedule'!$B$2:$B$5696,"A",'Cable Schedule'!$I$2:$I$5696,"Fibre / data")</f>
        <v/>
      </c>
      <c r="L3" s="18">
        <f>SUMIFS('Cable Schedule'!$W$2:$W$5696,'Cable Schedule'!$B$2:$B$5696,"A",'Cable Schedule'!$I$2:$I$5696,"DC 2 kV")</f>
        <v/>
      </c>
      <c r="M3" s="18">
        <f>SUMIFS('Cable Schedule'!$W$2:$W$5696,'Cable Schedule'!$B$2:$B$5696,"A",'Cable Schedule'!$I$2:$I$5696,"Portable MV")</f>
        <v/>
      </c>
      <c r="N3" s="18">
        <f>SUMIFS('Cable Schedule'!$W$2:$W$5696,'Cable Schedule'!$B$2:$B$5696,"A",'Cable Schedule'!$I$2:$I$5696,"Portable LV")</f>
        <v/>
      </c>
      <c r="O3" s="18">
        <f>SUMIFS('Cable Schedule'!$W$2:$W$5696,'Cable Schedule'!$B$2:$B$5696,"A",'Cable Schedule'!$I$2:$I$5696,"Building wire")</f>
        <v/>
      </c>
      <c r="P3" s="18">
        <f>SUMIFS('Cable Schedule'!$W$2:$W$5696,'Cable Schedule'!$B$2:$B$5696,"A",'Cable Schedule'!$I$2:$I$5696,"Grounding")</f>
        <v/>
      </c>
      <c r="Q3" s="18">
        <f>SUMIFS('Cable Schedule'!$W$2:$W$5696,'Cable Schedule'!$B$2:$B$5696,"A",'Cable Schedule'!$I$2:$I$5696,"Overhead")</f>
        <v/>
      </c>
      <c r="R3" s="28">
        <f>SUM(B3:Q3)</f>
        <v/>
      </c>
    </row>
    <row r="4">
      <c r="A4" s="12" t="inlineStr">
        <is>
          <t>B  ACC</t>
        </is>
      </c>
      <c r="B4" s="18">
        <f>SUMIFS('Cable Schedule'!$W$2:$W$5696,'Cable Schedule'!$B$2:$B$5696,"B",'Cable Schedule'!$I$2:$I$5696,"MV 15 kV")</f>
        <v/>
      </c>
      <c r="C4" s="18">
        <f>SUMIFS('Cable Schedule'!$W$2:$W$5696,'Cable Schedule'!$B$2:$B$5696,"B",'Cable Schedule'!$I$2:$I$5696,"MV 5 kV")</f>
        <v/>
      </c>
      <c r="D4" s="18">
        <f>SUMIFS('Cable Schedule'!$W$2:$W$5696,'Cable Schedule'!$B$2:$B$5696,"B",'Cable Schedule'!$I$2:$I$5696,"MV 25 kV")</f>
        <v/>
      </c>
      <c r="E4" s="18">
        <f>SUMIFS('Cable Schedule'!$W$2:$W$5696,'Cable Schedule'!$B$2:$B$5696,"B",'Cable Schedule'!$I$2:$I$5696,"MV 35 kV")</f>
        <v/>
      </c>
      <c r="F4" s="18">
        <f>SUMIFS('Cable Schedule'!$W$2:$W$5696,'Cable Schedule'!$B$2:$B$5696,"B",'Cable Schedule'!$I$2:$I$5696,"HV 230 kV")</f>
        <v/>
      </c>
      <c r="G4" s="18">
        <f>SUMIFS('Cable Schedule'!$W$2:$W$5696,'Cable Schedule'!$B$2:$B$5696,"B",'Cable Schedule'!$I$2:$I$5696,"LV 600 V")</f>
        <v/>
      </c>
      <c r="H4" s="18">
        <f>SUMIFS('Cable Schedule'!$W$2:$W$5696,'Cable Schedule'!$B$2:$B$5696,"B",'Cable Schedule'!$I$2:$I$5696,"Control")</f>
        <v/>
      </c>
      <c r="I4" s="18">
        <f>SUMIFS('Cable Schedule'!$W$2:$W$5696,'Cable Schedule'!$B$2:$B$5696,"B",'Cable Schedule'!$I$2:$I$5696,"Instrumentation")</f>
        <v/>
      </c>
      <c r="J4" s="18">
        <f>SUMIFS('Cable Schedule'!$W$2:$W$5696,'Cable Schedule'!$B$2:$B$5696,"B",'Cable Schedule'!$I$2:$I$5696,"Fire alarm")</f>
        <v/>
      </c>
      <c r="K4" s="18">
        <f>SUMIFS('Cable Schedule'!$W$2:$W$5696,'Cable Schedule'!$B$2:$B$5696,"B",'Cable Schedule'!$I$2:$I$5696,"Fibre / data")</f>
        <v/>
      </c>
      <c r="L4" s="18">
        <f>SUMIFS('Cable Schedule'!$W$2:$W$5696,'Cable Schedule'!$B$2:$B$5696,"B",'Cable Schedule'!$I$2:$I$5696,"DC 2 kV")</f>
        <v/>
      </c>
      <c r="M4" s="18">
        <f>SUMIFS('Cable Schedule'!$W$2:$W$5696,'Cable Schedule'!$B$2:$B$5696,"B",'Cable Schedule'!$I$2:$I$5696,"Portable MV")</f>
        <v/>
      </c>
      <c r="N4" s="18">
        <f>SUMIFS('Cable Schedule'!$W$2:$W$5696,'Cable Schedule'!$B$2:$B$5696,"B",'Cable Schedule'!$I$2:$I$5696,"Portable LV")</f>
        <v/>
      </c>
      <c r="O4" s="18">
        <f>SUMIFS('Cable Schedule'!$W$2:$W$5696,'Cable Schedule'!$B$2:$B$5696,"B",'Cable Schedule'!$I$2:$I$5696,"Building wire")</f>
        <v/>
      </c>
      <c r="P4" s="18">
        <f>SUMIFS('Cable Schedule'!$W$2:$W$5696,'Cable Schedule'!$B$2:$B$5696,"B",'Cable Schedule'!$I$2:$I$5696,"Grounding")</f>
        <v/>
      </c>
      <c r="Q4" s="18">
        <f>SUMIFS('Cable Schedule'!$W$2:$W$5696,'Cable Schedule'!$B$2:$B$5696,"B",'Cable Schedule'!$I$2:$I$5696,"Overhead")</f>
        <v/>
      </c>
      <c r="R4" s="28">
        <f>SUM(B4:Q4)</f>
        <v/>
      </c>
    </row>
    <row r="5">
      <c r="A5" s="12" t="inlineStr">
        <is>
          <t>C  Grid interface</t>
        </is>
      </c>
      <c r="B5" s="18">
        <f>SUMIFS('Cable Schedule'!$W$2:$W$5696,'Cable Schedule'!$B$2:$B$5696,"C",'Cable Schedule'!$I$2:$I$5696,"MV 15 kV")</f>
        <v/>
      </c>
      <c r="C5" s="18">
        <f>SUMIFS('Cable Schedule'!$W$2:$W$5696,'Cable Schedule'!$B$2:$B$5696,"C",'Cable Schedule'!$I$2:$I$5696,"MV 5 kV")</f>
        <v/>
      </c>
      <c r="D5" s="18">
        <f>SUMIFS('Cable Schedule'!$W$2:$W$5696,'Cable Schedule'!$B$2:$B$5696,"C",'Cable Schedule'!$I$2:$I$5696,"MV 25 kV")</f>
        <v/>
      </c>
      <c r="E5" s="18">
        <f>SUMIFS('Cable Schedule'!$W$2:$W$5696,'Cable Schedule'!$B$2:$B$5696,"C",'Cable Schedule'!$I$2:$I$5696,"MV 35 kV")</f>
        <v/>
      </c>
      <c r="F5" s="18">
        <f>SUMIFS('Cable Schedule'!$W$2:$W$5696,'Cable Schedule'!$B$2:$B$5696,"C",'Cable Schedule'!$I$2:$I$5696,"HV 230 kV")</f>
        <v/>
      </c>
      <c r="G5" s="18">
        <f>SUMIFS('Cable Schedule'!$W$2:$W$5696,'Cable Schedule'!$B$2:$B$5696,"C",'Cable Schedule'!$I$2:$I$5696,"LV 600 V")</f>
        <v/>
      </c>
      <c r="H5" s="18">
        <f>SUMIFS('Cable Schedule'!$W$2:$W$5696,'Cable Schedule'!$B$2:$B$5696,"C",'Cable Schedule'!$I$2:$I$5696,"Control")</f>
        <v/>
      </c>
      <c r="I5" s="18">
        <f>SUMIFS('Cable Schedule'!$W$2:$W$5696,'Cable Schedule'!$B$2:$B$5696,"C",'Cable Schedule'!$I$2:$I$5696,"Instrumentation")</f>
        <v/>
      </c>
      <c r="J5" s="18">
        <f>SUMIFS('Cable Schedule'!$W$2:$W$5696,'Cable Schedule'!$B$2:$B$5696,"C",'Cable Schedule'!$I$2:$I$5696,"Fire alarm")</f>
        <v/>
      </c>
      <c r="K5" s="18">
        <f>SUMIFS('Cable Schedule'!$W$2:$W$5696,'Cable Schedule'!$B$2:$B$5696,"C",'Cable Schedule'!$I$2:$I$5696,"Fibre / data")</f>
        <v/>
      </c>
      <c r="L5" s="18">
        <f>SUMIFS('Cable Schedule'!$W$2:$W$5696,'Cable Schedule'!$B$2:$B$5696,"C",'Cable Schedule'!$I$2:$I$5696,"DC 2 kV")</f>
        <v/>
      </c>
      <c r="M5" s="18">
        <f>SUMIFS('Cable Schedule'!$W$2:$W$5696,'Cable Schedule'!$B$2:$B$5696,"C",'Cable Schedule'!$I$2:$I$5696,"Portable MV")</f>
        <v/>
      </c>
      <c r="N5" s="18">
        <f>SUMIFS('Cable Schedule'!$W$2:$W$5696,'Cable Schedule'!$B$2:$B$5696,"C",'Cable Schedule'!$I$2:$I$5696,"Portable LV")</f>
        <v/>
      </c>
      <c r="O5" s="18">
        <f>SUMIFS('Cable Schedule'!$W$2:$W$5696,'Cable Schedule'!$B$2:$B$5696,"C",'Cable Schedule'!$I$2:$I$5696,"Building wire")</f>
        <v/>
      </c>
      <c r="P5" s="18">
        <f>SUMIFS('Cable Schedule'!$W$2:$W$5696,'Cable Schedule'!$B$2:$B$5696,"C",'Cable Schedule'!$I$2:$I$5696,"Grounding")</f>
        <v/>
      </c>
      <c r="Q5" s="18">
        <f>SUMIFS('Cable Schedule'!$W$2:$W$5696,'Cable Schedule'!$B$2:$B$5696,"C",'Cable Schedule'!$I$2:$I$5696,"Overhead")</f>
        <v/>
      </c>
      <c r="R5" s="28">
        <f>SUM(B5:Q5)</f>
        <v/>
      </c>
    </row>
    <row r="6">
      <c r="A6" s="12" t="inlineStr">
        <is>
          <t>D  Fuel gas</t>
        </is>
      </c>
      <c r="B6" s="18">
        <f>SUMIFS('Cable Schedule'!$W$2:$W$5696,'Cable Schedule'!$B$2:$B$5696,"D",'Cable Schedule'!$I$2:$I$5696,"MV 15 kV")</f>
        <v/>
      </c>
      <c r="C6" s="18">
        <f>SUMIFS('Cable Schedule'!$W$2:$W$5696,'Cable Schedule'!$B$2:$B$5696,"D",'Cable Schedule'!$I$2:$I$5696,"MV 5 kV")</f>
        <v/>
      </c>
      <c r="D6" s="18">
        <f>SUMIFS('Cable Schedule'!$W$2:$W$5696,'Cable Schedule'!$B$2:$B$5696,"D",'Cable Schedule'!$I$2:$I$5696,"MV 25 kV")</f>
        <v/>
      </c>
      <c r="E6" s="18">
        <f>SUMIFS('Cable Schedule'!$W$2:$W$5696,'Cable Schedule'!$B$2:$B$5696,"D",'Cable Schedule'!$I$2:$I$5696,"MV 35 kV")</f>
        <v/>
      </c>
      <c r="F6" s="18">
        <f>SUMIFS('Cable Schedule'!$W$2:$W$5696,'Cable Schedule'!$B$2:$B$5696,"D",'Cable Schedule'!$I$2:$I$5696,"HV 230 kV")</f>
        <v/>
      </c>
      <c r="G6" s="18">
        <f>SUMIFS('Cable Schedule'!$W$2:$W$5696,'Cable Schedule'!$B$2:$B$5696,"D",'Cable Schedule'!$I$2:$I$5696,"LV 600 V")</f>
        <v/>
      </c>
      <c r="H6" s="18">
        <f>SUMIFS('Cable Schedule'!$W$2:$W$5696,'Cable Schedule'!$B$2:$B$5696,"D",'Cable Schedule'!$I$2:$I$5696,"Control")</f>
        <v/>
      </c>
      <c r="I6" s="18">
        <f>SUMIFS('Cable Schedule'!$W$2:$W$5696,'Cable Schedule'!$B$2:$B$5696,"D",'Cable Schedule'!$I$2:$I$5696,"Instrumentation")</f>
        <v/>
      </c>
      <c r="J6" s="18">
        <f>SUMIFS('Cable Schedule'!$W$2:$W$5696,'Cable Schedule'!$B$2:$B$5696,"D",'Cable Schedule'!$I$2:$I$5696,"Fire alarm")</f>
        <v/>
      </c>
      <c r="K6" s="18">
        <f>SUMIFS('Cable Schedule'!$W$2:$W$5696,'Cable Schedule'!$B$2:$B$5696,"D",'Cable Schedule'!$I$2:$I$5696,"Fibre / data")</f>
        <v/>
      </c>
      <c r="L6" s="18">
        <f>SUMIFS('Cable Schedule'!$W$2:$W$5696,'Cable Schedule'!$B$2:$B$5696,"D",'Cable Schedule'!$I$2:$I$5696,"DC 2 kV")</f>
        <v/>
      </c>
      <c r="M6" s="18">
        <f>SUMIFS('Cable Schedule'!$W$2:$W$5696,'Cable Schedule'!$B$2:$B$5696,"D",'Cable Schedule'!$I$2:$I$5696,"Portable MV")</f>
        <v/>
      </c>
      <c r="N6" s="18">
        <f>SUMIFS('Cable Schedule'!$W$2:$W$5696,'Cable Schedule'!$B$2:$B$5696,"D",'Cable Schedule'!$I$2:$I$5696,"Portable LV")</f>
        <v/>
      </c>
      <c r="O6" s="18">
        <f>SUMIFS('Cable Schedule'!$W$2:$W$5696,'Cable Schedule'!$B$2:$B$5696,"D",'Cable Schedule'!$I$2:$I$5696,"Building wire")</f>
        <v/>
      </c>
      <c r="P6" s="18">
        <f>SUMIFS('Cable Schedule'!$W$2:$W$5696,'Cable Schedule'!$B$2:$B$5696,"D",'Cable Schedule'!$I$2:$I$5696,"Grounding")</f>
        <v/>
      </c>
      <c r="Q6" s="18">
        <f>SUMIFS('Cable Schedule'!$W$2:$W$5696,'Cable Schedule'!$B$2:$B$5696,"D",'Cable Schedule'!$I$2:$I$5696,"Overhead")</f>
        <v/>
      </c>
      <c r="R6" s="28">
        <f>SUM(B6:Q6)</f>
        <v/>
      </c>
    </row>
    <row r="7">
      <c r="A7" s="12" t="inlineStr">
        <is>
          <t>E  Water / utilities</t>
        </is>
      </c>
      <c r="B7" s="18">
        <f>SUMIFS('Cable Schedule'!$W$2:$W$5696,'Cable Schedule'!$B$2:$B$5696,"E",'Cable Schedule'!$I$2:$I$5696,"MV 15 kV")</f>
        <v/>
      </c>
      <c r="C7" s="18">
        <f>SUMIFS('Cable Schedule'!$W$2:$W$5696,'Cable Schedule'!$B$2:$B$5696,"E",'Cable Schedule'!$I$2:$I$5696,"MV 5 kV")</f>
        <v/>
      </c>
      <c r="D7" s="18">
        <f>SUMIFS('Cable Schedule'!$W$2:$W$5696,'Cable Schedule'!$B$2:$B$5696,"E",'Cable Schedule'!$I$2:$I$5696,"MV 25 kV")</f>
        <v/>
      </c>
      <c r="E7" s="18">
        <f>SUMIFS('Cable Schedule'!$W$2:$W$5696,'Cable Schedule'!$B$2:$B$5696,"E",'Cable Schedule'!$I$2:$I$5696,"MV 35 kV")</f>
        <v/>
      </c>
      <c r="F7" s="18">
        <f>SUMIFS('Cable Schedule'!$W$2:$W$5696,'Cable Schedule'!$B$2:$B$5696,"E",'Cable Schedule'!$I$2:$I$5696,"HV 230 kV")</f>
        <v/>
      </c>
      <c r="G7" s="18">
        <f>SUMIFS('Cable Schedule'!$W$2:$W$5696,'Cable Schedule'!$B$2:$B$5696,"E",'Cable Schedule'!$I$2:$I$5696,"LV 600 V")</f>
        <v/>
      </c>
      <c r="H7" s="18">
        <f>SUMIFS('Cable Schedule'!$W$2:$W$5696,'Cable Schedule'!$B$2:$B$5696,"E",'Cable Schedule'!$I$2:$I$5696,"Control")</f>
        <v/>
      </c>
      <c r="I7" s="18">
        <f>SUMIFS('Cable Schedule'!$W$2:$W$5696,'Cable Schedule'!$B$2:$B$5696,"E",'Cable Schedule'!$I$2:$I$5696,"Instrumentation")</f>
        <v/>
      </c>
      <c r="J7" s="18">
        <f>SUMIFS('Cable Schedule'!$W$2:$W$5696,'Cable Schedule'!$B$2:$B$5696,"E",'Cable Schedule'!$I$2:$I$5696,"Fire alarm")</f>
        <v/>
      </c>
      <c r="K7" s="18">
        <f>SUMIFS('Cable Schedule'!$W$2:$W$5696,'Cable Schedule'!$B$2:$B$5696,"E",'Cable Schedule'!$I$2:$I$5696,"Fibre / data")</f>
        <v/>
      </c>
      <c r="L7" s="18">
        <f>SUMIFS('Cable Schedule'!$W$2:$W$5696,'Cable Schedule'!$B$2:$B$5696,"E",'Cable Schedule'!$I$2:$I$5696,"DC 2 kV")</f>
        <v/>
      </c>
      <c r="M7" s="18">
        <f>SUMIFS('Cable Schedule'!$W$2:$W$5696,'Cable Schedule'!$B$2:$B$5696,"E",'Cable Schedule'!$I$2:$I$5696,"Portable MV")</f>
        <v/>
      </c>
      <c r="N7" s="18">
        <f>SUMIFS('Cable Schedule'!$W$2:$W$5696,'Cable Schedule'!$B$2:$B$5696,"E",'Cable Schedule'!$I$2:$I$5696,"Portable LV")</f>
        <v/>
      </c>
      <c r="O7" s="18">
        <f>SUMIFS('Cable Schedule'!$W$2:$W$5696,'Cable Schedule'!$B$2:$B$5696,"E",'Cable Schedule'!$I$2:$I$5696,"Building wire")</f>
        <v/>
      </c>
      <c r="P7" s="18">
        <f>SUMIFS('Cable Schedule'!$W$2:$W$5696,'Cable Schedule'!$B$2:$B$5696,"E",'Cable Schedule'!$I$2:$I$5696,"Grounding")</f>
        <v/>
      </c>
      <c r="Q7" s="18">
        <f>SUMIFS('Cable Schedule'!$W$2:$W$5696,'Cable Schedule'!$B$2:$B$5696,"E",'Cable Schedule'!$I$2:$I$5696,"Overhead")</f>
        <v/>
      </c>
      <c r="R7" s="28">
        <f>SUM(B7:Q7)</f>
        <v/>
      </c>
    </row>
    <row r="8">
      <c r="A8" s="12" t="inlineStr">
        <is>
          <t>F  Controls / service</t>
        </is>
      </c>
      <c r="B8" s="18">
        <f>SUMIFS('Cable Schedule'!$W$2:$W$5696,'Cable Schedule'!$B$2:$B$5696,"F",'Cable Schedule'!$I$2:$I$5696,"MV 15 kV")</f>
        <v/>
      </c>
      <c r="C8" s="18">
        <f>SUMIFS('Cable Schedule'!$W$2:$W$5696,'Cable Schedule'!$B$2:$B$5696,"F",'Cable Schedule'!$I$2:$I$5696,"MV 5 kV")</f>
        <v/>
      </c>
      <c r="D8" s="18">
        <f>SUMIFS('Cable Schedule'!$W$2:$W$5696,'Cable Schedule'!$B$2:$B$5696,"F",'Cable Schedule'!$I$2:$I$5696,"MV 25 kV")</f>
        <v/>
      </c>
      <c r="E8" s="18">
        <f>SUMIFS('Cable Schedule'!$W$2:$W$5696,'Cable Schedule'!$B$2:$B$5696,"F",'Cable Schedule'!$I$2:$I$5696,"MV 35 kV")</f>
        <v/>
      </c>
      <c r="F8" s="18">
        <f>SUMIFS('Cable Schedule'!$W$2:$W$5696,'Cable Schedule'!$B$2:$B$5696,"F",'Cable Schedule'!$I$2:$I$5696,"HV 230 kV")</f>
        <v/>
      </c>
      <c r="G8" s="18">
        <f>SUMIFS('Cable Schedule'!$W$2:$W$5696,'Cable Schedule'!$B$2:$B$5696,"F",'Cable Schedule'!$I$2:$I$5696,"LV 600 V")</f>
        <v/>
      </c>
      <c r="H8" s="18">
        <f>SUMIFS('Cable Schedule'!$W$2:$W$5696,'Cable Schedule'!$B$2:$B$5696,"F",'Cable Schedule'!$I$2:$I$5696,"Control")</f>
        <v/>
      </c>
      <c r="I8" s="18">
        <f>SUMIFS('Cable Schedule'!$W$2:$W$5696,'Cable Schedule'!$B$2:$B$5696,"F",'Cable Schedule'!$I$2:$I$5696,"Instrumentation")</f>
        <v/>
      </c>
      <c r="J8" s="18">
        <f>SUMIFS('Cable Schedule'!$W$2:$W$5696,'Cable Schedule'!$B$2:$B$5696,"F",'Cable Schedule'!$I$2:$I$5696,"Fire alarm")</f>
        <v/>
      </c>
      <c r="K8" s="18">
        <f>SUMIFS('Cable Schedule'!$W$2:$W$5696,'Cable Schedule'!$B$2:$B$5696,"F",'Cable Schedule'!$I$2:$I$5696,"Fibre / data")</f>
        <v/>
      </c>
      <c r="L8" s="18">
        <f>SUMIFS('Cable Schedule'!$W$2:$W$5696,'Cable Schedule'!$B$2:$B$5696,"F",'Cable Schedule'!$I$2:$I$5696,"DC 2 kV")</f>
        <v/>
      </c>
      <c r="M8" s="18">
        <f>SUMIFS('Cable Schedule'!$W$2:$W$5696,'Cable Schedule'!$B$2:$B$5696,"F",'Cable Schedule'!$I$2:$I$5696,"Portable MV")</f>
        <v/>
      </c>
      <c r="N8" s="18">
        <f>SUMIFS('Cable Schedule'!$W$2:$W$5696,'Cable Schedule'!$B$2:$B$5696,"F",'Cable Schedule'!$I$2:$I$5696,"Portable LV")</f>
        <v/>
      </c>
      <c r="O8" s="18">
        <f>SUMIFS('Cable Schedule'!$W$2:$W$5696,'Cable Schedule'!$B$2:$B$5696,"F",'Cable Schedule'!$I$2:$I$5696,"Building wire")</f>
        <v/>
      </c>
      <c r="P8" s="18">
        <f>SUMIFS('Cable Schedule'!$W$2:$W$5696,'Cable Schedule'!$B$2:$B$5696,"F",'Cable Schedule'!$I$2:$I$5696,"Grounding")</f>
        <v/>
      </c>
      <c r="Q8" s="18">
        <f>SUMIFS('Cable Schedule'!$W$2:$W$5696,'Cable Schedule'!$B$2:$B$5696,"F",'Cable Schedule'!$I$2:$I$5696,"Overhead")</f>
        <v/>
      </c>
      <c r="R8" s="28">
        <f>SUM(B8:Q8)</f>
        <v/>
      </c>
    </row>
    <row r="9">
      <c r="A9" s="12" t="inlineStr">
        <is>
          <t>G  Carbon capture</t>
        </is>
      </c>
      <c r="B9" s="18">
        <f>SUMIFS('Cable Schedule'!$W$2:$W$5696,'Cable Schedule'!$B$2:$B$5696,"G",'Cable Schedule'!$I$2:$I$5696,"MV 15 kV")</f>
        <v/>
      </c>
      <c r="C9" s="18">
        <f>SUMIFS('Cable Schedule'!$W$2:$W$5696,'Cable Schedule'!$B$2:$B$5696,"G",'Cable Schedule'!$I$2:$I$5696,"MV 5 kV")</f>
        <v/>
      </c>
      <c r="D9" s="18">
        <f>SUMIFS('Cable Schedule'!$W$2:$W$5696,'Cable Schedule'!$B$2:$B$5696,"G",'Cable Schedule'!$I$2:$I$5696,"MV 25 kV")</f>
        <v/>
      </c>
      <c r="E9" s="18">
        <f>SUMIFS('Cable Schedule'!$W$2:$W$5696,'Cable Schedule'!$B$2:$B$5696,"G",'Cable Schedule'!$I$2:$I$5696,"MV 35 kV")</f>
        <v/>
      </c>
      <c r="F9" s="18">
        <f>SUMIFS('Cable Schedule'!$W$2:$W$5696,'Cable Schedule'!$B$2:$B$5696,"G",'Cable Schedule'!$I$2:$I$5696,"HV 230 kV")</f>
        <v/>
      </c>
      <c r="G9" s="18">
        <f>SUMIFS('Cable Schedule'!$W$2:$W$5696,'Cable Schedule'!$B$2:$B$5696,"G",'Cable Schedule'!$I$2:$I$5696,"LV 600 V")</f>
        <v/>
      </c>
      <c r="H9" s="18">
        <f>SUMIFS('Cable Schedule'!$W$2:$W$5696,'Cable Schedule'!$B$2:$B$5696,"G",'Cable Schedule'!$I$2:$I$5696,"Control")</f>
        <v/>
      </c>
      <c r="I9" s="18">
        <f>SUMIFS('Cable Schedule'!$W$2:$W$5696,'Cable Schedule'!$B$2:$B$5696,"G",'Cable Schedule'!$I$2:$I$5696,"Instrumentation")</f>
        <v/>
      </c>
      <c r="J9" s="18">
        <f>SUMIFS('Cable Schedule'!$W$2:$W$5696,'Cable Schedule'!$B$2:$B$5696,"G",'Cable Schedule'!$I$2:$I$5696,"Fire alarm")</f>
        <v/>
      </c>
      <c r="K9" s="18">
        <f>SUMIFS('Cable Schedule'!$W$2:$W$5696,'Cable Schedule'!$B$2:$B$5696,"G",'Cable Schedule'!$I$2:$I$5696,"Fibre / data")</f>
        <v/>
      </c>
      <c r="L9" s="18">
        <f>SUMIFS('Cable Schedule'!$W$2:$W$5696,'Cable Schedule'!$B$2:$B$5696,"G",'Cable Schedule'!$I$2:$I$5696,"DC 2 kV")</f>
        <v/>
      </c>
      <c r="M9" s="18">
        <f>SUMIFS('Cable Schedule'!$W$2:$W$5696,'Cable Schedule'!$B$2:$B$5696,"G",'Cable Schedule'!$I$2:$I$5696,"Portable MV")</f>
        <v/>
      </c>
      <c r="N9" s="18">
        <f>SUMIFS('Cable Schedule'!$W$2:$W$5696,'Cable Schedule'!$B$2:$B$5696,"G",'Cable Schedule'!$I$2:$I$5696,"Portable LV")</f>
        <v/>
      </c>
      <c r="O9" s="18">
        <f>SUMIFS('Cable Schedule'!$W$2:$W$5696,'Cable Schedule'!$B$2:$B$5696,"G",'Cable Schedule'!$I$2:$I$5696,"Building wire")</f>
        <v/>
      </c>
      <c r="P9" s="18">
        <f>SUMIFS('Cable Schedule'!$W$2:$W$5696,'Cable Schedule'!$B$2:$B$5696,"G",'Cable Schedule'!$I$2:$I$5696,"Grounding")</f>
        <v/>
      </c>
      <c r="Q9" s="18">
        <f>SUMIFS('Cable Schedule'!$W$2:$W$5696,'Cable Schedule'!$B$2:$B$5696,"G",'Cable Schedule'!$I$2:$I$5696,"Overhead")</f>
        <v/>
      </c>
      <c r="R9" s="28">
        <f>SUM(B9:Q9)</f>
        <v/>
      </c>
    </row>
    <row r="10">
      <c r="A10" s="12" t="inlineStr">
        <is>
          <t>H  BESS</t>
        </is>
      </c>
      <c r="B10" s="18">
        <f>SUMIFS('Cable Schedule'!$W$2:$W$5696,'Cable Schedule'!$B$2:$B$5696,"H",'Cable Schedule'!$I$2:$I$5696,"MV 15 kV")</f>
        <v/>
      </c>
      <c r="C10" s="18">
        <f>SUMIFS('Cable Schedule'!$W$2:$W$5696,'Cable Schedule'!$B$2:$B$5696,"H",'Cable Schedule'!$I$2:$I$5696,"MV 5 kV")</f>
        <v/>
      </c>
      <c r="D10" s="18">
        <f>SUMIFS('Cable Schedule'!$W$2:$W$5696,'Cable Schedule'!$B$2:$B$5696,"H",'Cable Schedule'!$I$2:$I$5696,"MV 25 kV")</f>
        <v/>
      </c>
      <c r="E10" s="18">
        <f>SUMIFS('Cable Schedule'!$W$2:$W$5696,'Cable Schedule'!$B$2:$B$5696,"H",'Cable Schedule'!$I$2:$I$5696,"MV 35 kV")</f>
        <v/>
      </c>
      <c r="F10" s="18">
        <f>SUMIFS('Cable Schedule'!$W$2:$W$5696,'Cable Schedule'!$B$2:$B$5696,"H",'Cable Schedule'!$I$2:$I$5696,"HV 230 kV")</f>
        <v/>
      </c>
      <c r="G10" s="18">
        <f>SUMIFS('Cable Schedule'!$W$2:$W$5696,'Cable Schedule'!$B$2:$B$5696,"H",'Cable Schedule'!$I$2:$I$5696,"LV 600 V")</f>
        <v/>
      </c>
      <c r="H10" s="18">
        <f>SUMIFS('Cable Schedule'!$W$2:$W$5696,'Cable Schedule'!$B$2:$B$5696,"H",'Cable Schedule'!$I$2:$I$5696,"Control")</f>
        <v/>
      </c>
      <c r="I10" s="18">
        <f>SUMIFS('Cable Schedule'!$W$2:$W$5696,'Cable Schedule'!$B$2:$B$5696,"H",'Cable Schedule'!$I$2:$I$5696,"Instrumentation")</f>
        <v/>
      </c>
      <c r="J10" s="18">
        <f>SUMIFS('Cable Schedule'!$W$2:$W$5696,'Cable Schedule'!$B$2:$B$5696,"H",'Cable Schedule'!$I$2:$I$5696,"Fire alarm")</f>
        <v/>
      </c>
      <c r="K10" s="18">
        <f>SUMIFS('Cable Schedule'!$W$2:$W$5696,'Cable Schedule'!$B$2:$B$5696,"H",'Cable Schedule'!$I$2:$I$5696,"Fibre / data")</f>
        <v/>
      </c>
      <c r="L10" s="18">
        <f>SUMIFS('Cable Schedule'!$W$2:$W$5696,'Cable Schedule'!$B$2:$B$5696,"H",'Cable Schedule'!$I$2:$I$5696,"DC 2 kV")</f>
        <v/>
      </c>
      <c r="M10" s="18">
        <f>SUMIFS('Cable Schedule'!$W$2:$W$5696,'Cable Schedule'!$B$2:$B$5696,"H",'Cable Schedule'!$I$2:$I$5696,"Portable MV")</f>
        <v/>
      </c>
      <c r="N10" s="18">
        <f>SUMIFS('Cable Schedule'!$W$2:$W$5696,'Cable Schedule'!$B$2:$B$5696,"H",'Cable Schedule'!$I$2:$I$5696,"Portable LV")</f>
        <v/>
      </c>
      <c r="O10" s="18">
        <f>SUMIFS('Cable Schedule'!$W$2:$W$5696,'Cable Schedule'!$B$2:$B$5696,"H",'Cable Schedule'!$I$2:$I$5696,"Building wire")</f>
        <v/>
      </c>
      <c r="P10" s="18">
        <f>SUMIFS('Cable Schedule'!$W$2:$W$5696,'Cable Schedule'!$B$2:$B$5696,"H",'Cable Schedule'!$I$2:$I$5696,"Grounding")</f>
        <v/>
      </c>
      <c r="Q10" s="18">
        <f>SUMIFS('Cable Schedule'!$W$2:$W$5696,'Cable Schedule'!$B$2:$B$5696,"H",'Cable Schedule'!$I$2:$I$5696,"Overhead")</f>
        <v/>
      </c>
      <c r="R10" s="28">
        <f>SUM(B10:Q10)</f>
        <v/>
      </c>
    </row>
    <row r="11">
      <c r="A11" s="12" t="inlineStr">
        <is>
          <t>I  Modular / portable power</t>
        </is>
      </c>
      <c r="B11" s="18">
        <f>SUMIFS('Cable Schedule'!$W$2:$W$5696,'Cable Schedule'!$B$2:$B$5696,"I",'Cable Schedule'!$I$2:$I$5696,"MV 15 kV")</f>
        <v/>
      </c>
      <c r="C11" s="18">
        <f>SUMIFS('Cable Schedule'!$W$2:$W$5696,'Cable Schedule'!$B$2:$B$5696,"I",'Cable Schedule'!$I$2:$I$5696,"MV 5 kV")</f>
        <v/>
      </c>
      <c r="D11" s="18">
        <f>SUMIFS('Cable Schedule'!$W$2:$W$5696,'Cable Schedule'!$B$2:$B$5696,"I",'Cable Schedule'!$I$2:$I$5696,"MV 25 kV")</f>
        <v/>
      </c>
      <c r="E11" s="18">
        <f>SUMIFS('Cable Schedule'!$W$2:$W$5696,'Cable Schedule'!$B$2:$B$5696,"I",'Cable Schedule'!$I$2:$I$5696,"MV 35 kV")</f>
        <v/>
      </c>
      <c r="F11" s="18">
        <f>SUMIFS('Cable Schedule'!$W$2:$W$5696,'Cable Schedule'!$B$2:$B$5696,"I",'Cable Schedule'!$I$2:$I$5696,"HV 230 kV")</f>
        <v/>
      </c>
      <c r="G11" s="18">
        <f>SUMIFS('Cable Schedule'!$W$2:$W$5696,'Cable Schedule'!$B$2:$B$5696,"I",'Cable Schedule'!$I$2:$I$5696,"LV 600 V")</f>
        <v/>
      </c>
      <c r="H11" s="18">
        <f>SUMIFS('Cable Schedule'!$W$2:$W$5696,'Cable Schedule'!$B$2:$B$5696,"I",'Cable Schedule'!$I$2:$I$5696,"Control")</f>
        <v/>
      </c>
      <c r="I11" s="18">
        <f>SUMIFS('Cable Schedule'!$W$2:$W$5696,'Cable Schedule'!$B$2:$B$5696,"I",'Cable Schedule'!$I$2:$I$5696,"Instrumentation")</f>
        <v/>
      </c>
      <c r="J11" s="18">
        <f>SUMIFS('Cable Schedule'!$W$2:$W$5696,'Cable Schedule'!$B$2:$B$5696,"I",'Cable Schedule'!$I$2:$I$5696,"Fire alarm")</f>
        <v/>
      </c>
      <c r="K11" s="18">
        <f>SUMIFS('Cable Schedule'!$W$2:$W$5696,'Cable Schedule'!$B$2:$B$5696,"I",'Cable Schedule'!$I$2:$I$5696,"Fibre / data")</f>
        <v/>
      </c>
      <c r="L11" s="18">
        <f>SUMIFS('Cable Schedule'!$W$2:$W$5696,'Cable Schedule'!$B$2:$B$5696,"I",'Cable Schedule'!$I$2:$I$5696,"DC 2 kV")</f>
        <v/>
      </c>
      <c r="M11" s="18">
        <f>SUMIFS('Cable Schedule'!$W$2:$W$5696,'Cable Schedule'!$B$2:$B$5696,"I",'Cable Schedule'!$I$2:$I$5696,"Portable MV")</f>
        <v/>
      </c>
      <c r="N11" s="18">
        <f>SUMIFS('Cable Schedule'!$W$2:$W$5696,'Cable Schedule'!$B$2:$B$5696,"I",'Cable Schedule'!$I$2:$I$5696,"Portable LV")</f>
        <v/>
      </c>
      <c r="O11" s="18">
        <f>SUMIFS('Cable Schedule'!$W$2:$W$5696,'Cable Schedule'!$B$2:$B$5696,"I",'Cable Schedule'!$I$2:$I$5696,"Building wire")</f>
        <v/>
      </c>
      <c r="P11" s="18">
        <f>SUMIFS('Cable Schedule'!$W$2:$W$5696,'Cable Schedule'!$B$2:$B$5696,"I",'Cable Schedule'!$I$2:$I$5696,"Grounding")</f>
        <v/>
      </c>
      <c r="Q11" s="18">
        <f>SUMIFS('Cable Schedule'!$W$2:$W$5696,'Cable Schedule'!$B$2:$B$5696,"I",'Cable Schedule'!$I$2:$I$5696,"Overhead")</f>
        <v/>
      </c>
      <c r="R11" s="28">
        <f>SUM(B11:Q11)</f>
        <v/>
      </c>
    </row>
    <row r="12">
      <c r="A12" s="12" t="inlineStr">
        <is>
          <t>J  GT inlet chilling</t>
        </is>
      </c>
      <c r="B12" s="18">
        <f>SUMIFS('Cable Schedule'!$W$2:$W$5696,'Cable Schedule'!$B$2:$B$5696,"J",'Cable Schedule'!$I$2:$I$5696,"MV 15 kV")</f>
        <v/>
      </c>
      <c r="C12" s="18">
        <f>SUMIFS('Cable Schedule'!$W$2:$W$5696,'Cable Schedule'!$B$2:$B$5696,"J",'Cable Schedule'!$I$2:$I$5696,"MV 5 kV")</f>
        <v/>
      </c>
      <c r="D12" s="18">
        <f>SUMIFS('Cable Schedule'!$W$2:$W$5696,'Cable Schedule'!$B$2:$B$5696,"J",'Cable Schedule'!$I$2:$I$5696,"MV 25 kV")</f>
        <v/>
      </c>
      <c r="E12" s="18">
        <f>SUMIFS('Cable Schedule'!$W$2:$W$5696,'Cable Schedule'!$B$2:$B$5696,"J",'Cable Schedule'!$I$2:$I$5696,"MV 35 kV")</f>
        <v/>
      </c>
      <c r="F12" s="18">
        <f>SUMIFS('Cable Schedule'!$W$2:$W$5696,'Cable Schedule'!$B$2:$B$5696,"J",'Cable Schedule'!$I$2:$I$5696,"HV 230 kV")</f>
        <v/>
      </c>
      <c r="G12" s="18">
        <f>SUMIFS('Cable Schedule'!$W$2:$W$5696,'Cable Schedule'!$B$2:$B$5696,"J",'Cable Schedule'!$I$2:$I$5696,"LV 600 V")</f>
        <v/>
      </c>
      <c r="H12" s="18">
        <f>SUMIFS('Cable Schedule'!$W$2:$W$5696,'Cable Schedule'!$B$2:$B$5696,"J",'Cable Schedule'!$I$2:$I$5696,"Control")</f>
        <v/>
      </c>
      <c r="I12" s="18">
        <f>SUMIFS('Cable Schedule'!$W$2:$W$5696,'Cable Schedule'!$B$2:$B$5696,"J",'Cable Schedule'!$I$2:$I$5696,"Instrumentation")</f>
        <v/>
      </c>
      <c r="J12" s="18">
        <f>SUMIFS('Cable Schedule'!$W$2:$W$5696,'Cable Schedule'!$B$2:$B$5696,"J",'Cable Schedule'!$I$2:$I$5696,"Fire alarm")</f>
        <v/>
      </c>
      <c r="K12" s="18">
        <f>SUMIFS('Cable Schedule'!$W$2:$W$5696,'Cable Schedule'!$B$2:$B$5696,"J",'Cable Schedule'!$I$2:$I$5696,"Fibre / data")</f>
        <v/>
      </c>
      <c r="L12" s="18">
        <f>SUMIFS('Cable Schedule'!$W$2:$W$5696,'Cable Schedule'!$B$2:$B$5696,"J",'Cable Schedule'!$I$2:$I$5696,"DC 2 kV")</f>
        <v/>
      </c>
      <c r="M12" s="18">
        <f>SUMIFS('Cable Schedule'!$W$2:$W$5696,'Cable Schedule'!$B$2:$B$5696,"J",'Cable Schedule'!$I$2:$I$5696,"Portable MV")</f>
        <v/>
      </c>
      <c r="N12" s="18">
        <f>SUMIFS('Cable Schedule'!$W$2:$W$5696,'Cable Schedule'!$B$2:$B$5696,"J",'Cable Schedule'!$I$2:$I$5696,"Portable LV")</f>
        <v/>
      </c>
      <c r="O12" s="18">
        <f>SUMIFS('Cable Schedule'!$W$2:$W$5696,'Cable Schedule'!$B$2:$B$5696,"J",'Cable Schedule'!$I$2:$I$5696,"Building wire")</f>
        <v/>
      </c>
      <c r="P12" s="18">
        <f>SUMIFS('Cable Schedule'!$W$2:$W$5696,'Cable Schedule'!$B$2:$B$5696,"J",'Cable Schedule'!$I$2:$I$5696,"Grounding")</f>
        <v/>
      </c>
      <c r="Q12" s="18">
        <f>SUMIFS('Cable Schedule'!$W$2:$W$5696,'Cable Schedule'!$B$2:$B$5696,"J",'Cable Schedule'!$I$2:$I$5696,"Overhead")</f>
        <v/>
      </c>
      <c r="R12" s="28">
        <f>SUM(B12:Q12)</f>
        <v/>
      </c>
    </row>
    <row r="13">
      <c r="A13" s="12" t="inlineStr">
        <is>
          <t>K  Fuel supply (adjacent market)</t>
        </is>
      </c>
      <c r="B13" s="18">
        <f>SUMIFS('Cable Schedule'!$W$2:$W$5696,'Cable Schedule'!$B$2:$B$5696,"K",'Cable Schedule'!$I$2:$I$5696,"MV 15 kV")</f>
        <v/>
      </c>
      <c r="C13" s="18">
        <f>SUMIFS('Cable Schedule'!$W$2:$W$5696,'Cable Schedule'!$B$2:$B$5696,"K",'Cable Schedule'!$I$2:$I$5696,"MV 5 kV")</f>
        <v/>
      </c>
      <c r="D13" s="18">
        <f>SUMIFS('Cable Schedule'!$W$2:$W$5696,'Cable Schedule'!$B$2:$B$5696,"K",'Cable Schedule'!$I$2:$I$5696,"MV 25 kV")</f>
        <v/>
      </c>
      <c r="E13" s="18">
        <f>SUMIFS('Cable Schedule'!$W$2:$W$5696,'Cable Schedule'!$B$2:$B$5696,"K",'Cable Schedule'!$I$2:$I$5696,"MV 35 kV")</f>
        <v/>
      </c>
      <c r="F13" s="18">
        <f>SUMIFS('Cable Schedule'!$W$2:$W$5696,'Cable Schedule'!$B$2:$B$5696,"K",'Cable Schedule'!$I$2:$I$5696,"HV 230 kV")</f>
        <v/>
      </c>
      <c r="G13" s="18">
        <f>SUMIFS('Cable Schedule'!$W$2:$W$5696,'Cable Schedule'!$B$2:$B$5696,"K",'Cable Schedule'!$I$2:$I$5696,"LV 600 V")</f>
        <v/>
      </c>
      <c r="H13" s="18">
        <f>SUMIFS('Cable Schedule'!$W$2:$W$5696,'Cable Schedule'!$B$2:$B$5696,"K",'Cable Schedule'!$I$2:$I$5696,"Control")</f>
        <v/>
      </c>
      <c r="I13" s="18">
        <f>SUMIFS('Cable Schedule'!$W$2:$W$5696,'Cable Schedule'!$B$2:$B$5696,"K",'Cable Schedule'!$I$2:$I$5696,"Instrumentation")</f>
        <v/>
      </c>
      <c r="J13" s="18">
        <f>SUMIFS('Cable Schedule'!$W$2:$W$5696,'Cable Schedule'!$B$2:$B$5696,"K",'Cable Schedule'!$I$2:$I$5696,"Fire alarm")</f>
        <v/>
      </c>
      <c r="K13" s="18">
        <f>SUMIFS('Cable Schedule'!$W$2:$W$5696,'Cable Schedule'!$B$2:$B$5696,"K",'Cable Schedule'!$I$2:$I$5696,"Fibre / data")</f>
        <v/>
      </c>
      <c r="L13" s="18">
        <f>SUMIFS('Cable Schedule'!$W$2:$W$5696,'Cable Schedule'!$B$2:$B$5696,"K",'Cable Schedule'!$I$2:$I$5696,"DC 2 kV")</f>
        <v/>
      </c>
      <c r="M13" s="18">
        <f>SUMIFS('Cable Schedule'!$W$2:$W$5696,'Cable Schedule'!$B$2:$B$5696,"K",'Cable Schedule'!$I$2:$I$5696,"Portable MV")</f>
        <v/>
      </c>
      <c r="N13" s="18">
        <f>SUMIFS('Cable Schedule'!$W$2:$W$5696,'Cable Schedule'!$B$2:$B$5696,"K",'Cable Schedule'!$I$2:$I$5696,"Portable LV")</f>
        <v/>
      </c>
      <c r="O13" s="18">
        <f>SUMIFS('Cable Schedule'!$W$2:$W$5696,'Cable Schedule'!$B$2:$B$5696,"K",'Cable Schedule'!$I$2:$I$5696,"Building wire")</f>
        <v/>
      </c>
      <c r="P13" s="18">
        <f>SUMIFS('Cable Schedule'!$W$2:$W$5696,'Cable Schedule'!$B$2:$B$5696,"K",'Cable Schedule'!$I$2:$I$5696,"Grounding")</f>
        <v/>
      </c>
      <c r="Q13" s="18">
        <f>SUMIFS('Cable Schedule'!$W$2:$W$5696,'Cable Schedule'!$B$2:$B$5696,"K",'Cable Schedule'!$I$2:$I$5696,"Overhead")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Schedule'!B2:B5696,"?")</f>
        <v/>
      </c>
    </row>
    <row r="18">
      <c r="A18" s="22" t="inlineStr">
        <is>
          <t>Cables (count)</t>
        </is>
      </c>
      <c r="B18" s="18">
        <f>SUM('Cable Schedule'!AA2:AA5696)</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6</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6</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4</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4</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3/0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3/0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2</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2</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3</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1</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1/0</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350 kcmil</t>
        </is>
      </c>
      <c r="K792" s="12" t="n">
        <v>2</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2</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1</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1</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2</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2/0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2</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2</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Fuel-cell inverter / AC cabinet / desulfurizer</t>
        </is>
      </c>
      <c r="B1298" s="12" t="inlineStr"/>
      <c r="C1298" s="12" t="inlineStr">
        <is>
          <t>I</t>
        </is>
      </c>
      <c r="D1298" s="12" t="inlineStr">
        <is>
          <t>FC-1 SOFC output to inverter / AC cabinet</t>
        </is>
      </c>
      <c r="E1298" s="12" t="n">
        <v>480</v>
      </c>
      <c r="F1298" s="12" t="n">
        <v>250</v>
      </c>
      <c r="G1298" s="12" t="n">
        <v>316.5</v>
      </c>
      <c r="H1298" s="12" t="inlineStr">
        <is>
          <t>FC-1: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FC-2 SOFC output to inverter / AC cabinet</t>
        </is>
      </c>
      <c r="E1299" s="12" t="n">
        <v>480</v>
      </c>
      <c r="F1299" s="12" t="n">
        <v>250</v>
      </c>
      <c r="G1299" s="12" t="n">
        <v>316.5</v>
      </c>
      <c r="H1299" s="12" t="inlineStr">
        <is>
          <t>FC-2: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FC-3 SOFC output to inverter / AC cabinet</t>
        </is>
      </c>
      <c r="E1300" s="12" t="n">
        <v>480</v>
      </c>
      <c r="F1300" s="12" t="n">
        <v>250</v>
      </c>
      <c r="G1300" s="12" t="n">
        <v>316.5</v>
      </c>
      <c r="H1300" s="12" t="inlineStr">
        <is>
          <t>FC-3: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FC-4 SOFC output to inverter / AC cabinet</t>
        </is>
      </c>
      <c r="E1301" s="12" t="n">
        <v>480</v>
      </c>
      <c r="F1301" s="12" t="n">
        <v>250</v>
      </c>
      <c r="G1301" s="12" t="n">
        <v>316.5</v>
      </c>
      <c r="H1301" s="12" t="inlineStr">
        <is>
          <t>FC-4: SOFC module (Bloom ES5 class, 200-300 kW)</t>
        </is>
      </c>
      <c r="I1301" s="12" t="inlineStr">
        <is>
          <t>LV 600 V</t>
        </is>
      </c>
      <c r="J1301" s="12" t="inlineStr">
        <is>
          <t>3/0</t>
        </is>
      </c>
      <c r="K1301" s="12" t="n">
        <v>2</v>
      </c>
    </row>
    <row r="1302">
      <c r="A1302" s="12" t="inlineStr">
        <is>
          <t>Fuel-gas compressors 3 x 100% electric</t>
        </is>
      </c>
      <c r="B1302" s="12" t="inlineStr"/>
      <c r="C1302" s="12" t="inlineStr">
        <is>
          <t>I</t>
        </is>
      </c>
      <c r="D1302" s="12" t="inlineStr">
        <is>
          <t>Motor 1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2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3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4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5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6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Gas conditioning skid</t>
        </is>
      </c>
      <c r="B1308" s="12" t="inlineStr"/>
      <c r="C1308" s="12" t="inlineStr">
        <is>
          <t>I</t>
        </is>
      </c>
      <c r="D1308" s="12" t="inlineStr">
        <is>
          <t>LV power feeder</t>
        </is>
      </c>
      <c r="E1308" s="12" t="n">
        <v>480</v>
      </c>
      <c r="F1308" s="12" t="n">
        <v>30</v>
      </c>
      <c r="G1308" s="12" t="n">
        <v>42.5</v>
      </c>
      <c r="H1308" s="12" t="inlineStr">
        <is>
          <t>PCM: power control module</t>
        </is>
      </c>
      <c r="I1308" s="12" t="inlineStr">
        <is>
          <t>LV 600 V</t>
        </is>
      </c>
      <c r="J1308" s="12" t="inlineStr">
        <is>
          <t>6</t>
        </is>
      </c>
      <c r="K1308" s="12" t="n">
        <v>1</v>
      </c>
    </row>
    <row r="1309">
      <c r="A1309" s="12" t="inlineStr">
        <is>
          <t>Lube oil / starting air / oily water building</t>
        </is>
      </c>
      <c r="B1309" s="12" t="inlineStr"/>
      <c r="C1309" s="12" t="inlineStr">
        <is>
          <t>I</t>
        </is>
      </c>
      <c r="D1309" s="12" t="inlineStr">
        <is>
          <t>LV panel / distribution feeder</t>
        </is>
      </c>
      <c r="E1309" s="12" t="n">
        <v>480</v>
      </c>
      <c r="F1309" s="12" t="n">
        <v>79</v>
      </c>
      <c r="G1309" s="12" t="n">
        <v>111.8</v>
      </c>
      <c r="H1309" s="12" t="inlineStr">
        <is>
          <t>PCM: power control module</t>
        </is>
      </c>
      <c r="I1309" s="12" t="inlineStr">
        <is>
          <t>LV 600 V</t>
        </is>
      </c>
      <c r="J1309" s="12" t="inlineStr">
        <is>
          <t>1/0</t>
        </is>
      </c>
      <c r="K1309" s="12" t="n">
        <v>1</v>
      </c>
    </row>
    <row r="1310">
      <c r="A1310" s="12" t="inlineStr">
        <is>
          <t>MOD-EH: 13.8 kV modular collector e-house</t>
        </is>
      </c>
      <c r="B1310" s="12" t="inlineStr">
        <is>
          <t>MOD-EH</t>
        </is>
      </c>
      <c r="C1310" s="12" t="inlineStr">
        <is>
          <t>I</t>
        </is>
      </c>
      <c r="D1310" s="12" t="inlineStr">
        <is>
          <t>LV panel / distribution feeder</t>
        </is>
      </c>
      <c r="E1310" s="12" t="n">
        <v>480</v>
      </c>
      <c r="F1310" s="12" t="n">
        <v>30</v>
      </c>
      <c r="G1310" s="12" t="n">
        <v>42.5</v>
      </c>
      <c r="H1310" s="12" t="inlineStr">
        <is>
          <t>MOD-LV 480 V board + 480 V : 13.8 kV step-up</t>
        </is>
      </c>
      <c r="I1310" s="12" t="inlineStr">
        <is>
          <t>LV 600 V</t>
        </is>
      </c>
      <c r="J1310" s="12" t="inlineStr">
        <is>
          <t>4</t>
        </is>
      </c>
      <c r="K1310" s="12" t="n">
        <v>1</v>
      </c>
    </row>
    <row r="1311">
      <c r="A1311" s="12" t="inlineStr">
        <is>
          <t>MOD-LV 480 V board + 480 V : 13.8 kV step-up</t>
        </is>
      </c>
      <c r="B1311" s="12" t="inlineStr"/>
      <c r="C1311" s="12" t="inlineStr">
        <is>
          <t>I</t>
        </is>
      </c>
      <c r="D1311" s="12" t="inlineStr">
        <is>
          <t>Fuel-cell AC cabinet to MOD-LV</t>
        </is>
      </c>
      <c r="E1311" s="12" t="n">
        <v>480</v>
      </c>
      <c r="F1311" s="12" t="n">
        <v>1000</v>
      </c>
      <c r="G1311" s="12" t="n">
        <v>1266.2</v>
      </c>
      <c r="H1311" s="12" t="inlineStr">
        <is>
          <t>Fuel-cell inverter / AC cabinet / desulfurizer</t>
        </is>
      </c>
      <c r="I1311" s="12" t="inlineStr">
        <is>
          <t>LV 600 V</t>
        </is>
      </c>
      <c r="J1311" s="12" t="inlineStr">
        <is>
          <t>350 kcmil</t>
        </is>
      </c>
      <c r="K1311" s="12" t="n">
        <v>6</v>
      </c>
    </row>
    <row r="1312">
      <c r="A1312" s="12" t="inlineStr">
        <is>
          <t>MOD-LV 480 V board + 480 V : 13.8 kV step-up</t>
        </is>
      </c>
      <c r="B1312" s="12" t="inlineStr"/>
      <c r="C1312" s="12" t="inlineStr">
        <is>
          <t>I</t>
        </is>
      </c>
      <c r="D1312" s="12" t="inlineStr">
        <is>
          <t>Fuel-cell AC cabinet to MOD-LV</t>
        </is>
      </c>
      <c r="E1312" s="12" t="n">
        <v>480</v>
      </c>
      <c r="F1312" s="12" t="n">
        <v>2000</v>
      </c>
      <c r="G1312" s="12" t="n">
        <v>2532.3</v>
      </c>
      <c r="H1312" s="12" t="inlineStr">
        <is>
          <t>FC-5..12 inverter / AC cabinet / desulfurizer</t>
        </is>
      </c>
      <c r="I1312" s="12" t="inlineStr">
        <is>
          <t>LV 600 V</t>
        </is>
      </c>
      <c r="J1312" s="12" t="inlineStr">
        <is>
          <t>500 kcmil</t>
        </is>
      </c>
      <c r="K1312" s="12" t="n">
        <v>12</v>
      </c>
    </row>
    <row r="1313">
      <c r="A1313" s="12" t="inlineStr">
        <is>
          <t>MOD-LV 480 V board + 480 V : 13.8 kV step-up</t>
        </is>
      </c>
      <c r="B1313" s="12" t="inlineStr"/>
      <c r="C1313" s="12" t="inlineStr">
        <is>
          <t>I</t>
        </is>
      </c>
      <c r="D1313" s="12" t="inlineStr">
        <is>
          <t>MT-1 microturbine output</t>
        </is>
      </c>
      <c r="E1313" s="12" t="n">
        <v>480</v>
      </c>
      <c r="F1313" s="12" t="n">
        <v>1000</v>
      </c>
      <c r="G1313" s="12" t="n">
        <v>1266.2</v>
      </c>
      <c r="H1313" s="12" t="inlineStr">
        <is>
          <t>MT-1: microturbine 1 MW (Capstone C1000 class)</t>
        </is>
      </c>
      <c r="I1313" s="12" t="inlineStr">
        <is>
          <t>LV 600 V</t>
        </is>
      </c>
      <c r="J1313" s="12" t="inlineStr">
        <is>
          <t>350 kcmil</t>
        </is>
      </c>
      <c r="K1313" s="12" t="n">
        <v>6</v>
      </c>
    </row>
    <row r="1314">
      <c r="A1314" s="12" t="inlineStr">
        <is>
          <t>MOD-LV 480 V board + 480 V : 13.8 kV step-up</t>
        </is>
      </c>
      <c r="B1314" s="12" t="inlineStr"/>
      <c r="C1314" s="12" t="inlineStr">
        <is>
          <t>I</t>
        </is>
      </c>
      <c r="D1314" s="12" t="inlineStr">
        <is>
          <t>MT-2 microturbine output</t>
        </is>
      </c>
      <c r="E1314" s="12" t="n">
        <v>480</v>
      </c>
      <c r="F1314" s="12" t="n">
        <v>1000</v>
      </c>
      <c r="G1314" s="12" t="n">
        <v>1266.2</v>
      </c>
      <c r="H1314" s="12" t="inlineStr">
        <is>
          <t>MT-2: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MT-3 microturbine output</t>
        </is>
      </c>
      <c r="E1315" s="12" t="n">
        <v>480</v>
      </c>
      <c r="F1315" s="12" t="n">
        <v>1000</v>
      </c>
      <c r="G1315" s="12" t="n">
        <v>1266.2</v>
      </c>
      <c r="H1315" s="12" t="inlineStr">
        <is>
          <t>MT-3: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MT-4 microturbine output</t>
        </is>
      </c>
      <c r="E1316" s="12" t="n">
        <v>480</v>
      </c>
      <c r="F1316" s="12" t="n">
        <v>1000</v>
      </c>
      <c r="G1316" s="12" t="n">
        <v>1266.2</v>
      </c>
      <c r="H1316" s="12" t="inlineStr">
        <is>
          <t>MT-4: microturbine 1 MW (Capstone C1000 class)</t>
        </is>
      </c>
      <c r="I1316" s="12" t="inlineStr">
        <is>
          <t>LV 600 V</t>
        </is>
      </c>
      <c r="J1316" s="12" t="inlineStr">
        <is>
          <t>500 kcmil</t>
        </is>
      </c>
      <c r="K1316" s="12" t="n">
        <v>12</v>
      </c>
    </row>
    <row r="1317">
      <c r="A1317" s="12" t="inlineStr">
        <is>
          <t>MOD-LV 480 V board + 480 V : 13.8 kV step-up</t>
        </is>
      </c>
      <c r="B1317" s="12" t="inlineStr"/>
      <c r="C1317" s="12" t="inlineStr">
        <is>
          <t>I</t>
        </is>
      </c>
      <c r="D1317" s="12" t="inlineStr">
        <is>
          <t>MT-5 microturbine output</t>
        </is>
      </c>
      <c r="E1317" s="12" t="n">
        <v>480</v>
      </c>
      <c r="F1317" s="12" t="n">
        <v>1000</v>
      </c>
      <c r="G1317" s="12" t="n">
        <v>1266.2</v>
      </c>
      <c r="H1317" s="12" t="inlineStr">
        <is>
          <t>MT-5: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MT-6 microturbine output</t>
        </is>
      </c>
      <c r="E1318" s="12" t="n">
        <v>480</v>
      </c>
      <c r="F1318" s="12" t="n">
        <v>1000</v>
      </c>
      <c r="G1318" s="12" t="n">
        <v>1266.2</v>
      </c>
      <c r="H1318" s="12" t="inlineStr">
        <is>
          <t>MT-6: microturbine 1 MW (Capstone C1000 class)</t>
        </is>
      </c>
      <c r="I1318" s="12" t="inlineStr">
        <is>
          <t>LV 600 V</t>
        </is>
      </c>
      <c r="J1318" s="12" t="inlineStr">
        <is>
          <t>500 kcmil</t>
        </is>
      </c>
      <c r="K1318" s="12" t="n">
        <v>12</v>
      </c>
    </row>
    <row r="1319">
      <c r="A1319" s="12" t="inlineStr">
        <is>
          <t>PAD-TX 480 V : 13.8 kV</t>
        </is>
      </c>
      <c r="B1319" s="12" t="inlineStr">
        <is>
          <t>PAD-TX</t>
        </is>
      </c>
      <c r="C1319" s="12" t="inlineStr">
        <is>
          <t>I</t>
        </is>
      </c>
      <c r="D1319" s="12" t="inlineStr">
        <is>
          <t>PAD-LV to PAD-TX</t>
        </is>
      </c>
      <c r="E1319" s="12" t="n">
        <v>480</v>
      </c>
      <c r="F1319" s="12" t="n">
        <v>3000</v>
      </c>
      <c r="G1319" s="12" t="n">
        <v>3600</v>
      </c>
      <c r="H1319" s="12" t="inlineStr">
        <is>
          <t>PAD-LV 480 V paralleling switchboard</t>
        </is>
      </c>
      <c r="I1319" s="12" t="inlineStr">
        <is>
          <t>LV 600 V</t>
        </is>
      </c>
      <c r="J1319" s="12" t="inlineStr">
        <is>
          <t>500 kcmil</t>
        </is>
      </c>
      <c r="K1319" s="12" t="n">
        <v>12</v>
      </c>
    </row>
    <row r="1320">
      <c r="A1320" s="12" t="inlineStr">
        <is>
          <t>PCM: power control module</t>
        </is>
      </c>
      <c r="B1320" s="12" t="inlineStr"/>
      <c r="C1320" s="12" t="inlineStr">
        <is>
          <t>I</t>
        </is>
      </c>
      <c r="D1320" s="12" t="inlineStr">
        <is>
          <t>LV panel / distribution feeder</t>
        </is>
      </c>
      <c r="E1320" s="12" t="n">
        <v>480</v>
      </c>
      <c r="F1320" s="12" t="n">
        <v>38</v>
      </c>
      <c r="G1320" s="12" t="n">
        <v>53.8</v>
      </c>
      <c r="H1320" s="12" t="inlineStr">
        <is>
          <t>PCM: power control module</t>
        </is>
      </c>
      <c r="I1320" s="12" t="inlineStr">
        <is>
          <t>LV 600 V</t>
        </is>
      </c>
      <c r="J1320" s="12" t="inlineStr">
        <is>
          <t>4</t>
        </is>
      </c>
      <c r="K1320" s="12" t="n">
        <v>1</v>
      </c>
    </row>
    <row r="1321">
      <c r="A1321" s="12" t="inlineStr">
        <is>
          <t>RICE 1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1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1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1</t>
        </is>
      </c>
      <c r="K1323" s="12" t="n">
        <v>1</v>
      </c>
    </row>
    <row r="1324">
      <c r="A1324" s="12" t="inlineStr">
        <is>
          <t>RICE 1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2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2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2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2</t>
        </is>
      </c>
      <c r="K1330" s="12" t="n">
        <v>1</v>
      </c>
    </row>
    <row r="1331">
      <c r="A1331" s="12" t="inlineStr">
        <is>
          <t>RICE 2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3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3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3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3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4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5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6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7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7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8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8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CEMS</t>
        </is>
      </c>
      <c r="B1377" s="12" t="inlineStr"/>
      <c r="C1377" s="12" t="inlineStr">
        <is>
          <t>I</t>
        </is>
      </c>
      <c r="D1377" s="12" t="inlineStr">
        <is>
          <t>LV panel / distribution feeder</t>
        </is>
      </c>
      <c r="E1377" s="12" t="n">
        <v>480</v>
      </c>
      <c r="F1377" s="12" t="n">
        <v>30</v>
      </c>
      <c r="G1377" s="12" t="n">
        <v>42.5</v>
      </c>
      <c r="H1377" s="12" t="inlineStr">
        <is>
          <t>PCM: power control module</t>
        </is>
      </c>
      <c r="I1377" s="12" t="inlineStr">
        <is>
          <t>LV 600 V</t>
        </is>
      </c>
      <c r="J1377" s="12" t="inlineStr">
        <is>
          <t>4</t>
        </is>
      </c>
      <c r="K1377" s="12" t="n">
        <v>1</v>
      </c>
    </row>
    <row r="1378">
      <c r="A1378" s="12" t="inlineStr">
        <is>
          <t>RICE engine hall (8 engines)</t>
        </is>
      </c>
      <c r="B1378" s="12" t="inlineStr">
        <is>
          <t>RICE</t>
        </is>
      </c>
      <c r="C1378" s="12" t="inlineStr">
        <is>
          <t>I</t>
        </is>
      </c>
      <c r="D1378" s="12" t="inlineStr">
        <is>
          <t>LV power feeder</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engine-generator 1</t>
        </is>
      </c>
      <c r="B1379" s="12" t="inlineStr">
        <is>
          <t>RICE-1</t>
        </is>
      </c>
      <c r="C1379" s="12" t="inlineStr">
        <is>
          <t>I</t>
        </is>
      </c>
      <c r="D1379" s="12" t="inlineStr">
        <is>
          <t>Motor 1 of 6, 22 kW</t>
        </is>
      </c>
      <c r="E1379" s="12" t="n">
        <v>480</v>
      </c>
      <c r="F1379" s="12" t="n">
        <v>22</v>
      </c>
      <c r="G1379" s="12" t="n">
        <v>31.1</v>
      </c>
      <c r="H1379" s="12" t="inlineStr">
        <is>
          <t>PCM: power control module</t>
        </is>
      </c>
      <c r="I1379" s="12" t="inlineStr">
        <is>
          <t>LV 600 V</t>
        </is>
      </c>
      <c r="J1379" s="12" t="inlineStr">
        <is>
          <t>4</t>
        </is>
      </c>
      <c r="K1379" s="12" t="n">
        <v>1</v>
      </c>
    </row>
    <row r="1380">
      <c r="A1380" s="12" t="inlineStr">
        <is>
          <t>RICE engine-generator 1</t>
        </is>
      </c>
      <c r="B1380" s="12" t="inlineStr">
        <is>
          <t>RICE-1</t>
        </is>
      </c>
      <c r="C1380" s="12" t="inlineStr">
        <is>
          <t>I</t>
        </is>
      </c>
      <c r="D1380" s="12" t="inlineStr">
        <is>
          <t>Motor 2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3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4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5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6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480 V welding receptacle 1</t>
        </is>
      </c>
      <c r="E1385" s="12" t="n">
        <v>480</v>
      </c>
      <c r="F1385" s="12" t="n">
        <v>60</v>
      </c>
      <c r="G1385" s="12" t="n">
        <v>76</v>
      </c>
      <c r="H1385" s="12" t="inlineStr">
        <is>
          <t>PCM: power control module</t>
        </is>
      </c>
      <c r="I1385" s="12" t="inlineStr">
        <is>
          <t>LV 600 V</t>
        </is>
      </c>
      <c r="J1385" s="12" t="inlineStr">
        <is>
          <t>1/0</t>
        </is>
      </c>
      <c r="K1385" s="12" t="n">
        <v>1</v>
      </c>
    </row>
    <row r="1386">
      <c r="A1386" s="12" t="inlineStr">
        <is>
          <t>RICE engine-generator 1</t>
        </is>
      </c>
      <c r="B1386" s="12" t="inlineStr">
        <is>
          <t>RICE-1</t>
        </is>
      </c>
      <c r="C1386" s="12" t="inlineStr">
        <is>
          <t>I</t>
        </is>
      </c>
      <c r="D1386" s="12" t="inlineStr">
        <is>
          <t>480 V welding receptacle 2</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3</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4</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Motor 1 of 6, 22 kW</t>
        </is>
      </c>
      <c r="E1389" s="12" t="n">
        <v>480</v>
      </c>
      <c r="F1389" s="12" t="n">
        <v>22</v>
      </c>
      <c r="G1389" s="12" t="n">
        <v>31.1</v>
      </c>
      <c r="H1389" s="12" t="inlineStr">
        <is>
          <t>PCM: power control module</t>
        </is>
      </c>
      <c r="I1389" s="12" t="inlineStr">
        <is>
          <t>LV 600 V</t>
        </is>
      </c>
      <c r="J1389" s="12" t="inlineStr">
        <is>
          <t>4</t>
        </is>
      </c>
      <c r="K1389" s="12" t="n">
        <v>1</v>
      </c>
    </row>
    <row r="1390">
      <c r="A1390" s="12" t="inlineStr">
        <is>
          <t>RICE engine-generator 2</t>
        </is>
      </c>
      <c r="B1390" s="12" t="inlineStr">
        <is>
          <t>RICE-2</t>
        </is>
      </c>
      <c r="C1390" s="12" t="inlineStr">
        <is>
          <t>I</t>
        </is>
      </c>
      <c r="D1390" s="12" t="inlineStr">
        <is>
          <t>Motor 2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3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4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5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6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480 V welding receptacle 1</t>
        </is>
      </c>
      <c r="E1395" s="12" t="n">
        <v>480</v>
      </c>
      <c r="F1395" s="12" t="n">
        <v>60</v>
      </c>
      <c r="G1395" s="12" t="n">
        <v>76</v>
      </c>
      <c r="H1395" s="12" t="inlineStr">
        <is>
          <t>PCM: power control module</t>
        </is>
      </c>
      <c r="I1395" s="12" t="inlineStr">
        <is>
          <t>LV 600 V</t>
        </is>
      </c>
      <c r="J1395" s="12" t="inlineStr">
        <is>
          <t>1/0</t>
        </is>
      </c>
      <c r="K1395" s="12" t="n">
        <v>1</v>
      </c>
    </row>
    <row r="1396">
      <c r="A1396" s="12" t="inlineStr">
        <is>
          <t>RICE engine-generator 2</t>
        </is>
      </c>
      <c r="B1396" s="12" t="inlineStr">
        <is>
          <t>RICE-2</t>
        </is>
      </c>
      <c r="C1396" s="12" t="inlineStr">
        <is>
          <t>I</t>
        </is>
      </c>
      <c r="D1396" s="12" t="inlineStr">
        <is>
          <t>480 V welding receptacle 2</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3</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4</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3</t>
        </is>
      </c>
      <c r="B1399" s="12" t="inlineStr">
        <is>
          <t>RICE-3</t>
        </is>
      </c>
      <c r="C1399" s="12" t="inlineStr">
        <is>
          <t>I</t>
        </is>
      </c>
      <c r="D1399" s="12" t="inlineStr">
        <is>
          <t>Motor 1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3</t>
        </is>
      </c>
      <c r="B1400" s="12" t="inlineStr">
        <is>
          <t>RICE-3</t>
        </is>
      </c>
      <c r="C1400" s="12" t="inlineStr">
        <is>
          <t>I</t>
        </is>
      </c>
      <c r="D1400" s="12" t="inlineStr">
        <is>
          <t>Motor 2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3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4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5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6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480 V welding receptacle 1</t>
        </is>
      </c>
      <c r="E1405" s="12" t="n">
        <v>480</v>
      </c>
      <c r="F1405" s="12" t="n">
        <v>60</v>
      </c>
      <c r="G1405" s="12" t="n">
        <v>76</v>
      </c>
      <c r="H1405" s="12" t="inlineStr">
        <is>
          <t>PCM: power control module</t>
        </is>
      </c>
      <c r="I1405" s="12" t="inlineStr">
        <is>
          <t>LV 600 V</t>
        </is>
      </c>
      <c r="J1405" s="12" t="inlineStr">
        <is>
          <t>1</t>
        </is>
      </c>
      <c r="K1405" s="12" t="n">
        <v>1</v>
      </c>
    </row>
    <row r="1406">
      <c r="A1406" s="12" t="inlineStr">
        <is>
          <t>RICE engine-generator 3</t>
        </is>
      </c>
      <c r="B1406" s="12" t="inlineStr">
        <is>
          <t>RICE-3</t>
        </is>
      </c>
      <c r="C1406" s="12" t="inlineStr">
        <is>
          <t>I</t>
        </is>
      </c>
      <c r="D1406" s="12" t="inlineStr">
        <is>
          <t>480 V welding receptacle 2</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3</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4</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Motor 1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4</t>
        </is>
      </c>
      <c r="B1410" s="12" t="inlineStr">
        <is>
          <t>RICE-4</t>
        </is>
      </c>
      <c r="C1410" s="12" t="inlineStr">
        <is>
          <t>I</t>
        </is>
      </c>
      <c r="D1410" s="12" t="inlineStr">
        <is>
          <t>Motor 2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3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4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5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6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480 V welding receptacle 1</t>
        </is>
      </c>
      <c r="E1415" s="12" t="n">
        <v>480</v>
      </c>
      <c r="F1415" s="12" t="n">
        <v>60</v>
      </c>
      <c r="G1415" s="12" t="n">
        <v>76</v>
      </c>
      <c r="H1415" s="12" t="inlineStr">
        <is>
          <t>PCM: power control module</t>
        </is>
      </c>
      <c r="I1415" s="12" t="inlineStr">
        <is>
          <t>LV 600 V</t>
        </is>
      </c>
      <c r="J1415" s="12" t="inlineStr">
        <is>
          <t>1</t>
        </is>
      </c>
      <c r="K1415" s="12" t="n">
        <v>1</v>
      </c>
    </row>
    <row r="1416">
      <c r="A1416" s="12" t="inlineStr">
        <is>
          <t>RICE engine-generator 4</t>
        </is>
      </c>
      <c r="B1416" s="12" t="inlineStr">
        <is>
          <t>RICE-4</t>
        </is>
      </c>
      <c r="C1416" s="12" t="inlineStr">
        <is>
          <t>I</t>
        </is>
      </c>
      <c r="D1416" s="12" t="inlineStr">
        <is>
          <t>480 V welding receptacle 2</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3</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4</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Motor 1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5</t>
        </is>
      </c>
      <c r="B1420" s="12" t="inlineStr">
        <is>
          <t>RICE-5</t>
        </is>
      </c>
      <c r="C1420" s="12" t="inlineStr">
        <is>
          <t>I</t>
        </is>
      </c>
      <c r="D1420" s="12" t="inlineStr">
        <is>
          <t>Motor 2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3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4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5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6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480 V welding receptacle 1</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5</t>
        </is>
      </c>
      <c r="B1426" s="12" t="inlineStr">
        <is>
          <t>RICE-5</t>
        </is>
      </c>
      <c r="C1426" s="12" t="inlineStr">
        <is>
          <t>I</t>
        </is>
      </c>
      <c r="D1426" s="12" t="inlineStr">
        <is>
          <t>480 V welding receptacle 2</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3</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4</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Motor 1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6</t>
        </is>
      </c>
      <c r="B1430" s="12" t="inlineStr">
        <is>
          <t>RICE-6</t>
        </is>
      </c>
      <c r="C1430" s="12" t="inlineStr">
        <is>
          <t>I</t>
        </is>
      </c>
      <c r="D1430" s="12" t="inlineStr">
        <is>
          <t>Motor 2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3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4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5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6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480 V welding receptacle 1</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6</t>
        </is>
      </c>
      <c r="B1436" s="12" t="inlineStr">
        <is>
          <t>RICE-6</t>
        </is>
      </c>
      <c r="C1436" s="12" t="inlineStr">
        <is>
          <t>I</t>
        </is>
      </c>
      <c r="D1436" s="12" t="inlineStr">
        <is>
          <t>480 V welding receptacle 2</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3</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4</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7</t>
        </is>
      </c>
      <c r="B1439" s="12" t="inlineStr">
        <is>
          <t>RICE-7</t>
        </is>
      </c>
      <c r="C1439" s="12" t="inlineStr">
        <is>
          <t>I</t>
        </is>
      </c>
      <c r="D1439" s="12" t="inlineStr">
        <is>
          <t>Motor 1 of 6, 22 kW</t>
        </is>
      </c>
      <c r="E1439" s="12" t="n">
        <v>480</v>
      </c>
      <c r="F1439" s="12" t="n">
        <v>22</v>
      </c>
      <c r="G1439" s="12" t="n">
        <v>31.1</v>
      </c>
      <c r="H1439" s="12" t="inlineStr">
        <is>
          <t>PCM: power control module</t>
        </is>
      </c>
      <c r="I1439" s="12" t="inlineStr">
        <is>
          <t>LV 600 V</t>
        </is>
      </c>
      <c r="J1439" s="12" t="inlineStr">
        <is>
          <t>8</t>
        </is>
      </c>
      <c r="K1439" s="12" t="n">
        <v>1</v>
      </c>
    </row>
    <row r="1440">
      <c r="A1440" s="12" t="inlineStr">
        <is>
          <t>RICE engine-generator 7</t>
        </is>
      </c>
      <c r="B1440" s="12" t="inlineStr">
        <is>
          <t>RICE-7</t>
        </is>
      </c>
      <c r="C1440" s="12" t="inlineStr">
        <is>
          <t>I</t>
        </is>
      </c>
      <c r="D1440" s="12" t="inlineStr">
        <is>
          <t>Motor 2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3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4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5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6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480 V welding receptacle 1</t>
        </is>
      </c>
      <c r="E1445" s="12" t="n">
        <v>480</v>
      </c>
      <c r="F1445" s="12" t="n">
        <v>60</v>
      </c>
      <c r="G1445" s="12" t="n">
        <v>76</v>
      </c>
      <c r="H1445" s="12" t="inlineStr">
        <is>
          <t>PCM: power control module</t>
        </is>
      </c>
      <c r="I1445" s="12" t="inlineStr">
        <is>
          <t>LV 600 V</t>
        </is>
      </c>
      <c r="J1445" s="12" t="inlineStr">
        <is>
          <t>2</t>
        </is>
      </c>
      <c r="K1445" s="12" t="n">
        <v>1</v>
      </c>
    </row>
    <row r="1446">
      <c r="A1446" s="12" t="inlineStr">
        <is>
          <t>RICE engine-generator 7</t>
        </is>
      </c>
      <c r="B1446" s="12" t="inlineStr">
        <is>
          <t>RICE-7</t>
        </is>
      </c>
      <c r="C1446" s="12" t="inlineStr">
        <is>
          <t>I</t>
        </is>
      </c>
      <c r="D1446" s="12" t="inlineStr">
        <is>
          <t>480 V welding receptacle 2</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3</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4</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Motor 1 of 6, 22 kW</t>
        </is>
      </c>
      <c r="E1449" s="12" t="n">
        <v>480</v>
      </c>
      <c r="F1449" s="12" t="n">
        <v>22</v>
      </c>
      <c r="G1449" s="12" t="n">
        <v>31.1</v>
      </c>
      <c r="H1449" s="12" t="inlineStr">
        <is>
          <t>PCM: power control module</t>
        </is>
      </c>
      <c r="I1449" s="12" t="inlineStr">
        <is>
          <t>LV 600 V</t>
        </is>
      </c>
      <c r="J1449" s="12" t="inlineStr">
        <is>
          <t>8</t>
        </is>
      </c>
      <c r="K1449" s="12" t="n">
        <v>1</v>
      </c>
    </row>
    <row r="1450">
      <c r="A1450" s="12" t="inlineStr">
        <is>
          <t>RICE engine-generator 8</t>
        </is>
      </c>
      <c r="B1450" s="12" t="inlineStr">
        <is>
          <t>RICE-8</t>
        </is>
      </c>
      <c r="C1450" s="12" t="inlineStr">
        <is>
          <t>I</t>
        </is>
      </c>
      <c r="D1450" s="12" t="inlineStr">
        <is>
          <t>Motor 2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3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4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5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6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480 V welding receptacle 1</t>
        </is>
      </c>
      <c r="E1455" s="12" t="n">
        <v>480</v>
      </c>
      <c r="F1455" s="12" t="n">
        <v>60</v>
      </c>
      <c r="G1455" s="12" t="n">
        <v>76</v>
      </c>
      <c r="H1455" s="12" t="inlineStr">
        <is>
          <t>PCM: power control module</t>
        </is>
      </c>
      <c r="I1455" s="12" t="inlineStr">
        <is>
          <t>LV 600 V</t>
        </is>
      </c>
      <c r="J1455" s="12" t="inlineStr">
        <is>
          <t>2</t>
        </is>
      </c>
      <c r="K1455" s="12" t="n">
        <v>1</v>
      </c>
    </row>
    <row r="1456">
      <c r="A1456" s="12" t="inlineStr">
        <is>
          <t>RICE engine-generator 8</t>
        </is>
      </c>
      <c r="B1456" s="12" t="inlineStr">
        <is>
          <t>RICE-8</t>
        </is>
      </c>
      <c r="C1456" s="12" t="inlineStr">
        <is>
          <t>I</t>
        </is>
      </c>
      <c r="D1456" s="12" t="inlineStr">
        <is>
          <t>480 V welding receptacle 2</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3</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4</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Reagent storage</t>
        </is>
      </c>
      <c r="B1459" s="12" t="inlineStr"/>
      <c r="C1459" s="12" t="inlineStr">
        <is>
          <t>I</t>
        </is>
      </c>
      <c r="D1459" s="12" t="inlineStr">
        <is>
          <t>LV power feeder</t>
        </is>
      </c>
      <c r="E1459" s="12" t="n">
        <v>480</v>
      </c>
      <c r="F1459" s="12" t="n">
        <v>15</v>
      </c>
      <c r="G1459" s="12" t="n">
        <v>21.2</v>
      </c>
      <c r="H1459" s="12" t="inlineStr">
        <is>
          <t>PCM: power control module</t>
        </is>
      </c>
      <c r="I1459" s="12" t="inlineStr">
        <is>
          <t>LV 600 V</t>
        </is>
      </c>
      <c r="J1459" s="12" t="inlineStr">
        <is>
          <t>10</t>
        </is>
      </c>
      <c r="K1459" s="12" t="n">
        <v>1</v>
      </c>
    </row>
    <row r="1460">
      <c r="A1460" s="12" t="inlineStr">
        <is>
          <t>SC-1 SCR / CO catalyst</t>
        </is>
      </c>
      <c r="B1460" s="12" t="inlineStr"/>
      <c r="C1460" s="12" t="inlineStr">
        <is>
          <t>I</t>
        </is>
      </c>
      <c r="D1460" s="12" t="inlineStr">
        <is>
          <t>Motor 1 of 2,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SCR / CO catalyst</t>
        </is>
      </c>
      <c r="B1461" s="12" t="inlineStr"/>
      <c r="C1461" s="12" t="inlineStr">
        <is>
          <t>I</t>
        </is>
      </c>
      <c r="D1461" s="12" t="inlineStr">
        <is>
          <t>Motor 2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lube-oil fin-fan cooler</t>
        </is>
      </c>
      <c r="B1462" s="12" t="inlineStr"/>
      <c r="C1462" s="12" t="inlineStr">
        <is>
          <t>I</t>
        </is>
      </c>
      <c r="D1462" s="12" t="inlineStr">
        <is>
          <t>Motor 1 of 4,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lube-oil fin-fan cooler</t>
        </is>
      </c>
      <c r="B1463" s="12" t="inlineStr"/>
      <c r="C1463" s="12" t="inlineStr">
        <is>
          <t>I</t>
        </is>
      </c>
      <c r="D1463" s="12" t="inlineStr">
        <is>
          <t>Motor 2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3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4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stack (80 ft)</t>
        </is>
      </c>
      <c r="B1466" s="12" t="inlineStr"/>
      <c r="C1466" s="12" t="inlineStr">
        <is>
          <t>I</t>
        </is>
      </c>
      <c r="D1466" s="12" t="inlineStr">
        <is>
          <t>Area / platform lighting circuit 1 (4 fixtures)</t>
        </is>
      </c>
      <c r="E1466" s="12" t="n">
        <v>480</v>
      </c>
      <c r="F1466" s="12" t="n">
        <v>3</v>
      </c>
      <c r="G1466" s="12" t="n">
        <v>5</v>
      </c>
      <c r="H1466" s="12" t="inlineStr">
        <is>
          <t>PCM: power control module</t>
        </is>
      </c>
      <c r="I1466" s="12" t="inlineStr">
        <is>
          <t>LV 600 V</t>
        </is>
      </c>
      <c r="J1466" s="12" t="inlineStr">
        <is>
          <t>2</t>
        </is>
      </c>
      <c r="K1466" s="12" t="n">
        <v>1</v>
      </c>
    </row>
    <row r="1467">
      <c r="A1467" s="12" t="inlineStr">
        <is>
          <t>SC-1: aeroderivative simple-cycle unit (LM6000 class)</t>
        </is>
      </c>
      <c r="B1467" s="12" t="inlineStr">
        <is>
          <t>SC-1</t>
        </is>
      </c>
      <c r="C1467" s="12" t="inlineStr">
        <is>
          <t>I</t>
        </is>
      </c>
      <c r="D1467" s="12" t="inlineStr">
        <is>
          <t>Motor 1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2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3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4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5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6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7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8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9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10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SC-2 SCR / CO catalyst</t>
        </is>
      </c>
      <c r="B1477" s="12" t="inlineStr"/>
      <c r="C1477" s="12" t="inlineStr">
        <is>
          <t>I</t>
        </is>
      </c>
      <c r="D1477" s="12" t="inlineStr">
        <is>
          <t>Motor 1 of 2,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SCR / CO catalyst</t>
        </is>
      </c>
      <c r="B1478" s="12" t="inlineStr"/>
      <c r="C1478" s="12" t="inlineStr">
        <is>
          <t>I</t>
        </is>
      </c>
      <c r="D1478" s="12" t="inlineStr">
        <is>
          <t>Motor 2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lube-oil fin-fan cooler</t>
        </is>
      </c>
      <c r="B1479" s="12" t="inlineStr"/>
      <c r="C1479" s="12" t="inlineStr">
        <is>
          <t>I</t>
        </is>
      </c>
      <c r="D1479" s="12" t="inlineStr">
        <is>
          <t>Motor 1 of 4, 15 kW</t>
        </is>
      </c>
      <c r="E1479" s="12" t="n">
        <v>480</v>
      </c>
      <c r="F1479" s="12" t="n">
        <v>15</v>
      </c>
      <c r="G1479" s="12" t="n">
        <v>21.2</v>
      </c>
      <c r="H1479" s="12" t="inlineStr">
        <is>
          <t>MOD-LV 480 V board + 480 V : 13.8 kV step-up</t>
        </is>
      </c>
      <c r="I1479" s="12" t="inlineStr">
        <is>
          <t>LV 600 V</t>
        </is>
      </c>
      <c r="J1479" s="12" t="inlineStr">
        <is>
          <t>3/0</t>
        </is>
      </c>
      <c r="K1479" s="12" t="n">
        <v>1</v>
      </c>
    </row>
    <row r="1480">
      <c r="A1480" s="12" t="inlineStr">
        <is>
          <t>SC-2 lube-oil fin-fan cooler</t>
        </is>
      </c>
      <c r="B1480" s="12" t="inlineStr"/>
      <c r="C1480" s="12" t="inlineStr">
        <is>
          <t>I</t>
        </is>
      </c>
      <c r="D1480" s="12" t="inlineStr">
        <is>
          <t>Motor 2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3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4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stack (80 ft)</t>
        </is>
      </c>
      <c r="B1483" s="12" t="inlineStr"/>
      <c r="C1483" s="12" t="inlineStr">
        <is>
          <t>I</t>
        </is>
      </c>
      <c r="D1483" s="12" t="inlineStr">
        <is>
          <t>Area / platform lighting circuit 1 (4 fixtures)</t>
        </is>
      </c>
      <c r="E1483" s="12" t="n">
        <v>480</v>
      </c>
      <c r="F1483" s="12" t="n">
        <v>3</v>
      </c>
      <c r="G1483" s="12" t="n">
        <v>5</v>
      </c>
      <c r="H1483" s="12" t="inlineStr">
        <is>
          <t>MOD-LV 480 V board + 480 V : 13.8 kV step-up</t>
        </is>
      </c>
      <c r="I1483" s="12" t="inlineStr">
        <is>
          <t>LV 600 V</t>
        </is>
      </c>
      <c r="J1483" s="12" t="inlineStr">
        <is>
          <t>4</t>
        </is>
      </c>
      <c r="K1483" s="12" t="n">
        <v>1</v>
      </c>
    </row>
    <row r="1484">
      <c r="A1484" s="12" t="inlineStr">
        <is>
          <t>SC-2: aeroderivative simple-cycle unit (LM6000 class)</t>
        </is>
      </c>
      <c r="B1484" s="12" t="inlineStr">
        <is>
          <t>SC-2</t>
        </is>
      </c>
      <c r="C1484" s="12" t="inlineStr">
        <is>
          <t>I</t>
        </is>
      </c>
      <c r="D1484" s="12" t="inlineStr">
        <is>
          <t>Motor 1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2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3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4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5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6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7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8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9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10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T-MOD 230 kV take-off gantry with arresters</t>
        </is>
      </c>
      <c r="B1494" s="12" t="inlineStr"/>
      <c r="C1494" s="12" t="inlineStr">
        <is>
          <t>I</t>
        </is>
      </c>
      <c r="D1494" s="12" t="inlineStr">
        <is>
          <t>Motor 1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 230 kV take-off gantry with arresters</t>
        </is>
      </c>
      <c r="B1495" s="12" t="inlineStr"/>
      <c r="C1495" s="12" t="inlineStr">
        <is>
          <t>I</t>
        </is>
      </c>
      <c r="D1495" s="12" t="inlineStr">
        <is>
          <t>Motor 2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3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4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5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6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 T-MOD-2 firewall</t>
        </is>
      </c>
      <c r="B1500" s="12" t="inlineStr"/>
      <c r="C1500" s="12" t="inlineStr">
        <is>
          <t>I</t>
        </is>
      </c>
      <c r="D1500" s="12" t="inlineStr">
        <is>
          <t>Motor 1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2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3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4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5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6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13.8/230 kV</t>
        </is>
      </c>
      <c r="B1506" s="12" t="inlineStr">
        <is>
          <t>T-MOD-1</t>
        </is>
      </c>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T-MOD-2: 13.8/230 kV</t>
        </is>
      </c>
      <c r="B1512" s="12" t="inlineStr">
        <is>
          <t>T-MOD-2</t>
        </is>
      </c>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TM-1: trailer-mounted aeroderivative GT (TM2500 class, ~35 MW)</t>
        </is>
      </c>
      <c r="B1518" s="12" t="inlineStr">
        <is>
          <t>TM-1</t>
        </is>
      </c>
      <c r="C1518" s="12" t="inlineStr">
        <is>
          <t>I</t>
        </is>
      </c>
      <c r="D1518" s="12" t="inlineStr">
        <is>
          <t>Motor 1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TM-1: trailer-mounted aeroderivative GT (TM2500 class, ~35 MW)</t>
        </is>
      </c>
      <c r="B1519" s="12" t="inlineStr">
        <is>
          <t>TM-1</t>
        </is>
      </c>
      <c r="C1519" s="12" t="inlineStr">
        <is>
          <t>I</t>
        </is>
      </c>
      <c r="D1519" s="12" t="inlineStr">
        <is>
          <t>Motor 2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3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4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5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6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TM-2: trailer-mounted aeroderivative GT (TM2500 class, ~35 MW)</t>
        </is>
      </c>
      <c r="B1524" s="12" t="inlineStr">
        <is>
          <t>TM-2</t>
        </is>
      </c>
      <c r="C1524" s="12" t="inlineStr">
        <is>
          <t>I</t>
        </is>
      </c>
      <c r="D1524" s="12" t="inlineStr">
        <is>
          <t>Motor 1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2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3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4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5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6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Water-injection skid</t>
        </is>
      </c>
      <c r="B1530" s="12" t="inlineStr"/>
      <c r="C1530" s="12" t="inlineStr">
        <is>
          <t>I</t>
        </is>
      </c>
      <c r="D1530" s="12" t="inlineStr">
        <is>
          <t>LV power feeder</t>
        </is>
      </c>
      <c r="E1530" s="12" t="n">
        <v>480</v>
      </c>
      <c r="F1530" s="12" t="n">
        <v>15</v>
      </c>
      <c r="G1530" s="12" t="n">
        <v>21.2</v>
      </c>
      <c r="H1530" s="12" t="inlineStr">
        <is>
          <t>MOD-LV 480 V board + 480 V : 13.8 kV step-up</t>
        </is>
      </c>
      <c r="I1530" s="12" t="inlineStr">
        <is>
          <t>LV 600 V</t>
        </is>
      </c>
      <c r="J1530" s="12" t="inlineStr">
        <is>
          <t>3/0</t>
        </is>
      </c>
      <c r="K1530" s="12" t="n">
        <v>1</v>
      </c>
    </row>
    <row r="1531">
      <c r="A1531" s="12" t="inlineStr">
        <is>
          <t>Fuel-gas compressors 3 x 100% electric</t>
        </is>
      </c>
      <c r="B1531" s="12" t="inlineStr"/>
      <c r="C1531" s="12" t="inlineStr">
        <is>
          <t>I</t>
        </is>
      </c>
      <c r="D1531" s="12" t="inlineStr">
        <is>
          <t>Modular-yard fuel-gas compressor</t>
        </is>
      </c>
      <c r="E1531" s="12" t="n">
        <v>13800</v>
      </c>
      <c r="F1531" s="12" t="n">
        <v>1500</v>
      </c>
      <c r="G1531" s="12" t="n">
        <v>70</v>
      </c>
      <c r="H1531" s="12" t="inlineStr">
        <is>
          <t>MOD-EH: 13.8 kV modular collector e-house</t>
        </is>
      </c>
      <c r="I1531" s="12" t="inlineStr">
        <is>
          <t>MV 15 kV</t>
        </is>
      </c>
      <c r="J1531" s="12" t="inlineStr">
        <is>
          <t>2</t>
        </is>
      </c>
      <c r="K1531" s="12" t="n">
        <v>1</v>
      </c>
    </row>
    <row r="1532">
      <c r="A1532" s="12" t="inlineStr">
        <is>
          <t>Fuel-gas compressors 3 x 100% electric</t>
        </is>
      </c>
      <c r="B1532" s="12" t="inlineStr"/>
      <c r="C1532" s="12" t="inlineStr">
        <is>
          <t>I</t>
        </is>
      </c>
      <c r="D1532" s="12" t="inlineStr">
        <is>
          <t>Modular-yard fuel-gas compressor</t>
        </is>
      </c>
      <c r="E1532" s="12" t="n">
        <v>13800</v>
      </c>
      <c r="F1532" s="12" t="n">
        <v>1500</v>
      </c>
      <c r="G1532" s="12" t="n">
        <v>70</v>
      </c>
      <c r="H1532" s="12" t="inlineStr">
        <is>
          <t>MOD-EH: 13.8 kV modular collector e-house</t>
        </is>
      </c>
      <c r="I1532" s="12" t="inlineStr">
        <is>
          <t>MV 15 kV</t>
        </is>
      </c>
      <c r="J1532" s="12" t="inlineStr">
        <is>
          <t>2</t>
        </is>
      </c>
      <c r="K1532" s="12" t="n">
        <v>1</v>
      </c>
    </row>
    <row r="1533">
      <c r="A1533" s="12" t="inlineStr">
        <is>
          <t>Fuel-gas compressors 3 x 100% electric</t>
        </is>
      </c>
      <c r="B1533" s="12" t="inlineStr"/>
      <c r="C1533" s="12" t="inlineStr">
        <is>
          <t>I</t>
        </is>
      </c>
      <c r="D1533" s="12" t="inlineStr">
        <is>
          <t>Modular-yard fuel-gas compressor</t>
        </is>
      </c>
      <c r="E1533" s="12" t="n">
        <v>13800</v>
      </c>
      <c r="F1533" s="12" t="n">
        <v>1500</v>
      </c>
      <c r="G1533" s="12" t="n">
        <v>70</v>
      </c>
      <c r="H1533" s="12" t="inlineStr">
        <is>
          <t>MOD-EH: 13.8 kV modular collector e-house</t>
        </is>
      </c>
      <c r="I1533" s="12" t="inlineStr">
        <is>
          <t>MV 15 kV</t>
        </is>
      </c>
      <c r="J1533" s="12" t="inlineStr">
        <is>
          <t>2</t>
        </is>
      </c>
      <c r="K1533" s="12" t="n">
        <v>1</v>
      </c>
    </row>
    <row r="1534">
      <c r="A1534" s="12" t="inlineStr">
        <is>
          <t>MOD-EH: 13.8 kV modular collector e-house</t>
        </is>
      </c>
      <c r="B1534" s="12" t="inlineStr">
        <is>
          <t>MOD-EH</t>
        </is>
      </c>
      <c r="C1534" s="12" t="inlineStr">
        <is>
          <t>I</t>
        </is>
      </c>
      <c r="D1534" s="12" t="inlineStr">
        <is>
          <t>SC-1 PCM to MOD-EH</t>
        </is>
      </c>
      <c r="E1534" s="12" t="n">
        <v>13800</v>
      </c>
      <c r="F1534" s="12" t="n">
        <v>50000</v>
      </c>
      <c r="G1534" s="12" t="n">
        <v>2092</v>
      </c>
      <c r="H1534" s="12" t="inlineStr">
        <is>
          <t>SC-1 PCM + 15 kV GCB</t>
        </is>
      </c>
      <c r="I1534" s="12" t="inlineStr">
        <is>
          <t>MV 15 kV</t>
        </is>
      </c>
      <c r="J1534" s="12" t="inlineStr">
        <is>
          <t>750 kcmil</t>
        </is>
      </c>
      <c r="K1534" s="12" t="n">
        <v>5</v>
      </c>
    </row>
    <row r="1535">
      <c r="A1535" s="12" t="inlineStr">
        <is>
          <t>MOD-EH: 13.8 kV modular collector e-house</t>
        </is>
      </c>
      <c r="B1535" s="12" t="inlineStr">
        <is>
          <t>MOD-EH</t>
        </is>
      </c>
      <c r="C1535" s="12" t="inlineStr">
        <is>
          <t>I</t>
        </is>
      </c>
      <c r="D1535" s="12" t="inlineStr">
        <is>
          <t>SC-2 PCM to MOD-EH</t>
        </is>
      </c>
      <c r="E1535" s="12" t="n">
        <v>13800</v>
      </c>
      <c r="F1535" s="12" t="n">
        <v>50000</v>
      </c>
      <c r="G1535" s="12" t="n">
        <v>2092</v>
      </c>
      <c r="H1535" s="12" t="inlineStr">
        <is>
          <t>SC-2 PCM + 15 kV GCB</t>
        </is>
      </c>
      <c r="I1535" s="12" t="inlineStr">
        <is>
          <t>MV 15 kV</t>
        </is>
      </c>
      <c r="J1535" s="12" t="inlineStr">
        <is>
          <t>750 kcmil</t>
        </is>
      </c>
      <c r="K1535" s="12" t="n">
        <v>5</v>
      </c>
    </row>
    <row r="1536">
      <c r="A1536" s="12" t="inlineStr">
        <is>
          <t>MOD-EH: 13.8 kV modular collector e-house</t>
        </is>
      </c>
      <c r="B1536" s="12" t="inlineStr">
        <is>
          <t>MOD-EH</t>
        </is>
      </c>
      <c r="C1536" s="12" t="inlineStr">
        <is>
          <t>I</t>
        </is>
      </c>
      <c r="D1536" s="12" t="inlineStr">
        <is>
          <t>MOD-LV step-up to MOD-EH</t>
        </is>
      </c>
      <c r="E1536" s="12" t="n">
        <v>13800</v>
      </c>
      <c r="F1536" s="12" t="n">
        <v>7500</v>
      </c>
      <c r="G1536" s="12" t="n">
        <v>314</v>
      </c>
      <c r="H1536" s="12" t="inlineStr">
        <is>
          <t>MOD-LV 480 V board + 480 V : 13.8 kV step-up</t>
        </is>
      </c>
      <c r="I1536" s="12" t="inlineStr">
        <is>
          <t>MV 15 kV</t>
        </is>
      </c>
      <c r="J1536" s="12" t="inlineStr">
        <is>
          <t>500 kcmil</t>
        </is>
      </c>
      <c r="K1536" s="12" t="n">
        <v>1</v>
      </c>
    </row>
    <row r="1537">
      <c r="A1537" s="12" t="inlineStr">
        <is>
          <t>PAD-EH 13.8 kV switchgear e-house</t>
        </is>
      </c>
      <c r="B1537" s="12" t="inlineStr">
        <is>
          <t>PAD-EH</t>
        </is>
      </c>
      <c r="C1537" s="12" t="inlineStr">
        <is>
          <t>I</t>
        </is>
      </c>
      <c r="D1537" s="12" t="inlineStr">
        <is>
          <t>CONT-3 13.8 kV to PAD-EH (extension section, ground tray)</t>
        </is>
      </c>
      <c r="E1537" s="12" t="n">
        <v>13800</v>
      </c>
      <c r="F1537" s="12" t="n">
        <v>2000</v>
      </c>
      <c r="G1537" s="12" t="n">
        <v>93</v>
      </c>
      <c r="H1537" s="12" t="inlineStr">
        <is>
          <t>CONT-3: containerized gas genset 13.8 kV (40 ft)</t>
        </is>
      </c>
      <c r="I1537" s="12" t="inlineStr">
        <is>
          <t>MV 15 kV</t>
        </is>
      </c>
      <c r="J1537" s="12" t="inlineStr">
        <is>
          <t>2</t>
        </is>
      </c>
      <c r="K1537" s="12" t="n">
        <v>1</v>
      </c>
    </row>
    <row r="1538">
      <c r="A1538" s="12" t="inlineStr">
        <is>
          <t>PAD-EH 13.8 kV switchgear e-house</t>
        </is>
      </c>
      <c r="B1538" s="12" t="inlineStr">
        <is>
          <t>PAD-EH</t>
        </is>
      </c>
      <c r="C1538" s="12" t="inlineStr">
        <is>
          <t>I</t>
        </is>
      </c>
      <c r="D1538" s="12" t="inlineStr">
        <is>
          <t>CONT-4 13.8 kV to PAD-EH (extension section, ground tray)</t>
        </is>
      </c>
      <c r="E1538" s="12" t="n">
        <v>13800</v>
      </c>
      <c r="F1538" s="12" t="n">
        <v>2000</v>
      </c>
      <c r="G1538" s="12" t="n">
        <v>93</v>
      </c>
      <c r="H1538" s="12" t="inlineStr">
        <is>
          <t>CONT-4: containerized gas genset 13.8 kV (40 ft)</t>
        </is>
      </c>
      <c r="I1538" s="12" t="inlineStr">
        <is>
          <t>MV 15 kV</t>
        </is>
      </c>
      <c r="J1538" s="12" t="inlineStr">
        <is>
          <t>2</t>
        </is>
      </c>
      <c r="K1538" s="12" t="n">
        <v>1</v>
      </c>
    </row>
    <row r="1539">
      <c r="A1539" s="12" t="inlineStr">
        <is>
          <t>PAD-EH 13.8 kV switchgear e-house</t>
        </is>
      </c>
      <c r="B1539" s="12" t="inlineStr">
        <is>
          <t>PAD-EH</t>
        </is>
      </c>
      <c r="C1539" s="12" t="inlineStr">
        <is>
          <t>I</t>
        </is>
      </c>
      <c r="D1539" s="12" t="inlineStr">
        <is>
          <t>CONT-5 13.8 kV to PAD-EH (extension section, ground tray)</t>
        </is>
      </c>
      <c r="E1539" s="12" t="n">
        <v>13800</v>
      </c>
      <c r="F1539" s="12" t="n">
        <v>2000</v>
      </c>
      <c r="G1539" s="12" t="n">
        <v>93</v>
      </c>
      <c r="H1539" s="12" t="inlineStr">
        <is>
          <t>CONT-5: containerized gas genset 13.8 kV (40 ft)</t>
        </is>
      </c>
      <c r="I1539" s="12" t="inlineStr">
        <is>
          <t>MV 15 kV</t>
        </is>
      </c>
      <c r="J1539" s="12" t="inlineStr">
        <is>
          <t>2</t>
        </is>
      </c>
      <c r="K1539" s="12" t="n">
        <v>1</v>
      </c>
    </row>
    <row r="1540">
      <c r="A1540" s="12" t="inlineStr">
        <is>
          <t>PAD-EH 13.8 kV switchgear e-house</t>
        </is>
      </c>
      <c r="B1540" s="12" t="inlineStr">
        <is>
          <t>PAD-EH</t>
        </is>
      </c>
      <c r="C1540" s="12" t="inlineStr">
        <is>
          <t>I</t>
        </is>
      </c>
      <c r="D1540" s="12" t="inlineStr">
        <is>
          <t>CONT-6 13.8 kV to PAD-EH (extension section, ground tray)</t>
        </is>
      </c>
      <c r="E1540" s="12" t="n">
        <v>13800</v>
      </c>
      <c r="F1540" s="12" t="n">
        <v>2000</v>
      </c>
      <c r="G1540" s="12" t="n">
        <v>93</v>
      </c>
      <c r="H1540" s="12" t="inlineStr">
        <is>
          <t>CONT-6: containerized gas genset 13.8 kV (40 ft)</t>
        </is>
      </c>
      <c r="I1540" s="12" t="inlineStr">
        <is>
          <t>MV 15 kV</t>
        </is>
      </c>
      <c r="J1540" s="12" t="inlineStr">
        <is>
          <t>2</t>
        </is>
      </c>
      <c r="K1540" s="12" t="n">
        <v>1</v>
      </c>
    </row>
    <row r="1541">
      <c r="A1541" s="12" t="inlineStr">
        <is>
          <t>PAD-EH 13.8 kV switchgear e-house</t>
        </is>
      </c>
      <c r="B1541" s="12" t="inlineStr">
        <is>
          <t>PAD-EH</t>
        </is>
      </c>
      <c r="C1541" s="12" t="inlineStr">
        <is>
          <t>I</t>
        </is>
      </c>
      <c r="D1541" s="12" t="inlineStr">
        <is>
          <t>CONT-7 13.8 kV to PAD-EH (extension section, ground tray)</t>
        </is>
      </c>
      <c r="E1541" s="12" t="n">
        <v>13800</v>
      </c>
      <c r="F1541" s="12" t="n">
        <v>2000</v>
      </c>
      <c r="G1541" s="12" t="n">
        <v>93</v>
      </c>
      <c r="H1541" s="12" t="inlineStr">
        <is>
          <t>CONT-7: containerized gas genset 13.8 kV (40 ft)</t>
        </is>
      </c>
      <c r="I1541" s="12" t="inlineStr">
        <is>
          <t>MV 15 kV</t>
        </is>
      </c>
      <c r="J1541" s="12" t="inlineStr">
        <is>
          <t>2</t>
        </is>
      </c>
      <c r="K1541" s="12" t="n">
        <v>1</v>
      </c>
    </row>
    <row r="1542">
      <c r="A1542" s="12" t="inlineStr">
        <is>
          <t>PAD-EH 13.8 kV switchgear e-house</t>
        </is>
      </c>
      <c r="B1542" s="12" t="inlineStr">
        <is>
          <t>PAD-EH</t>
        </is>
      </c>
      <c r="C1542" s="12" t="inlineStr">
        <is>
          <t>I</t>
        </is>
      </c>
      <c r="D1542" s="12" t="inlineStr">
        <is>
          <t>CONT-8 13.8 kV to PAD-EH (extension section, ground tray)</t>
        </is>
      </c>
      <c r="E1542" s="12" t="n">
        <v>13800</v>
      </c>
      <c r="F1542" s="12" t="n">
        <v>2000</v>
      </c>
      <c r="G1542" s="12" t="n">
        <v>93</v>
      </c>
      <c r="H1542" s="12" t="inlineStr">
        <is>
          <t>CONT-8: containerized gas genset 13.8 kV (40 ft)</t>
        </is>
      </c>
      <c r="I1542" s="12" t="inlineStr">
        <is>
          <t>MV 15 kV</t>
        </is>
      </c>
      <c r="J1542" s="12" t="inlineStr">
        <is>
          <t>2</t>
        </is>
      </c>
      <c r="K1542" s="12" t="n">
        <v>1</v>
      </c>
    </row>
    <row r="1543">
      <c r="A1543" s="12" t="inlineStr">
        <is>
          <t>PAD-EH 13.8 kV switchgear e-house</t>
        </is>
      </c>
      <c r="B1543" s="12" t="inlineStr">
        <is>
          <t>PAD-EH</t>
        </is>
      </c>
      <c r="C1543" s="12" t="inlineStr">
        <is>
          <t>I</t>
        </is>
      </c>
      <c r="D1543" s="12" t="inlineStr">
        <is>
          <t>TM-1 (TM2500) generator leads to PAD-EH</t>
        </is>
      </c>
      <c r="E1543" s="12" t="n">
        <v>13800</v>
      </c>
      <c r="F1543" s="12" t="n">
        <v>35000</v>
      </c>
      <c r="G1543" s="12" t="n">
        <v>1464</v>
      </c>
      <c r="H1543" s="12" t="inlineStr">
        <is>
          <t>TM-1: trailer-mounted aeroderivative GT (TM2500 class, ~35 M</t>
        </is>
      </c>
      <c r="I1543" s="12" t="inlineStr">
        <is>
          <t>MV 15 kV</t>
        </is>
      </c>
      <c r="J1543" s="12" t="inlineStr">
        <is>
          <t>1000 kcmil</t>
        </is>
      </c>
      <c r="K1543" s="12" t="n">
        <v>3</v>
      </c>
    </row>
    <row r="1544">
      <c r="A1544" s="12" t="inlineStr">
        <is>
          <t>PAD-EH 13.8 kV switchgear e-house</t>
        </is>
      </c>
      <c r="B1544" s="12" t="inlineStr">
        <is>
          <t>PAD-EH</t>
        </is>
      </c>
      <c r="C1544" s="12" t="inlineStr">
        <is>
          <t>I</t>
        </is>
      </c>
      <c r="D1544" s="12" t="inlineStr">
        <is>
          <t>TM-2 (TM2500) generator leads to PAD-EH</t>
        </is>
      </c>
      <c r="E1544" s="12" t="n">
        <v>13800</v>
      </c>
      <c r="F1544" s="12" t="n">
        <v>35000</v>
      </c>
      <c r="G1544" s="12" t="n">
        <v>1464</v>
      </c>
      <c r="H1544" s="12" t="inlineStr">
        <is>
          <t>TM-2: trailer-mounted aeroderivative GT (TM2500 class, ~35 M</t>
        </is>
      </c>
      <c r="I1544" s="12" t="inlineStr">
        <is>
          <t>MV 15 kV</t>
        </is>
      </c>
      <c r="J1544" s="12" t="inlineStr">
        <is>
          <t>1000 kcmil</t>
        </is>
      </c>
      <c r="K1544" s="12" t="n">
        <v>3</v>
      </c>
    </row>
    <row r="1545">
      <c r="A1545" s="12" t="inlineStr">
        <is>
          <t>PCM: power control module</t>
        </is>
      </c>
      <c r="B1545" s="12" t="inlineStr"/>
      <c r="C1545" s="12" t="inlineStr">
        <is>
          <t>I</t>
        </is>
      </c>
      <c r="D1545" s="12" t="inlineStr">
        <is>
          <t>RICE-1 generator leads to the PCM</t>
        </is>
      </c>
      <c r="E1545" s="12" t="n">
        <v>13800</v>
      </c>
      <c r="F1545" s="12" t="n">
        <v>18400</v>
      </c>
      <c r="G1545" s="12" t="n">
        <v>770</v>
      </c>
      <c r="H1545" s="12" t="inlineStr">
        <is>
          <t>RICE engine-generator 1</t>
        </is>
      </c>
      <c r="I1545" s="12" t="inlineStr">
        <is>
          <t>MV 15 kV</t>
        </is>
      </c>
      <c r="J1545" s="12" t="inlineStr">
        <is>
          <t>750 kcmil</t>
        </is>
      </c>
      <c r="K1545" s="12" t="n">
        <v>2</v>
      </c>
    </row>
    <row r="1546">
      <c r="A1546" s="12" t="inlineStr">
        <is>
          <t>PCM: power control module</t>
        </is>
      </c>
      <c r="B1546" s="12" t="inlineStr"/>
      <c r="C1546" s="12" t="inlineStr">
        <is>
          <t>I</t>
        </is>
      </c>
      <c r="D1546" s="12" t="inlineStr">
        <is>
          <t>RICE-2 generator leads to the PCM</t>
        </is>
      </c>
      <c r="E1546" s="12" t="n">
        <v>13800</v>
      </c>
      <c r="F1546" s="12" t="n">
        <v>18400</v>
      </c>
      <c r="G1546" s="12" t="n">
        <v>770</v>
      </c>
      <c r="H1546" s="12" t="inlineStr">
        <is>
          <t>RICE engine-generator 2</t>
        </is>
      </c>
      <c r="I1546" s="12" t="inlineStr">
        <is>
          <t>MV 15 kV</t>
        </is>
      </c>
      <c r="J1546" s="12" t="inlineStr">
        <is>
          <t>750 kcmil</t>
        </is>
      </c>
      <c r="K1546" s="12" t="n">
        <v>2</v>
      </c>
    </row>
    <row r="1547">
      <c r="A1547" s="12" t="inlineStr">
        <is>
          <t>PCM: power control module</t>
        </is>
      </c>
      <c r="B1547" s="12" t="inlineStr"/>
      <c r="C1547" s="12" t="inlineStr">
        <is>
          <t>I</t>
        </is>
      </c>
      <c r="D1547" s="12" t="inlineStr">
        <is>
          <t>RICE-3 generator leads to the PCM</t>
        </is>
      </c>
      <c r="E1547" s="12" t="n">
        <v>13800</v>
      </c>
      <c r="F1547" s="12" t="n">
        <v>18400</v>
      </c>
      <c r="G1547" s="12" t="n">
        <v>770</v>
      </c>
      <c r="H1547" s="12" t="inlineStr">
        <is>
          <t>RICE engine-generator 3</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RICE-4 generator leads to the PCM</t>
        </is>
      </c>
      <c r="E1548" s="12" t="n">
        <v>13800</v>
      </c>
      <c r="F1548" s="12" t="n">
        <v>18400</v>
      </c>
      <c r="G1548" s="12" t="n">
        <v>770</v>
      </c>
      <c r="H1548" s="12" t="inlineStr">
        <is>
          <t>RICE engine-generator 4</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RICE-5 generator leads to the PCM</t>
        </is>
      </c>
      <c r="E1549" s="12" t="n">
        <v>13800</v>
      </c>
      <c r="F1549" s="12" t="n">
        <v>18400</v>
      </c>
      <c r="G1549" s="12" t="n">
        <v>770</v>
      </c>
      <c r="H1549" s="12" t="inlineStr">
        <is>
          <t>RICE engine-generator 5</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RICE-6 generator leads to the PCM</t>
        </is>
      </c>
      <c r="E1550" s="12" t="n">
        <v>13800</v>
      </c>
      <c r="F1550" s="12" t="n">
        <v>18400</v>
      </c>
      <c r="G1550" s="12" t="n">
        <v>770</v>
      </c>
      <c r="H1550" s="12" t="inlineStr">
        <is>
          <t>RICE engine-generator 6</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RICE-7 generator leads to the PCM</t>
        </is>
      </c>
      <c r="E1551" s="12" t="n">
        <v>13800</v>
      </c>
      <c r="F1551" s="12" t="n">
        <v>18400</v>
      </c>
      <c r="G1551" s="12" t="n">
        <v>770</v>
      </c>
      <c r="H1551" s="12" t="inlineStr">
        <is>
          <t>RICE engine-generator 7</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RICE-8 generator leads to the PCM</t>
        </is>
      </c>
      <c r="E1552" s="12" t="n">
        <v>13800</v>
      </c>
      <c r="F1552" s="12" t="n">
        <v>18400</v>
      </c>
      <c r="G1552" s="12" t="n">
        <v>770</v>
      </c>
      <c r="H1552" s="12" t="inlineStr">
        <is>
          <t>RICE engine-generator 8</t>
        </is>
      </c>
      <c r="I1552" s="12" t="inlineStr">
        <is>
          <t>MV 15 kV</t>
        </is>
      </c>
      <c r="J1552" s="12" t="inlineStr">
        <is>
          <t>750 kcmil</t>
        </is>
      </c>
      <c r="K1552" s="12" t="n">
        <v>2</v>
      </c>
    </row>
    <row r="1553">
      <c r="A1553" s="12" t="inlineStr">
        <is>
          <t>SC-1 PCM + 15 kV GCB</t>
        </is>
      </c>
      <c r="B1553" s="12" t="inlineStr"/>
      <c r="C1553" s="12" t="inlineStr">
        <is>
          <t>I</t>
        </is>
      </c>
      <c r="D1553" s="12" t="inlineStr">
        <is>
          <t>SC-1 (LM6000 class) generator leads to its PCM / GCB</t>
        </is>
      </c>
      <c r="E1553" s="12" t="n">
        <v>13800</v>
      </c>
      <c r="F1553" s="12" t="n">
        <v>50000</v>
      </c>
      <c r="G1553" s="12" t="n">
        <v>2092</v>
      </c>
      <c r="H1553" s="12" t="inlineStr">
        <is>
          <t>SC-1: aeroderivative simple-cycle unit (LM6000 class)</t>
        </is>
      </c>
      <c r="I1553" s="12" t="inlineStr">
        <is>
          <t>MV 15 kV</t>
        </is>
      </c>
      <c r="J1553" s="12" t="inlineStr">
        <is>
          <t>750 kcmil</t>
        </is>
      </c>
      <c r="K1553" s="12" t="n">
        <v>5</v>
      </c>
    </row>
    <row r="1554">
      <c r="A1554" s="12" t="inlineStr">
        <is>
          <t>SC-2 PCM + 15 kV GCB</t>
        </is>
      </c>
      <c r="B1554" s="12" t="inlineStr"/>
      <c r="C1554" s="12" t="inlineStr">
        <is>
          <t>I</t>
        </is>
      </c>
      <c r="D1554" s="12" t="inlineStr">
        <is>
          <t>SC-2 (LM6000 class) generator leads to its PCM / GCB</t>
        </is>
      </c>
      <c r="E1554" s="12" t="n">
        <v>13800</v>
      </c>
      <c r="F1554" s="12" t="n">
        <v>50000</v>
      </c>
      <c r="G1554" s="12" t="n">
        <v>2092</v>
      </c>
      <c r="H1554" s="12" t="inlineStr">
        <is>
          <t>SC-2: aeroderivative simple-cycle unit (LM6000 class)</t>
        </is>
      </c>
      <c r="I1554" s="12" t="inlineStr">
        <is>
          <t>MV 15 kV</t>
        </is>
      </c>
      <c r="J1554" s="12" t="inlineStr">
        <is>
          <t>750 kcmil</t>
        </is>
      </c>
      <c r="K1554" s="12" t="n">
        <v>5</v>
      </c>
    </row>
    <row r="1555">
      <c r="A1555" s="12" t="inlineStr">
        <is>
          <t>PAD-LV 480 V paralleling switchboard</t>
        </is>
      </c>
      <c r="B1555" s="12" t="inlineStr">
        <is>
          <t>PAD-LV</t>
        </is>
      </c>
      <c r="C1555" s="12" t="inlineStr">
        <is>
          <t>I</t>
        </is>
      </c>
      <c r="D1555" s="12" t="inlineStr">
        <is>
          <t>GEN-E 480 V to PAD-LV (Type W sets, cam-lock)</t>
        </is>
      </c>
      <c r="E1555" s="12" t="n">
        <v>480</v>
      </c>
      <c r="F1555" s="12" t="n">
        <v>2000</v>
      </c>
      <c r="G1555" s="12" t="n">
        <v>2406</v>
      </c>
      <c r="H1555" s="12" t="inlineStr">
        <is>
          <t>GEN-E: enclosed industrial gas genset 2 MW</t>
        </is>
      </c>
      <c r="I1555" s="12" t="inlineStr">
        <is>
          <t>Portable LV</t>
        </is>
      </c>
      <c r="J1555" s="12" t="inlineStr">
        <is>
          <t>4/0</t>
        </is>
      </c>
      <c r="K1555" s="12" t="n">
        <v>8</v>
      </c>
    </row>
    <row r="1556">
      <c r="A1556" s="12" t="inlineStr">
        <is>
          <t>PAD-LV 480 V paralleling switchboard</t>
        </is>
      </c>
      <c r="B1556" s="12" t="inlineStr">
        <is>
          <t>PAD-LV</t>
        </is>
      </c>
      <c r="C1556" s="12" t="inlineStr">
        <is>
          <t>I</t>
        </is>
      </c>
      <c r="D1556" s="12" t="inlineStr">
        <is>
          <t>GEN-O 480 V to PAD-LV (Type W sets, cam-lock)</t>
        </is>
      </c>
      <c r="E1556" s="12" t="n">
        <v>480</v>
      </c>
      <c r="F1556" s="12" t="n">
        <v>1000</v>
      </c>
      <c r="G1556" s="12" t="n">
        <v>1203</v>
      </c>
      <c r="H1556" s="12" t="inlineStr">
        <is>
          <t>GEN-O: open engine-generator skid</t>
        </is>
      </c>
      <c r="I1556" s="12" t="inlineStr">
        <is>
          <t>Portable LV</t>
        </is>
      </c>
      <c r="J1556" s="12" t="inlineStr">
        <is>
          <t>4/0</t>
        </is>
      </c>
      <c r="K1556" s="12" t="n">
        <v>4</v>
      </c>
    </row>
    <row r="1557">
      <c r="A1557" s="12" t="inlineStr">
        <is>
          <t>GSP-1: generator breaker / protection</t>
        </is>
      </c>
      <c r="B1557" s="12" t="inlineStr">
        <is>
          <t>GSP-1</t>
        </is>
      </c>
      <c r="C1557" s="12" t="inlineStr">
        <is>
          <t>I</t>
        </is>
      </c>
      <c r="D1557" s="12" t="inlineStr">
        <is>
          <t>CONT-1 13.8 kV leads to GSP-1</t>
        </is>
      </c>
      <c r="E1557" s="12" t="n">
        <v>13800</v>
      </c>
      <c r="F1557" s="12" t="n">
        <v>2000</v>
      </c>
      <c r="G1557" s="12" t="n">
        <v>93</v>
      </c>
      <c r="H1557" s="12" t="inlineStr">
        <is>
          <t>CONT-1: containerized genset 13.8 kV (40 ft)</t>
        </is>
      </c>
      <c r="I1557" s="12" t="inlineStr">
        <is>
          <t>Portable MV</t>
        </is>
      </c>
      <c r="J1557" s="12" t="inlineStr">
        <is>
          <t>2</t>
        </is>
      </c>
      <c r="K1557" s="12" t="n">
        <v>1</v>
      </c>
    </row>
    <row r="1558">
      <c r="A1558" s="12" t="inlineStr">
        <is>
          <t>GSP-2: generator breaker / protection</t>
        </is>
      </c>
      <c r="B1558" s="12" t="inlineStr">
        <is>
          <t>GSP-2</t>
        </is>
      </c>
      <c r="C1558" s="12" t="inlineStr">
        <is>
          <t>I</t>
        </is>
      </c>
      <c r="D1558" s="12" t="inlineStr">
        <is>
          <t>CONT-2 13.8 kV leads to GSP-2</t>
        </is>
      </c>
      <c r="E1558" s="12" t="n">
        <v>13800</v>
      </c>
      <c r="F1558" s="12" t="n">
        <v>2000</v>
      </c>
      <c r="G1558" s="12" t="n">
        <v>93</v>
      </c>
      <c r="H1558" s="12" t="inlineStr">
        <is>
          <t>CONT-2: containerized genset 13.8 kV (40 ft)</t>
        </is>
      </c>
      <c r="I1558" s="12" t="inlineStr">
        <is>
          <t>Portable MV</t>
        </is>
      </c>
      <c r="J1558" s="12" t="inlineStr">
        <is>
          <t>2</t>
        </is>
      </c>
      <c r="K1558" s="12" t="n">
        <v>1</v>
      </c>
    </row>
    <row r="1559">
      <c r="A1559" s="12" t="inlineStr">
        <is>
          <t>LB: commissioning load bank (trailer)</t>
        </is>
      </c>
      <c r="B1559" s="12" t="inlineStr">
        <is>
          <t>LB</t>
        </is>
      </c>
      <c r="C1559" s="12" t="inlineStr">
        <is>
          <t>I</t>
        </is>
      </c>
      <c r="D1559" s="12" t="inlineStr">
        <is>
          <t>PIC to commissioning load bank</t>
        </is>
      </c>
      <c r="E1559" s="12" t="n">
        <v>13800</v>
      </c>
      <c r="F1559" s="12" t="n">
        <v>2000</v>
      </c>
      <c r="G1559" s="12" t="n">
        <v>93</v>
      </c>
      <c r="H1559" s="12" t="inlineStr">
        <is>
          <t>PIC: portable input cabinet</t>
        </is>
      </c>
      <c r="I1559" s="12" t="inlineStr">
        <is>
          <t>Portable MV</t>
        </is>
      </c>
      <c r="J1559" s="12" t="inlineStr">
        <is>
          <t>2</t>
        </is>
      </c>
      <c r="K1559" s="12" t="n">
        <v>1</v>
      </c>
    </row>
    <row r="1560">
      <c r="A1560" s="12" t="inlineStr">
        <is>
          <t>PAD-EH 13.8 kV switchgear e-house</t>
        </is>
      </c>
      <c r="B1560" s="12" t="inlineStr">
        <is>
          <t>PAD-EH</t>
        </is>
      </c>
      <c r="C1560" s="12" t="inlineStr">
        <is>
          <t>I</t>
        </is>
      </c>
      <c r="D1560" s="12" t="inlineStr">
        <is>
          <t>GSP-1 to PAD-EH</t>
        </is>
      </c>
      <c r="E1560" s="12" t="n">
        <v>13800</v>
      </c>
      <c r="F1560" s="12" t="n">
        <v>2000</v>
      </c>
      <c r="G1560" s="12" t="n">
        <v>93</v>
      </c>
      <c r="H1560" s="12" t="inlineStr">
        <is>
          <t>GSP-1: generator breaker / protection</t>
        </is>
      </c>
      <c r="I1560" s="12" t="inlineStr">
        <is>
          <t>Portable MV</t>
        </is>
      </c>
      <c r="J1560" s="12" t="inlineStr">
        <is>
          <t>2</t>
        </is>
      </c>
      <c r="K1560" s="12" t="n">
        <v>1</v>
      </c>
    </row>
    <row r="1561">
      <c r="A1561" s="12" t="inlineStr">
        <is>
          <t>PAD-EH 13.8 kV switchgear e-house</t>
        </is>
      </c>
      <c r="B1561" s="12" t="inlineStr">
        <is>
          <t>PAD-EH</t>
        </is>
      </c>
      <c r="C1561" s="12" t="inlineStr">
        <is>
          <t>I</t>
        </is>
      </c>
      <c r="D1561" s="12" t="inlineStr">
        <is>
          <t>GSP-2 to PAD-EH</t>
        </is>
      </c>
      <c r="E1561" s="12" t="n">
        <v>13800</v>
      </c>
      <c r="F1561" s="12" t="n">
        <v>2000</v>
      </c>
      <c r="G1561" s="12" t="n">
        <v>93</v>
      </c>
      <c r="H1561" s="12" t="inlineStr">
        <is>
          <t>GSP-2: generator breaker / protection</t>
        </is>
      </c>
      <c r="I1561" s="12" t="inlineStr">
        <is>
          <t>Portable MV</t>
        </is>
      </c>
      <c r="J1561" s="12" t="inlineStr">
        <is>
          <t>2</t>
        </is>
      </c>
      <c r="K1561" s="12" t="n">
        <v>1</v>
      </c>
    </row>
    <row r="1562">
      <c r="A1562" s="12" t="inlineStr">
        <is>
          <t>PIC: portable input cabinet</t>
        </is>
      </c>
      <c r="B1562" s="12" t="inlineStr">
        <is>
          <t>PIC</t>
        </is>
      </c>
      <c r="C1562" s="12" t="inlineStr">
        <is>
          <t>I</t>
        </is>
      </c>
      <c r="D1562" s="12" t="inlineStr">
        <is>
          <t>MOB-1 13.8 kV to PIC through the C-L01 ramp</t>
        </is>
      </c>
      <c r="E1562" s="12" t="n">
        <v>13800</v>
      </c>
      <c r="F1562" s="12" t="n">
        <v>2000</v>
      </c>
      <c r="G1562" s="12" t="n">
        <v>93</v>
      </c>
      <c r="H1562" s="12" t="inlineStr">
        <is>
          <t>MOB-1: trailer genset</t>
        </is>
      </c>
      <c r="I1562" s="12" t="inlineStr">
        <is>
          <t>Portable MV</t>
        </is>
      </c>
      <c r="J1562" s="12" t="inlineStr">
        <is>
          <t>2</t>
        </is>
      </c>
      <c r="K1562" s="12" t="n">
        <v>1</v>
      </c>
    </row>
    <row r="1563">
      <c r="A1563" s="12" t="inlineStr">
        <is>
          <t>CHW pumps</t>
        </is>
      </c>
      <c r="B1563" s="12" t="inlineStr"/>
      <c r="C1563" s="12" t="inlineStr">
        <is>
          <t>J</t>
        </is>
      </c>
      <c r="D1563" s="12" t="inlineStr">
        <is>
          <t>Motor 1 of 4, 150 kW</t>
        </is>
      </c>
      <c r="E1563" s="12" t="n">
        <v>480</v>
      </c>
      <c r="F1563" s="12" t="n">
        <v>150</v>
      </c>
      <c r="G1563" s="12" t="n">
        <v>212.3</v>
      </c>
      <c r="H1563" s="12" t="inlineStr">
        <is>
          <t>Inlet-chilling e-house / transformer</t>
        </is>
      </c>
      <c r="I1563" s="12" t="inlineStr">
        <is>
          <t>LV 600 V</t>
        </is>
      </c>
      <c r="J1563" s="12" t="inlineStr">
        <is>
          <t>350 kcmil</t>
        </is>
      </c>
      <c r="K1563" s="12" t="n">
        <v>1</v>
      </c>
    </row>
    <row r="1564">
      <c r="A1564" s="12" t="inlineStr">
        <is>
          <t>CHW pumps</t>
        </is>
      </c>
      <c r="B1564" s="12" t="inlineStr"/>
      <c r="C1564" s="12" t="inlineStr">
        <is>
          <t>J</t>
        </is>
      </c>
      <c r="D1564" s="12" t="inlineStr">
        <is>
          <t>Motor 2 of 4, 150 kW</t>
        </is>
      </c>
      <c r="E1564" s="12" t="n">
        <v>480</v>
      </c>
      <c r="F1564" s="12" t="n">
        <v>150</v>
      </c>
      <c r="G1564" s="12" t="n">
        <v>212.3</v>
      </c>
      <c r="H1564" s="12" t="inlineStr">
        <is>
          <t>Inlet-chilling e-house / transformer</t>
        </is>
      </c>
      <c r="I1564" s="12" t="inlineStr">
        <is>
          <t>LV 600 V</t>
        </is>
      </c>
      <c r="J1564" s="12" t="inlineStr">
        <is>
          <t>350 kcmil</t>
        </is>
      </c>
      <c r="K1564" s="12" t="n">
        <v>1</v>
      </c>
    </row>
    <row r="1565">
      <c r="A1565" s="12" t="inlineStr">
        <is>
          <t>CHW pumps</t>
        </is>
      </c>
      <c r="B1565" s="12" t="inlineStr"/>
      <c r="C1565" s="12" t="inlineStr">
        <is>
          <t>J</t>
        </is>
      </c>
      <c r="D1565" s="12" t="inlineStr">
        <is>
          <t>Motor 3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4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CONDITIONAL: TES chilled-water tank</t>
        </is>
      </c>
      <c r="B1567" s="12" t="inlineStr"/>
      <c r="C1567" s="12" t="inlineStr">
        <is>
          <t>J</t>
        </is>
      </c>
      <c r="D1567" s="12" t="inlineStr">
        <is>
          <t>LV power feeder</t>
        </is>
      </c>
      <c r="E1567" s="12" t="n">
        <v>480</v>
      </c>
      <c r="F1567" s="12" t="n">
        <v>10</v>
      </c>
      <c r="G1567" s="12" t="n">
        <v>14.2</v>
      </c>
      <c r="H1567" s="12" t="inlineStr">
        <is>
          <t>Inlet-chilling e-house / transformer</t>
        </is>
      </c>
      <c r="I1567" s="12" t="inlineStr">
        <is>
          <t>LV 600 V</t>
        </is>
      </c>
      <c r="J1567" s="12" t="inlineStr">
        <is>
          <t>8</t>
        </is>
      </c>
      <c r="K1567" s="12" t="n">
        <v>1</v>
      </c>
    </row>
    <row r="1568">
      <c r="A1568" s="12" t="inlineStr">
        <is>
          <t>Chillers x6 (water-cooled)</t>
        </is>
      </c>
      <c r="B1568" s="12" t="inlineStr"/>
      <c r="C1568" s="12" t="inlineStr">
        <is>
          <t>J</t>
        </is>
      </c>
      <c r="D1568" s="12" t="inlineStr">
        <is>
          <t>Motor 1 of 6, 7 kW</t>
        </is>
      </c>
      <c r="E1568" s="12" t="n">
        <v>480</v>
      </c>
      <c r="F1568" s="12" t="n">
        <v>7</v>
      </c>
      <c r="G1568" s="12" t="n">
        <v>9.9</v>
      </c>
      <c r="H1568" s="12" t="inlineStr">
        <is>
          <t>Inlet-chilling e-house / transformer</t>
        </is>
      </c>
      <c r="I1568" s="12" t="inlineStr">
        <is>
          <t>LV 600 V</t>
        </is>
      </c>
      <c r="J1568" s="12" t="inlineStr">
        <is>
          <t>10</t>
        </is>
      </c>
      <c r="K1568" s="12" t="n">
        <v>1</v>
      </c>
    </row>
    <row r="1569">
      <c r="A1569" s="12" t="inlineStr">
        <is>
          <t>Chillers x6 (water-cooled)</t>
        </is>
      </c>
      <c r="B1569" s="12" t="inlineStr"/>
      <c r="C1569" s="12" t="inlineStr">
        <is>
          <t>J</t>
        </is>
      </c>
      <c r="D1569" s="12" t="inlineStr">
        <is>
          <t>Motor 2 of 6, 7 kW</t>
        </is>
      </c>
      <c r="E1569" s="12" t="n">
        <v>480</v>
      </c>
      <c r="F1569" s="12" t="n">
        <v>7</v>
      </c>
      <c r="G1569" s="12" t="n">
        <v>9.9</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3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4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5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6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Inlet-chilling tower (12 cells): chiller heat rejection</t>
        </is>
      </c>
      <c r="B1574" s="12" t="inlineStr"/>
      <c r="C1574" s="12" t="inlineStr">
        <is>
          <t>J</t>
        </is>
      </c>
      <c r="D1574" s="12" t="inlineStr">
        <is>
          <t>Motor 1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2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3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4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5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Motor 6 of 12, 75 kW (VFD output)</t>
        </is>
      </c>
      <c r="E1579" s="12" t="n">
        <v>480</v>
      </c>
      <c r="F1579" s="12" t="n">
        <v>75</v>
      </c>
      <c r="G1579" s="12" t="n">
        <v>106</v>
      </c>
      <c r="H1579" s="12" t="inlineStr">
        <is>
          <t>Inlet-chilling e-house / transformer</t>
        </is>
      </c>
      <c r="I1579" s="12" t="inlineStr">
        <is>
          <t>LV 600 V</t>
        </is>
      </c>
      <c r="J1579" s="12" t="inlineStr">
        <is>
          <t>2/0</t>
        </is>
      </c>
      <c r="K1579" s="12" t="n">
        <v>1</v>
      </c>
    </row>
    <row r="1580">
      <c r="A1580" s="12" t="inlineStr">
        <is>
          <t>Inlet-chilling tower (12 cells): chiller heat rejection</t>
        </is>
      </c>
      <c r="B1580" s="12" t="inlineStr"/>
      <c r="C1580" s="12" t="inlineStr">
        <is>
          <t>J</t>
        </is>
      </c>
      <c r="D1580" s="12" t="inlineStr">
        <is>
          <t>Motor 7 of 12, 75 kW (VFD output)</t>
        </is>
      </c>
      <c r="E1580" s="12" t="n">
        <v>480</v>
      </c>
      <c r="F1580" s="12" t="n">
        <v>75</v>
      </c>
      <c r="G1580" s="12" t="n">
        <v>106</v>
      </c>
      <c r="H1580" s="12" t="inlineStr">
        <is>
          <t>Inlet-chilling e-house / transformer</t>
        </is>
      </c>
      <c r="I1580" s="12" t="inlineStr">
        <is>
          <t>LV 600 V</t>
        </is>
      </c>
      <c r="J1580" s="12" t="inlineStr">
        <is>
          <t>2/0</t>
        </is>
      </c>
      <c r="K1580" s="12" t="n">
        <v>1</v>
      </c>
    </row>
    <row r="1581">
      <c r="A1581" s="12" t="inlineStr">
        <is>
          <t>Inlet-chilling tower (12 cells): chiller heat rejection</t>
        </is>
      </c>
      <c r="B1581" s="12" t="inlineStr"/>
      <c r="C1581" s="12" t="inlineStr">
        <is>
          <t>J</t>
        </is>
      </c>
      <c r="D1581" s="12" t="inlineStr">
        <is>
          <t>Motor 8 of 12, 75 kW (VFD output)</t>
        </is>
      </c>
      <c r="E1581" s="12" t="n">
        <v>480</v>
      </c>
      <c r="F1581" s="12" t="n">
        <v>75</v>
      </c>
      <c r="G1581" s="12" t="n">
        <v>106</v>
      </c>
      <c r="H1581" s="12" t="inlineStr">
        <is>
          <t>Inlet-chilling e-house / transformer</t>
        </is>
      </c>
      <c r="I1581" s="12" t="inlineStr">
        <is>
          <t>LV 600 V</t>
        </is>
      </c>
      <c r="J1581" s="12" t="inlineStr">
        <is>
          <t>2/0</t>
        </is>
      </c>
      <c r="K1581" s="12" t="n">
        <v>1</v>
      </c>
    </row>
    <row r="1582">
      <c r="A1582" s="12" t="inlineStr">
        <is>
          <t>Inlet-chilling tower (12 cells): chiller heat rejection</t>
        </is>
      </c>
      <c r="B1582" s="12" t="inlineStr"/>
      <c r="C1582" s="12" t="inlineStr">
        <is>
          <t>J</t>
        </is>
      </c>
      <c r="D1582" s="12" t="inlineStr">
        <is>
          <t>Motor 9 of 12, 75 kW (VFD output)</t>
        </is>
      </c>
      <c r="E1582" s="12" t="n">
        <v>480</v>
      </c>
      <c r="F1582" s="12" t="n">
        <v>75</v>
      </c>
      <c r="G1582" s="12" t="n">
        <v>106</v>
      </c>
      <c r="H1582" s="12" t="inlineStr">
        <is>
          <t>Inlet-chilling e-house / transformer</t>
        </is>
      </c>
      <c r="I1582" s="12" t="inlineStr">
        <is>
          <t>LV 600 V</t>
        </is>
      </c>
      <c r="J1582" s="12" t="inlineStr">
        <is>
          <t>2/0</t>
        </is>
      </c>
      <c r="K1582" s="12" t="n">
        <v>1</v>
      </c>
    </row>
    <row r="1583">
      <c r="A1583" s="12" t="inlineStr">
        <is>
          <t>Inlet-chilling tower (12 cells): chiller heat rejection</t>
        </is>
      </c>
      <c r="B1583" s="12" t="inlineStr"/>
      <c r="C1583" s="12" t="inlineStr">
        <is>
          <t>J</t>
        </is>
      </c>
      <c r="D1583" s="12" t="inlineStr">
        <is>
          <t>Motor 10 of 12, 75 kW (VFD output)</t>
        </is>
      </c>
      <c r="E1583" s="12" t="n">
        <v>480</v>
      </c>
      <c r="F1583" s="12" t="n">
        <v>75</v>
      </c>
      <c r="G1583" s="12" t="n">
        <v>106</v>
      </c>
      <c r="H1583" s="12" t="inlineStr">
        <is>
          <t>Inlet-chilling e-house / transformer</t>
        </is>
      </c>
      <c r="I1583" s="12" t="inlineStr">
        <is>
          <t>LV 600 V</t>
        </is>
      </c>
      <c r="J1583" s="12" t="inlineStr">
        <is>
          <t>2/0</t>
        </is>
      </c>
      <c r="K1583" s="12" t="n">
        <v>1</v>
      </c>
    </row>
    <row r="1584">
      <c r="A1584" s="12" t="inlineStr">
        <is>
          <t>Inlet-chilling tower (12 cells): chiller heat rejection</t>
        </is>
      </c>
      <c r="B1584" s="12" t="inlineStr"/>
      <c r="C1584" s="12" t="inlineStr">
        <is>
          <t>J</t>
        </is>
      </c>
      <c r="D1584" s="12" t="inlineStr">
        <is>
          <t>Motor 11 of 12, 75 kW (VFD output)</t>
        </is>
      </c>
      <c r="E1584" s="12" t="n">
        <v>480</v>
      </c>
      <c r="F1584" s="12" t="n">
        <v>75</v>
      </c>
      <c r="G1584" s="12" t="n">
        <v>106</v>
      </c>
      <c r="H1584" s="12" t="inlineStr">
        <is>
          <t>Inlet-chilling e-house / transformer</t>
        </is>
      </c>
      <c r="I1584" s="12" t="inlineStr">
        <is>
          <t>LV 600 V</t>
        </is>
      </c>
      <c r="J1584" s="12" t="inlineStr">
        <is>
          <t>2/0</t>
        </is>
      </c>
      <c r="K1584" s="12" t="n">
        <v>1</v>
      </c>
    </row>
    <row r="1585">
      <c r="A1585" s="12" t="inlineStr">
        <is>
          <t>Inlet-chilling tower (12 cells): chiller heat rejection</t>
        </is>
      </c>
      <c r="B1585" s="12" t="inlineStr"/>
      <c r="C1585" s="12" t="inlineStr">
        <is>
          <t>J</t>
        </is>
      </c>
      <c r="D1585" s="12" t="inlineStr">
        <is>
          <t>Motor 12 of 12, 75 kW (VFD output)</t>
        </is>
      </c>
      <c r="E1585" s="12" t="n">
        <v>480</v>
      </c>
      <c r="F1585" s="12" t="n">
        <v>75</v>
      </c>
      <c r="G1585" s="12" t="n">
        <v>106</v>
      </c>
      <c r="H1585" s="12" t="inlineStr">
        <is>
          <t>Inlet-chilling e-house / transformer</t>
        </is>
      </c>
      <c r="I1585" s="12" t="inlineStr">
        <is>
          <t>LV 600 V</t>
        </is>
      </c>
      <c r="J1585" s="12" t="inlineStr">
        <is>
          <t>2/0</t>
        </is>
      </c>
      <c r="K1585" s="12" t="n">
        <v>1</v>
      </c>
    </row>
    <row r="1586">
      <c r="A1586" s="12" t="inlineStr">
        <is>
          <t>Inlet-chilling tower (12 cells): chiller heat rejection</t>
        </is>
      </c>
      <c r="B1586" s="12" t="inlineStr"/>
      <c r="C1586" s="12" t="inlineStr">
        <is>
          <t>J</t>
        </is>
      </c>
      <c r="D1586" s="12" t="inlineStr">
        <is>
          <t>Area / platform lighting circuit 1 (12 fixtures)</t>
        </is>
      </c>
      <c r="E1586" s="12" t="n">
        <v>480</v>
      </c>
      <c r="F1586" s="12" t="n">
        <v>3</v>
      </c>
      <c r="G1586" s="12" t="n">
        <v>5</v>
      </c>
      <c r="H1586" s="12" t="inlineStr">
        <is>
          <t>Inlet-chilling e-house / transformer</t>
        </is>
      </c>
      <c r="I1586" s="12" t="inlineStr">
        <is>
          <t>LV 600 V</t>
        </is>
      </c>
      <c r="J1586" s="12" t="inlineStr">
        <is>
          <t>10</t>
        </is>
      </c>
      <c r="K1586" s="12" t="n">
        <v>1</v>
      </c>
    </row>
    <row r="1587">
      <c r="A1587" s="12" t="inlineStr">
        <is>
          <t>Inlet-chilling e-house / transformer</t>
        </is>
      </c>
      <c r="B1587" s="12" t="inlineStr"/>
      <c r="C1587" s="12" t="inlineStr">
        <is>
          <t>J</t>
        </is>
      </c>
      <c r="D1587" s="12" t="inlineStr">
        <is>
          <t>Inlet-chilling e-house / transformer</t>
        </is>
      </c>
      <c r="E1587" s="12" t="n">
        <v>13800</v>
      </c>
      <c r="F1587" s="12" t="n">
        <v>12000</v>
      </c>
      <c r="G1587" s="12" t="n">
        <v>502</v>
      </c>
      <c r="H1587" s="12" t="inlineStr">
        <is>
          <t>R1 SWGR-13.8-1 (11 x 36 in cubicles, 15 kV metal-clad)</t>
        </is>
      </c>
      <c r="I1587" s="12" t="inlineStr">
        <is>
          <t>MV 15 kV</t>
        </is>
      </c>
      <c r="J1587" s="12" t="inlineStr">
        <is>
          <t>1000 kcmil</t>
        </is>
      </c>
      <c r="K1587" s="12" t="n">
        <v>1</v>
      </c>
    </row>
    <row r="1588">
      <c r="A1588" s="12" t="inlineStr">
        <is>
          <t>CW pumps (inlet chilling)</t>
        </is>
      </c>
      <c r="B1588" s="12" t="inlineStr"/>
      <c r="C1588" s="12" t="inlineStr">
        <is>
          <t>J</t>
        </is>
      </c>
      <c r="D1588" s="12" t="inlineStr">
        <is>
          <t>Inlet-chilling CW pump 1</t>
        </is>
      </c>
      <c r="E1588" s="12" t="n">
        <v>4160</v>
      </c>
      <c r="F1588" s="12" t="n">
        <v>450</v>
      </c>
      <c r="G1588" s="12" t="n">
        <v>69</v>
      </c>
      <c r="H1588" s="12" t="inlineStr">
        <is>
          <t>Inlet-chilling e-house / transformer</t>
        </is>
      </c>
      <c r="I1588" s="12" t="inlineStr">
        <is>
          <t>MV 5 kV</t>
        </is>
      </c>
      <c r="J1588" s="12" t="inlineStr">
        <is>
          <t>2</t>
        </is>
      </c>
      <c r="K1588" s="12" t="n">
        <v>1</v>
      </c>
    </row>
    <row r="1589">
      <c r="A1589" s="12" t="inlineStr">
        <is>
          <t>CW pumps (inlet chilling)</t>
        </is>
      </c>
      <c r="B1589" s="12" t="inlineStr"/>
      <c r="C1589" s="12" t="inlineStr">
        <is>
          <t>J</t>
        </is>
      </c>
      <c r="D1589" s="12" t="inlineStr">
        <is>
          <t>Inlet-chilling CW pump 2</t>
        </is>
      </c>
      <c r="E1589" s="12" t="n">
        <v>4160</v>
      </c>
      <c r="F1589" s="12" t="n">
        <v>450</v>
      </c>
      <c r="G1589" s="12" t="n">
        <v>69</v>
      </c>
      <c r="H1589" s="12" t="inlineStr">
        <is>
          <t>Inlet-chilling e-house / transformer</t>
        </is>
      </c>
      <c r="I1589" s="12" t="inlineStr">
        <is>
          <t>MV 5 kV</t>
        </is>
      </c>
      <c r="J1589" s="12" t="inlineStr">
        <is>
          <t>2</t>
        </is>
      </c>
      <c r="K1589" s="12" t="n">
        <v>1</v>
      </c>
    </row>
    <row r="1590">
      <c r="A1590" s="12" t="inlineStr">
        <is>
          <t>CW pumps (inlet chilling)</t>
        </is>
      </c>
      <c r="B1590" s="12" t="inlineStr"/>
      <c r="C1590" s="12" t="inlineStr">
        <is>
          <t>J</t>
        </is>
      </c>
      <c r="D1590" s="12" t="inlineStr">
        <is>
          <t>Inlet-chilling CW pump 3</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4</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Chillers x6 (water-cooled)</t>
        </is>
      </c>
      <c r="B1592" s="12" t="inlineStr"/>
      <c r="C1592" s="12" t="inlineStr">
        <is>
          <t>J</t>
        </is>
      </c>
      <c r="D1592" s="12" t="inlineStr">
        <is>
          <t>Water-cooled chiller CH-1</t>
        </is>
      </c>
      <c r="E1592" s="12" t="n">
        <v>4160</v>
      </c>
      <c r="F1592" s="12" t="n">
        <v>1500</v>
      </c>
      <c r="G1592" s="12" t="n">
        <v>231</v>
      </c>
      <c r="H1592" s="12" t="inlineStr">
        <is>
          <t>Inlet-chilling e-house / transformer</t>
        </is>
      </c>
      <c r="I1592" s="12" t="inlineStr">
        <is>
          <t>MV 5 kV</t>
        </is>
      </c>
      <c r="J1592" s="12" t="inlineStr">
        <is>
          <t>250 kcmil</t>
        </is>
      </c>
      <c r="K1592" s="12" t="n">
        <v>1</v>
      </c>
    </row>
    <row r="1593">
      <c r="A1593" s="12" t="inlineStr">
        <is>
          <t>Chillers x6 (water-cooled)</t>
        </is>
      </c>
      <c r="B1593" s="12" t="inlineStr"/>
      <c r="C1593" s="12" t="inlineStr">
        <is>
          <t>J</t>
        </is>
      </c>
      <c r="D1593" s="12" t="inlineStr">
        <is>
          <t>Water-cooled chiller CH-2</t>
        </is>
      </c>
      <c r="E1593" s="12" t="n">
        <v>4160</v>
      </c>
      <c r="F1593" s="12" t="n">
        <v>1500</v>
      </c>
      <c r="G1593" s="12" t="n">
        <v>231</v>
      </c>
      <c r="H1593" s="12" t="inlineStr">
        <is>
          <t>Inlet-chilling e-house / transformer</t>
        </is>
      </c>
      <c r="I1593" s="12" t="inlineStr">
        <is>
          <t>MV 5 kV</t>
        </is>
      </c>
      <c r="J1593" s="12" t="inlineStr">
        <is>
          <t>250 kcmil</t>
        </is>
      </c>
      <c r="K1593" s="12" t="n">
        <v>1</v>
      </c>
    </row>
    <row r="1594">
      <c r="A1594" s="12" t="inlineStr">
        <is>
          <t>Chillers x6 (water-cooled)</t>
        </is>
      </c>
      <c r="B1594" s="12" t="inlineStr"/>
      <c r="C1594" s="12" t="inlineStr">
        <is>
          <t>J</t>
        </is>
      </c>
      <c r="D1594" s="12" t="inlineStr">
        <is>
          <t>Water-cooled chiller CH-3</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CH-4</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CH-5</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CH-6</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H2 19: T-H2 230/13.8 kV (about 40 MVA)</t>
        </is>
      </c>
      <c r="B1598" s="12" t="inlineStr">
        <is>
          <t>T-H2</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20: 13.8 kV e-house</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21: rectifier transformer 1 (7 MVA)</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8</t>
        </is>
      </c>
      <c r="K1600" s="12" t="n">
        <v>1</v>
      </c>
    </row>
    <row r="1601">
      <c r="A1601" s="12" t="inlineStr">
        <is>
          <t>H2 21: rectifier transformer 2 (7 MVA)</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8</t>
        </is>
      </c>
      <c r="K1601" s="12" t="n">
        <v>1</v>
      </c>
    </row>
    <row r="1602">
      <c r="A1602" s="12" t="inlineStr">
        <is>
          <t>H2 21: rectifier transformer 3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4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5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22: electrolyzer building (5 x HyLYZER-1000 + 5 rectifiers)</t>
        </is>
      </c>
      <c r="B1605" s="12" t="inlineStr">
        <is>
          <t>H2-EL</t>
        </is>
      </c>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23: dry coolers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24: water purification (RO / EDI)</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25: H2 dryer / purification</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26: H2 compressor 1 (40 ft ISO)</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26: H2 compressor 2 (40 ft ISO)</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27: storage tube bank (~40 ft tubes)</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27: storage tube bank (~40 ft tubes)</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28: N2 purge supply</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29: vent stack</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30: H2 / gas blending station (plant gas yard)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4</t>
        </is>
      </c>
      <c r="K1617" s="12" t="n">
        <v>1</v>
      </c>
    </row>
    <row r="1618">
      <c r="A1618" s="12" t="inlineStr">
        <is>
          <t>H2 pipe track and cable trench, hall -&gt; dryer / compressors (N2, instr</t>
        </is>
      </c>
      <c r="B1618" s="12" t="inlineStr"/>
      <c r="C1618" s="12" t="inlineStr">
        <is>
          <t>K</t>
        </is>
      </c>
      <c r="D1618" s="12" t="inlineStr">
        <is>
          <t>Motor 1 of 2, 250 kW</t>
        </is>
      </c>
      <c r="E1618" s="12" t="n">
        <v>480</v>
      </c>
      <c r="F1618" s="12" t="n">
        <v>250</v>
      </c>
      <c r="G1618" s="12" t="n">
        <v>353.8</v>
      </c>
      <c r="H1618" s="12" t="inlineStr">
        <is>
          <t>H2 20: 13.8 kV e-house</t>
        </is>
      </c>
      <c r="I1618" s="12" t="inlineStr">
        <is>
          <t>LV 600 V</t>
        </is>
      </c>
      <c r="J1618" s="12" t="inlineStr">
        <is>
          <t>4/0</t>
        </is>
      </c>
      <c r="K1618" s="12" t="n">
        <v>2</v>
      </c>
    </row>
    <row r="1619">
      <c r="A1619" s="12" t="inlineStr">
        <is>
          <t>H2 pipe track and cable trench, hall -&gt; dryer / compressors (N2, instr</t>
        </is>
      </c>
      <c r="B1619" s="12" t="inlineStr"/>
      <c r="C1619" s="12" t="inlineStr">
        <is>
          <t>K</t>
        </is>
      </c>
      <c r="D1619" s="12" t="inlineStr">
        <is>
          <t>Motor 2 of 2, 250 kW</t>
        </is>
      </c>
      <c r="E1619" s="12" t="n">
        <v>480</v>
      </c>
      <c r="F1619" s="12" t="n">
        <v>250</v>
      </c>
      <c r="G1619" s="12" t="n">
        <v>353.8</v>
      </c>
      <c r="H1619" s="12" t="inlineStr">
        <is>
          <t>H2 20: 13.8 kV e-house</t>
        </is>
      </c>
      <c r="I1619" s="12" t="inlineStr">
        <is>
          <t>LV 600 V</t>
        </is>
      </c>
      <c r="J1619" s="12" t="inlineStr">
        <is>
          <t>4/0</t>
        </is>
      </c>
      <c r="K1619" s="12" t="n">
        <v>2</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H2R: hydrogen pipeline receiving station (pig receiver, filters, meter</t>
        </is>
      </c>
      <c r="B1621" s="12" t="inlineStr">
        <is>
          <t>H2R</t>
        </is>
      </c>
      <c r="C1621" s="12" t="inlineStr">
        <is>
          <t>K</t>
        </is>
      </c>
      <c r="D1621" s="12" t="inlineStr">
        <is>
          <t>LV power feeder</t>
        </is>
      </c>
      <c r="E1621" s="12" t="n">
        <v>480</v>
      </c>
      <c r="F1621" s="12" t="n">
        <v>15</v>
      </c>
      <c r="G1621" s="12" t="n">
        <v>21.2</v>
      </c>
      <c r="H1621" s="12" t="inlineStr">
        <is>
          <t>H2 20: 13.8 kV e-house</t>
        </is>
      </c>
      <c r="I1621" s="12" t="inlineStr">
        <is>
          <t>LV 600 V</t>
        </is>
      </c>
      <c r="J1621" s="12" t="inlineStr">
        <is>
          <t>10</t>
        </is>
      </c>
      <c r="K1621" s="12" t="n">
        <v>1</v>
      </c>
    </row>
    <row r="1622">
      <c r="A1622" s="12" t="inlineStr">
        <is>
          <t>LNG 10: truck unloading bay 1</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8</t>
        </is>
      </c>
      <c r="K1622" s="12" t="n">
        <v>1</v>
      </c>
    </row>
    <row r="1623">
      <c r="A1623" s="12" t="inlineStr">
        <is>
          <t>LNG 10: truck unloading bay 2</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10: unloading skid</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10</t>
        </is>
      </c>
      <c r="K1624" s="12" t="n">
        <v>1</v>
      </c>
    </row>
    <row r="1625">
      <c r="A1625" s="12" t="inlineStr">
        <is>
          <t>LNG 11: tank 1, Chart HS 50000 (51,780 gal)</t>
        </is>
      </c>
      <c r="B1625" s="12" t="inlineStr">
        <is>
          <t>LNG-T1</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2, Chart HS 50000 (51,780 gal)</t>
        </is>
      </c>
      <c r="B1626" s="12" t="inlineStr">
        <is>
          <t>LNG-T2</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3, Chart HS 50000 (51,780 gal)</t>
        </is>
      </c>
      <c r="B1627" s="12" t="inlineStr">
        <is>
          <t>LNG-T3</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4, Chart HS 50000 (51,780 gal)</t>
        </is>
      </c>
      <c r="B1628" s="12" t="inlineStr">
        <is>
          <t>LNG-T4</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5, Chart HS 50000 (51,780 gal)</t>
        </is>
      </c>
      <c r="B1629" s="12" t="inlineStr">
        <is>
          <t>LNG-T5</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6, Chart HS 50000 (51,780 gal)</t>
        </is>
      </c>
      <c r="B1630" s="12" t="inlineStr">
        <is>
          <t>LNG-T6</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7, Chart HS 50000 (51,780 gal)</t>
        </is>
      </c>
      <c r="B1631" s="12" t="inlineStr">
        <is>
          <t>LNG-T7</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8, Chart HS 50000 (51,780 gal)</t>
        </is>
      </c>
      <c r="B1632" s="12" t="inlineStr">
        <is>
          <t>LNG-T8</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12: spill impoundment (NFPA 59A, to verify)</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13: send-out pumps 2 x 100%</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14: vaporizers + glycol heater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15: boil-off gas compressor</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16: send-out metering + pressure control</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17: LNG e-house (13.8 kV / 480 V)</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18: vent stack</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impoundment sump pump</t>
        </is>
      </c>
      <c r="B1640" s="12" t="inlineStr"/>
      <c r="C1640" s="12" t="inlineStr">
        <is>
          <t>K</t>
        </is>
      </c>
      <c r="D1640" s="12" t="inlineStr">
        <is>
          <t>LV power feeder</t>
        </is>
      </c>
      <c r="E1640" s="12" t="n">
        <v>480</v>
      </c>
      <c r="F1640" s="12" t="n">
        <v>15</v>
      </c>
      <c r="G1640" s="12" t="n">
        <v>21.2</v>
      </c>
      <c r="H1640" s="12" t="inlineStr">
        <is>
          <t>LNG 17: LNG e-house (13.8 kV / 480 V)</t>
        </is>
      </c>
      <c r="I1640" s="12" t="inlineStr">
        <is>
          <t>LV 600 V</t>
        </is>
      </c>
      <c r="J1640" s="12" t="inlineStr">
        <is>
          <t>8</t>
        </is>
      </c>
      <c r="K1640" s="12" t="n">
        <v>1</v>
      </c>
    </row>
    <row r="1641">
      <c r="A1641" s="12" t="inlineStr">
        <is>
          <t>M&amp;R 2: insulating joint + ESD valve</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6</t>
        </is>
      </c>
      <c r="K1641" s="12" t="n">
        <v>1</v>
      </c>
    </row>
    <row r="1642">
      <c r="A1642" s="12" t="inlineStr">
        <is>
          <t>M&amp;R 3: horizontal filter-separator</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4</t>
        </is>
      </c>
      <c r="K1642" s="12" t="n">
        <v>1</v>
      </c>
    </row>
    <row r="1643">
      <c r="A1643" s="12" t="inlineStr">
        <is>
          <t>M&amp;R 4: line heater 1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2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4: line heater 3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6: regulation / flow control building</t>
        </is>
      </c>
      <c r="B1646" s="12" t="inlineStr"/>
      <c r="C1646" s="12" t="inlineStr">
        <is>
          <t>K</t>
        </is>
      </c>
      <c r="D1646" s="12" t="inlineStr">
        <is>
          <t>LV panel / distribution feeder</t>
        </is>
      </c>
      <c r="E1646" s="12" t="n">
        <v>480</v>
      </c>
      <c r="F1646" s="12" t="n">
        <v>10</v>
      </c>
      <c r="G1646" s="12" t="n">
        <v>14.2</v>
      </c>
      <c r="H1646" s="12" t="inlineStr">
        <is>
          <t>LNG 17: LNG e-house (13.8 kV / 480 V)</t>
        </is>
      </c>
      <c r="I1646" s="12" t="inlineStr">
        <is>
          <t>LV 600 V</t>
        </is>
      </c>
      <c r="J1646" s="12" t="inlineStr">
        <is>
          <t>8</t>
        </is>
      </c>
      <c r="K1646" s="12" t="n">
        <v>1</v>
      </c>
    </row>
    <row r="1647">
      <c r="A1647" s="12" t="inlineStr">
        <is>
          <t>M&amp;R 7: gas quality + measurement building</t>
        </is>
      </c>
      <c r="B1647" s="12" t="inlineStr"/>
      <c r="C1647" s="12" t="inlineStr">
        <is>
          <t>K</t>
        </is>
      </c>
      <c r="D1647" s="12" t="inlineStr">
        <is>
          <t>LV panel / distribution feeder</t>
        </is>
      </c>
      <c r="E1647" s="12" t="n">
        <v>480</v>
      </c>
      <c r="F1647" s="12" t="n">
        <v>30</v>
      </c>
      <c r="G1647" s="12" t="n">
        <v>42.5</v>
      </c>
      <c r="H1647" s="12" t="inlineStr">
        <is>
          <t>LNG 17: LNG e-house (13.8 kV / 480 V)</t>
        </is>
      </c>
      <c r="I1647" s="12" t="inlineStr">
        <is>
          <t>LV 600 V</t>
        </is>
      </c>
      <c r="J1647" s="12" t="inlineStr">
        <is>
          <t>2</t>
        </is>
      </c>
      <c r="K1647" s="12" t="n">
        <v>1</v>
      </c>
    </row>
    <row r="1648">
      <c r="A1648" s="12" t="inlineStr">
        <is>
          <t>M&amp;R 8: condensate tank</t>
        </is>
      </c>
      <c r="B1648" s="12" t="inlineStr"/>
      <c r="C1648" s="12" t="inlineStr">
        <is>
          <t>K</t>
        </is>
      </c>
      <c r="D1648" s="12" t="inlineStr">
        <is>
          <t>LV power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9: service panel + UPS, SCADA RTU, CP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CP test station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M&amp;R SCADA antenna mast base (as drawn)</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8</t>
        </is>
      </c>
      <c r="K1651" s="12" t="n">
        <v>1</v>
      </c>
    </row>
    <row r="1652">
      <c r="A1652" s="12" t="inlineStr">
        <is>
          <t>H2 20: 13.8 kV e-house</t>
        </is>
      </c>
      <c r="B1652" s="12" t="inlineStr"/>
      <c r="C1652" s="12" t="inlineStr">
        <is>
          <t>K</t>
        </is>
      </c>
      <c r="D1652" s="12" t="inlineStr">
        <is>
          <t>H2 13.8 kV e-house (electrolyzers)</t>
        </is>
      </c>
      <c r="E1652" s="12" t="n">
        <v>13800</v>
      </c>
      <c r="F1652" s="12" t="n">
        <v>20000</v>
      </c>
      <c r="G1652" s="12" t="n">
        <v>837</v>
      </c>
      <c r="H1652" s="12" t="inlineStr">
        <is>
          <t>R1 SWGR-13.8-3 (11 x 36 in cubicles, 15 kV metal-clad)</t>
        </is>
      </c>
      <c r="I1652" s="12" t="inlineStr">
        <is>
          <t>MV 15 kV</t>
        </is>
      </c>
      <c r="J1652" s="12" t="inlineStr">
        <is>
          <t>750 kcmil</t>
        </is>
      </c>
      <c r="K1652" s="12" t="n">
        <v>2</v>
      </c>
    </row>
    <row r="1653">
      <c r="A1653" s="12" t="inlineStr">
        <is>
          <t>LNG 17: LNG e-house (13.8 kV / 480 V)</t>
        </is>
      </c>
      <c r="B1653" s="12" t="inlineStr"/>
      <c r="C1653" s="12" t="inlineStr">
        <is>
          <t>K</t>
        </is>
      </c>
      <c r="D1653" s="12" t="inlineStr">
        <is>
          <t>LNG e-house</t>
        </is>
      </c>
      <c r="E1653" s="12" t="n">
        <v>13800</v>
      </c>
      <c r="F1653" s="12" t="n">
        <v>5000</v>
      </c>
      <c r="G1653" s="12" t="n">
        <v>209</v>
      </c>
      <c r="H1653" s="12" t="inlineStr">
        <is>
          <t>R1 SWGR-13.8-3 (11 x 36 in cubicles, 15 kV metal-clad)</t>
        </is>
      </c>
      <c r="I1653" s="12" t="inlineStr">
        <is>
          <t>MV 15 kV</t>
        </is>
      </c>
      <c r="J1653" s="12" t="inlineStr">
        <is>
          <t>4/0</t>
        </is>
      </c>
      <c r="K1653" s="12" t="n">
        <v>1</v>
      </c>
    </row>
    <row r="1654">
      <c r="A1654" s="12" t="inlineStr">
        <is>
          <t>Small-bore piping: instrument air, service water, nitrogen, HRSG drain</t>
        </is>
      </c>
      <c r="B1654" s="12" t="inlineStr"/>
      <c r="C1654" s="12" t="inlineStr"/>
      <c r="D1654" s="12" t="inlineStr">
        <is>
          <t>Motor 1 of 2, 250 kW</t>
        </is>
      </c>
      <c r="E1654" s="12" t="n">
        <v>480</v>
      </c>
      <c r="F1654" s="12" t="n">
        <v>250</v>
      </c>
      <c r="G1654" s="12" t="n">
        <v>353.8</v>
      </c>
      <c r="H1654" s="12" t="inlineStr">
        <is>
          <t>R1 MCC-C1</t>
        </is>
      </c>
      <c r="I1654" s="12" t="inlineStr">
        <is>
          <t>LV 600 V</t>
        </is>
      </c>
      <c r="J1654" s="12" t="inlineStr">
        <is>
          <t>250 kcmil</t>
        </is>
      </c>
      <c r="K1654" s="12" t="n">
        <v>2</v>
      </c>
    </row>
    <row r="1655">
      <c r="A1655" s="12" t="inlineStr">
        <is>
          <t>Small-bore piping: instrument air, service water, nitrogen, HRSG drain</t>
        </is>
      </c>
      <c r="B1655" s="12" t="inlineStr"/>
      <c r="C1655" s="12" t="inlineStr"/>
      <c r="D1655" s="12" t="inlineStr">
        <is>
          <t>Motor 2 of 2, 250 kW</t>
        </is>
      </c>
      <c r="E1655" s="12" t="n">
        <v>480</v>
      </c>
      <c r="F1655" s="12" t="n">
        <v>250</v>
      </c>
      <c r="G1655" s="12" t="n">
        <v>353.8</v>
      </c>
      <c r="H1655" s="12" t="inlineStr">
        <is>
          <t>R1 MCC-C1</t>
        </is>
      </c>
      <c r="I1655" s="12" t="inlineStr">
        <is>
          <t>LV 600 V</t>
        </is>
      </c>
      <c r="J1655" s="12" t="inlineStr">
        <is>
          <t>250 kcmil</t>
        </is>
      </c>
      <c r="K1655"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2026-10-16T17:37:06Z</dcterms:created>
  <dcterms:modified xsi:type="dcterms:W3CDTF">2026-10-16T17:37:08Z</dcterms:modified>
</cp:coreProperties>
</file>